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8EF29A83-1771-4E60-B2F3-2693E72FD970}"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B3978" i="16" s="1"/>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N2992" i="16"/>
  <c r="M2992" i="16"/>
  <c r="L2992" i="16"/>
  <c r="K2992" i="16"/>
  <c r="H2993" i="16" s="1"/>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57" i="16" s="1"/>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H1373" i="16" s="1"/>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H1265" i="16" s="1"/>
  <c r="J1264" i="16"/>
  <c r="I1264" i="16"/>
  <c r="G1265" i="16" s="1"/>
  <c r="H1264" i="16"/>
  <c r="G1264" i="16"/>
  <c r="F1265" i="16" s="1"/>
  <c r="F1264" i="16"/>
  <c r="C1264" i="16"/>
  <c r="B26" i="16" s="1"/>
  <c r="B1264" i="16"/>
  <c r="D1264" i="16" s="1"/>
  <c r="B1213" i="16"/>
  <c r="D1211" i="16"/>
  <c r="C1211" i="16"/>
  <c r="O1210" i="16"/>
  <c r="M1210" i="16"/>
  <c r="N1210" i="16" s="1"/>
  <c r="L1210" i="16"/>
  <c r="K1210" i="16"/>
  <c r="H1211" i="16" s="1"/>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H1103" i="16" s="1"/>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H995" i="16" s="1"/>
  <c r="J994" i="16"/>
  <c r="I994" i="16"/>
  <c r="G995" i="16" s="1"/>
  <c r="H994" i="16"/>
  <c r="G994" i="16"/>
  <c r="F995" i="16" s="1"/>
  <c r="F994" i="16"/>
  <c r="C994" i="16"/>
  <c r="B21" i="16" s="1"/>
  <c r="B994" i="16"/>
  <c r="D994" i="16" s="1"/>
  <c r="B943" i="16"/>
  <c r="D941" i="16"/>
  <c r="C941" i="16"/>
  <c r="O940" i="16"/>
  <c r="M940" i="16"/>
  <c r="N940" i="16" s="1"/>
  <c r="L940" i="16"/>
  <c r="K940" i="16"/>
  <c r="H941" i="16" s="1"/>
  <c r="J940" i="16"/>
  <c r="I940" i="16"/>
  <c r="G941" i="16" s="1"/>
  <c r="H940" i="16"/>
  <c r="G940" i="16"/>
  <c r="F941" i="16" s="1"/>
  <c r="F940" i="16"/>
  <c r="C940" i="16"/>
  <c r="B940" i="16"/>
  <c r="D940" i="16" s="1"/>
  <c r="B889" i="16"/>
  <c r="D887" i="16"/>
  <c r="C887" i="16"/>
  <c r="O886" i="16"/>
  <c r="M886" i="16"/>
  <c r="N886" i="16" s="1"/>
  <c r="L886" i="16"/>
  <c r="K886" i="16"/>
  <c r="H887" i="16" s="1"/>
  <c r="J886" i="16"/>
  <c r="I886" i="16"/>
  <c r="G887" i="16" s="1"/>
  <c r="H886" i="16"/>
  <c r="G886" i="16"/>
  <c r="F887" i="16" s="1"/>
  <c r="F886" i="16"/>
  <c r="C886" i="16"/>
  <c r="B886" i="16"/>
  <c r="D886" i="16" s="1"/>
  <c r="B835" i="16"/>
  <c r="D833" i="16"/>
  <c r="C833" i="16"/>
  <c r="O832" i="16"/>
  <c r="M832" i="16"/>
  <c r="N832" i="16" s="1"/>
  <c r="L832" i="16"/>
  <c r="K832" i="16"/>
  <c r="J832" i="16"/>
  <c r="I832" i="16"/>
  <c r="G833" i="16" s="1"/>
  <c r="H832" i="16"/>
  <c r="G832" i="16"/>
  <c r="F833" i="16" s="1"/>
  <c r="F832" i="16"/>
  <c r="C832" i="16"/>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670" i="16"/>
  <c r="D670" i="16" s="1"/>
  <c r="B619" i="16"/>
  <c r="D617" i="16"/>
  <c r="C617" i="16"/>
  <c r="O616" i="16"/>
  <c r="M616" i="16"/>
  <c r="N616" i="16" s="1"/>
  <c r="L616" i="16"/>
  <c r="K616" i="16"/>
  <c r="J616" i="16"/>
  <c r="I616" i="16"/>
  <c r="G617" i="16" s="1"/>
  <c r="H616" i="16"/>
  <c r="G616" i="16"/>
  <c r="F617" i="16" s="1"/>
  <c r="F616" i="16"/>
  <c r="C616" i="16"/>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400" i="16"/>
  <c r="D400" i="16" s="1"/>
  <c r="B349" i="16"/>
  <c r="D347" i="16"/>
  <c r="C347" i="16"/>
  <c r="O346" i="16"/>
  <c r="M346" i="16"/>
  <c r="N346" i="16" s="1"/>
  <c r="L346" i="16"/>
  <c r="K346" i="16"/>
  <c r="H347" i="16" s="1"/>
  <c r="J346" i="16"/>
  <c r="E347" i="16" s="1"/>
  <c r="I346" i="16"/>
  <c r="G347" i="16" s="1"/>
  <c r="H346" i="16"/>
  <c r="G346" i="16"/>
  <c r="F347" i="16" s="1"/>
  <c r="F346" i="16"/>
  <c r="C346" i="16"/>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H131" i="16" s="1"/>
  <c r="K131" i="16" s="1"/>
  <c r="J130" i="16"/>
  <c r="I130" i="16"/>
  <c r="G131" i="16" s="1"/>
  <c r="H130" i="16"/>
  <c r="G130" i="16"/>
  <c r="F131" i="16" s="1"/>
  <c r="F130" i="16"/>
  <c r="C130" i="16"/>
  <c r="B5" i="16" s="1"/>
  <c r="B130" i="16"/>
  <c r="D130" i="16" s="1"/>
  <c r="B79" i="16"/>
  <c r="D77" i="16"/>
  <c r="C77" i="16"/>
  <c r="O76" i="16"/>
  <c r="M76" i="16"/>
  <c r="N76" i="16" s="1"/>
  <c r="L76" i="16"/>
  <c r="K76" i="16"/>
  <c r="H77" i="16" s="1"/>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AL65" i="16"/>
  <c r="AK65" i="16"/>
  <c r="V65" i="16"/>
  <c r="U65" i="16"/>
  <c r="T65" i="16"/>
  <c r="S65" i="16"/>
  <c r="AG65" i="16" s="1"/>
  <c r="R65" i="16"/>
  <c r="M65" i="16"/>
  <c r="B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V61" i="16"/>
  <c r="U61" i="16"/>
  <c r="T61" i="16"/>
  <c r="S61" i="16"/>
  <c r="AG61" i="16" s="1"/>
  <c r="R61" i="16"/>
  <c r="M61" i="16"/>
  <c r="V60" i="16"/>
  <c r="U60" i="16"/>
  <c r="T60" i="16"/>
  <c r="S60" i="16"/>
  <c r="AG60" i="16" s="1"/>
  <c r="R60" i="16"/>
  <c r="M60" i="16"/>
  <c r="V59" i="16"/>
  <c r="U59" i="16"/>
  <c r="T59" i="16"/>
  <c r="S59" i="16"/>
  <c r="AG59" i="16" s="1"/>
  <c r="R59" i="16"/>
  <c r="M59" i="16"/>
  <c r="V58" i="16"/>
  <c r="U58" i="16"/>
  <c r="T58" i="16"/>
  <c r="S58" i="16"/>
  <c r="AG58" i="16" s="1"/>
  <c r="R58" i="16"/>
  <c r="M58" i="16"/>
  <c r="V57" i="16"/>
  <c r="U57" i="16"/>
  <c r="T57" i="16"/>
  <c r="S57" i="16"/>
  <c r="AG57" i="16" s="1"/>
  <c r="R57" i="16"/>
  <c r="M57" i="16"/>
  <c r="V56" i="16"/>
  <c r="U56" i="16"/>
  <c r="T56" i="16"/>
  <c r="S56" i="16"/>
  <c r="AG56" i="16" s="1"/>
  <c r="R56" i="16"/>
  <c r="M56" i="16"/>
  <c r="V55" i="16"/>
  <c r="U55" i="16"/>
  <c r="T55" i="16"/>
  <c r="S55" i="16"/>
  <c r="AG55" i="16" s="1"/>
  <c r="R55" i="16"/>
  <c r="M55" i="16"/>
  <c r="V54" i="16"/>
  <c r="U54" i="16"/>
  <c r="T54" i="16"/>
  <c r="S54" i="16"/>
  <c r="AG54" i="16" s="1"/>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AL37" i="16"/>
  <c r="AK37" i="16"/>
  <c r="V37" i="16"/>
  <c r="U37" i="16"/>
  <c r="T37" i="16"/>
  <c r="S37" i="16"/>
  <c r="AG37" i="16" s="1"/>
  <c r="R37" i="16"/>
  <c r="M37" i="16"/>
  <c r="B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AL29" i="16"/>
  <c r="AK29"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AL25" i="16"/>
  <c r="AK25"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AL20" i="16"/>
  <c r="AK20" i="16"/>
  <c r="V20" i="16"/>
  <c r="U20" i="16"/>
  <c r="T20" i="16"/>
  <c r="S20" i="16"/>
  <c r="AG20" i="16" s="1"/>
  <c r="R20" i="16"/>
  <c r="M20" i="16"/>
  <c r="B20" i="16"/>
  <c r="AL19" i="16"/>
  <c r="AK19" i="16"/>
  <c r="V19" i="16"/>
  <c r="U19" i="16"/>
  <c r="T19" i="16"/>
  <c r="S19" i="16"/>
  <c r="AG19" i="16" s="1"/>
  <c r="R19" i="16"/>
  <c r="M19" i="16"/>
  <c r="B19" i="16"/>
  <c r="AL18" i="16"/>
  <c r="AK18" i="16"/>
  <c r="V18" i="16"/>
  <c r="U18" i="16"/>
  <c r="T18" i="16"/>
  <c r="S18" i="16"/>
  <c r="AG18" i="16" s="1"/>
  <c r="R18" i="16"/>
  <c r="M18" i="16"/>
  <c r="B18" i="16"/>
  <c r="V17" i="16"/>
  <c r="U17" i="16"/>
  <c r="T17" i="16"/>
  <c r="S17" i="16"/>
  <c r="AG17" i="16" s="1"/>
  <c r="R17" i="16"/>
  <c r="M17" i="16"/>
  <c r="AL16" i="16"/>
  <c r="AK16" i="16"/>
  <c r="V16" i="16"/>
  <c r="U16" i="16"/>
  <c r="T16" i="16"/>
  <c r="S16" i="16"/>
  <c r="AG16" i="16" s="1"/>
  <c r="R16" i="16"/>
  <c r="M16" i="16"/>
  <c r="B16" i="16"/>
  <c r="AL15" i="16"/>
  <c r="AK15" i="16"/>
  <c r="V15" i="16"/>
  <c r="U15" i="16"/>
  <c r="T15" i="16"/>
  <c r="S15" i="16"/>
  <c r="AG15" i="16" s="1"/>
  <c r="R15" i="16"/>
  <c r="M15" i="16"/>
  <c r="B15" i="16"/>
  <c r="AL14" i="16"/>
  <c r="AK14" i="16"/>
  <c r="V14" i="16"/>
  <c r="U14" i="16"/>
  <c r="T14" i="16"/>
  <c r="S14" i="16"/>
  <c r="AG14" i="16" s="1"/>
  <c r="R14" i="16"/>
  <c r="M14" i="16"/>
  <c r="B14" i="16"/>
  <c r="V13" i="16"/>
  <c r="U13" i="16"/>
  <c r="T13" i="16"/>
  <c r="S13" i="16"/>
  <c r="AG13" i="16" s="1"/>
  <c r="R13" i="16"/>
  <c r="M13" i="16"/>
  <c r="AL12" i="16"/>
  <c r="AK12" i="16"/>
  <c r="V12" i="16"/>
  <c r="U12" i="16"/>
  <c r="T12" i="16"/>
  <c r="S12" i="16"/>
  <c r="AG12" i="16" s="1"/>
  <c r="R12" i="16"/>
  <c r="M12" i="16"/>
  <c r="B12" i="16"/>
  <c r="AL11" i="16"/>
  <c r="AK11" i="16"/>
  <c r="V11" i="16"/>
  <c r="U11" i="16"/>
  <c r="T11" i="16"/>
  <c r="S11" i="16"/>
  <c r="AG11" i="16" s="1"/>
  <c r="R11" i="16"/>
  <c r="M11" i="16"/>
  <c r="B11" i="16"/>
  <c r="AL10" i="16"/>
  <c r="AK10" i="16"/>
  <c r="V10" i="16"/>
  <c r="U10" i="16"/>
  <c r="T10" i="16"/>
  <c r="S10" i="16"/>
  <c r="AG10" i="16" s="1"/>
  <c r="R10" i="16"/>
  <c r="M10" i="16"/>
  <c r="B10" i="16"/>
  <c r="AL9" i="16"/>
  <c r="AK9" i="16"/>
  <c r="V9" i="16"/>
  <c r="U9" i="16"/>
  <c r="T9" i="16"/>
  <c r="S9" i="16"/>
  <c r="AG9" i="16" s="1"/>
  <c r="R9" i="16"/>
  <c r="M9" i="16"/>
  <c r="B9" i="16"/>
  <c r="AL8" i="16"/>
  <c r="AK8" i="16"/>
  <c r="V8" i="16"/>
  <c r="U8" i="16"/>
  <c r="T8" i="16"/>
  <c r="S8" i="16"/>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P1" i="15"/>
  <c r="N1" i="15"/>
  <c r="D48" i="13"/>
  <c r="D47" i="13"/>
  <c r="E46" i="13"/>
  <c r="D46" i="13"/>
  <c r="E45" i="13"/>
  <c r="G45" i="13" s="1"/>
  <c r="D45" i="13"/>
  <c r="E44" i="13"/>
  <c r="G44" i="13" s="1"/>
  <c r="D44" i="13"/>
  <c r="E43" i="13"/>
  <c r="G43" i="13" s="1"/>
  <c r="D43" i="13"/>
  <c r="E42" i="13"/>
  <c r="G42" i="13" s="1"/>
  <c r="D42" i="13"/>
  <c r="E41" i="13"/>
  <c r="G41" i="13" s="1"/>
  <c r="D41" i="13"/>
  <c r="D40" i="13"/>
  <c r="E39" i="13"/>
  <c r="G39" i="13" s="1"/>
  <c r="D39" i="13"/>
  <c r="E38" i="13"/>
  <c r="G38" i="13" s="1"/>
  <c r="D38" i="13"/>
  <c r="E37" i="13"/>
  <c r="G37" i="13" s="1"/>
  <c r="D37" i="13"/>
  <c r="E36" i="13"/>
  <c r="G36" i="13" s="1"/>
  <c r="D36" i="13"/>
  <c r="E35" i="13"/>
  <c r="G35" i="13" s="1"/>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T74" i="3"/>
  <c r="T73" i="3"/>
  <c r="T72" i="3"/>
  <c r="T71" i="3"/>
  <c r="T70" i="3"/>
  <c r="A3478" i="16" s="1"/>
  <c r="T69" i="3"/>
  <c r="T68" i="3"/>
  <c r="T67" i="3"/>
  <c r="T66" i="3"/>
  <c r="T65" i="3"/>
  <c r="T64" i="3"/>
  <c r="T63" i="3"/>
  <c r="A3100" i="16" s="1"/>
  <c r="T62" i="3"/>
  <c r="A3046" i="16" s="1"/>
  <c r="T61" i="3"/>
  <c r="A2992" i="16" s="1"/>
  <c r="T60" i="3"/>
  <c r="T59" i="3"/>
  <c r="A2884" i="16" s="1"/>
  <c r="T58" i="3"/>
  <c r="A2830" i="16" s="1"/>
  <c r="T57" i="3"/>
  <c r="A2776" i="16" s="1"/>
  <c r="T56" i="3"/>
  <c r="A2722" i="16" s="1"/>
  <c r="T55" i="3"/>
  <c r="A2668" i="16" s="1"/>
  <c r="T54" i="3"/>
  <c r="A2614" i="16" s="1"/>
  <c r="T53" i="3"/>
  <c r="A2560" i="16" s="1"/>
  <c r="T52" i="3"/>
  <c r="T51" i="3"/>
  <c r="A2452" i="16" s="1"/>
  <c r="T50" i="3"/>
  <c r="A2398" i="16" s="1"/>
  <c r="T49" i="3"/>
  <c r="A2344" i="16" s="1"/>
  <c r="T48" i="3"/>
  <c r="T47" i="3"/>
  <c r="A2236" i="16" s="1"/>
  <c r="T46" i="3"/>
  <c r="A2182" i="16" s="1"/>
  <c r="T45" i="3"/>
  <c r="A2128" i="16" s="1"/>
  <c r="T44" i="3"/>
  <c r="T43" i="3"/>
  <c r="A2020" i="16" s="1"/>
  <c r="T42" i="3"/>
  <c r="A1966" i="16" s="1"/>
  <c r="T41" i="3"/>
  <c r="A1912" i="16" s="1"/>
  <c r="T40" i="3"/>
  <c r="T39" i="3"/>
  <c r="T38" i="3"/>
  <c r="A1750" i="16" s="1"/>
  <c r="T37" i="3"/>
  <c r="A1696" i="16" s="1"/>
  <c r="T36" i="3"/>
  <c r="T35" i="3"/>
  <c r="A1588" i="16" s="1"/>
  <c r="T34" i="3"/>
  <c r="A1534" i="16" s="1"/>
  <c r="T33" i="3"/>
  <c r="A1480" i="16" s="1"/>
  <c r="T32" i="3"/>
  <c r="A1426" i="16" s="1"/>
  <c r="T31" i="3"/>
  <c r="A1372" i="16" s="1"/>
  <c r="T30" i="3"/>
  <c r="A1318" i="16" s="1"/>
  <c r="T29" i="3"/>
  <c r="A1264" i="16" s="1"/>
  <c r="T28" i="3"/>
  <c r="A1210" i="16" s="1"/>
  <c r="T27" i="3"/>
  <c r="A1156" i="16" s="1"/>
  <c r="T26" i="3"/>
  <c r="A1102" i="16" s="1"/>
  <c r="T25" i="3"/>
  <c r="A1048" i="16" s="1"/>
  <c r="T24" i="3"/>
  <c r="A994" i="16" s="1"/>
  <c r="T23" i="3"/>
  <c r="T22" i="3"/>
  <c r="T21" i="3"/>
  <c r="T20" i="3"/>
  <c r="A778" i="16" s="1"/>
  <c r="T19" i="3"/>
  <c r="T18" i="3"/>
  <c r="T17" i="3"/>
  <c r="A616" i="16" s="1"/>
  <c r="A14" i="16" s="1"/>
  <c r="T16" i="3"/>
  <c r="A562" i="16" s="1"/>
  <c r="T15" i="3"/>
  <c r="T14" i="3"/>
  <c r="T13" i="3"/>
  <c r="T12" i="3"/>
  <c r="A346" i="16" s="1"/>
  <c r="A9" i="16" s="1"/>
  <c r="T11" i="3"/>
  <c r="T10" i="3"/>
  <c r="A238" i="16" s="1"/>
  <c r="A7" i="16" s="1"/>
  <c r="T9" i="3"/>
  <c r="A184" i="16" s="1"/>
  <c r="T8" i="3"/>
  <c r="A130" i="16" s="1"/>
  <c r="T7" i="3"/>
  <c r="C33" i="2"/>
  <c r="D23" i="2"/>
  <c r="C23" i="2"/>
  <c r="L18" i="2"/>
  <c r="J18" i="2"/>
  <c r="H18" i="2"/>
  <c r="F18" i="2"/>
  <c r="D18" i="2"/>
  <c r="B18" i="2"/>
  <c r="F8" i="2"/>
  <c r="F6" i="2"/>
  <c r="H2885" i="16" l="1"/>
  <c r="H1157" i="16"/>
  <c r="H833" i="16"/>
  <c r="H1319" i="16"/>
  <c r="H239" i="16"/>
  <c r="K239" i="16" s="1"/>
  <c r="H185" i="16"/>
  <c r="K185" i="16" s="1"/>
  <c r="K77" i="16"/>
  <c r="H1049" i="16"/>
  <c r="H3047" i="16"/>
  <c r="K3047" i="16" s="1"/>
  <c r="I4159" i="16"/>
  <c r="I4105" i="16"/>
  <c r="H3749" i="16"/>
  <c r="K3749" i="16" s="1"/>
  <c r="H3695" i="16"/>
  <c r="K3695" i="16" s="1"/>
  <c r="H3641" i="16"/>
  <c r="K3641" i="16" s="1"/>
  <c r="H3587" i="16"/>
  <c r="H3533" i="16"/>
  <c r="H3479" i="16"/>
  <c r="K3479" i="16" s="1"/>
  <c r="H3425" i="16"/>
  <c r="H3371" i="16"/>
  <c r="H3317" i="16"/>
  <c r="H3263" i="16"/>
  <c r="K3263" i="16" s="1"/>
  <c r="H3209" i="16"/>
  <c r="K3209" i="16" s="1"/>
  <c r="H3155" i="16"/>
  <c r="K3155" i="16" s="1"/>
  <c r="H3101" i="16"/>
  <c r="K3101" i="16" s="1"/>
  <c r="H2939" i="16"/>
  <c r="H2831" i="16"/>
  <c r="K2831" i="16" s="1"/>
  <c r="H2777" i="16"/>
  <c r="H2723" i="16"/>
  <c r="K2723" i="16" s="1"/>
  <c r="H2669" i="16"/>
  <c r="H2615" i="16"/>
  <c r="H2561" i="16"/>
  <c r="H2507" i="16"/>
  <c r="H2453" i="16"/>
  <c r="K2453" i="16" s="1"/>
  <c r="H2399" i="16"/>
  <c r="K2399" i="16" s="1"/>
  <c r="H2345" i="16"/>
  <c r="K2345" i="16" s="1"/>
  <c r="H2291" i="16"/>
  <c r="K2291" i="16" s="1"/>
  <c r="H2237" i="16"/>
  <c r="K2237" i="16" s="1"/>
  <c r="H2183" i="16"/>
  <c r="H2129" i="16"/>
  <c r="K2129" i="16" s="1"/>
  <c r="H2075" i="16"/>
  <c r="K2075" i="16" s="1"/>
  <c r="H2021" i="16"/>
  <c r="K2021" i="16" s="1"/>
  <c r="H1967" i="16"/>
  <c r="H1913" i="16"/>
  <c r="K1913" i="16" s="1"/>
  <c r="H1859" i="16"/>
  <c r="H1427" i="16"/>
  <c r="H1805" i="16"/>
  <c r="H1751" i="16"/>
  <c r="H1697" i="16"/>
  <c r="H1643" i="16"/>
  <c r="H1589" i="16"/>
  <c r="H1535" i="16"/>
  <c r="H1481" i="16"/>
  <c r="H779" i="16"/>
  <c r="H725" i="16"/>
  <c r="H671" i="16"/>
  <c r="H617" i="16"/>
  <c r="K617" i="16" s="1"/>
  <c r="H563" i="16"/>
  <c r="H509" i="16"/>
  <c r="H455" i="16"/>
  <c r="K455" i="16" s="1"/>
  <c r="H401" i="16"/>
  <c r="H293" i="16"/>
  <c r="AG8" i="16"/>
  <c r="N45" i="15"/>
  <c r="N24" i="15"/>
  <c r="P23" i="15"/>
  <c r="P22" i="15"/>
  <c r="P21" i="15"/>
  <c r="P20" i="15"/>
  <c r="P19" i="15"/>
  <c r="P18" i="15"/>
  <c r="P17" i="15"/>
  <c r="P16" i="15"/>
  <c r="P15" i="15"/>
  <c r="P14" i="15"/>
  <c r="P13" i="15"/>
  <c r="P12" i="15"/>
  <c r="P11" i="15"/>
  <c r="P10" i="15"/>
  <c r="P9" i="15"/>
  <c r="P8" i="15"/>
  <c r="P7" i="15"/>
  <c r="P6" i="15"/>
  <c r="P5" i="15"/>
  <c r="P4" i="15"/>
  <c r="G46" i="13"/>
  <c r="A4368" i="16"/>
  <c r="B4368" i="16" s="1"/>
  <c r="A4334" i="16"/>
  <c r="B4334" i="16" s="1"/>
  <c r="A4385" i="16"/>
  <c r="B4385" i="16" s="1"/>
  <c r="A4384" i="16"/>
  <c r="B4384" i="16" s="1"/>
  <c r="A4383" i="16"/>
  <c r="B4383" i="16" s="1"/>
  <c r="A4381" i="16"/>
  <c r="B4381" i="16" s="1"/>
  <c r="A4379" i="16"/>
  <c r="B4379" i="16" s="1"/>
  <c r="A4377" i="16"/>
  <c r="B4377" i="16" s="1"/>
  <c r="A4374" i="16"/>
  <c r="B4374" i="16" s="1"/>
  <c r="A4373" i="16"/>
  <c r="B4373" i="16" s="1"/>
  <c r="A4370" i="16"/>
  <c r="B4370" i="16" s="1"/>
  <c r="A4341" i="16"/>
  <c r="B4341" i="16" s="1"/>
  <c r="A4333" i="16"/>
  <c r="B4333" i="16" s="1"/>
  <c r="A4340" i="16"/>
  <c r="B4340" i="16" s="1"/>
  <c r="A4332" i="16"/>
  <c r="B4332" i="16" s="1"/>
  <c r="A4392" i="16"/>
  <c r="B4392" i="16" s="1"/>
  <c r="A4391" i="16"/>
  <c r="B4391" i="16" s="1"/>
  <c r="A4390" i="16"/>
  <c r="B4390" i="16" s="1"/>
  <c r="A4389" i="16"/>
  <c r="B4389" i="16" s="1"/>
  <c r="A4388" i="16"/>
  <c r="B4388" i="16" s="1"/>
  <c r="A4387" i="16"/>
  <c r="B4387" i="16" s="1"/>
  <c r="A4386" i="16"/>
  <c r="B4386" i="16" s="1"/>
  <c r="A4382" i="16"/>
  <c r="B4382" i="16" s="1"/>
  <c r="A4380" i="16"/>
  <c r="B4380" i="16" s="1"/>
  <c r="A4378" i="16"/>
  <c r="B4378" i="16" s="1"/>
  <c r="A4376" i="16"/>
  <c r="B4376" i="16" s="1"/>
  <c r="A4375" i="16"/>
  <c r="B4375" i="16" s="1"/>
  <c r="A4372" i="16"/>
  <c r="B4372" i="16" s="1"/>
  <c r="A4371" i="16"/>
  <c r="B4371" i="16" s="1"/>
  <c r="A4369" i="16"/>
  <c r="B4369" i="16" s="1"/>
  <c r="A4367" i="16"/>
  <c r="B4367" i="16" s="1"/>
  <c r="A4366" i="16"/>
  <c r="B4366" i="16" s="1"/>
  <c r="A4343" i="16"/>
  <c r="B4343" i="16" s="1"/>
  <c r="A4339" i="16"/>
  <c r="B4339" i="16" s="1"/>
  <c r="A4338" i="16"/>
  <c r="B4338" i="16" s="1"/>
  <c r="A4365" i="16"/>
  <c r="B4365"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2" i="16"/>
  <c r="B4342" i="16" s="1"/>
  <c r="A4337" i="16"/>
  <c r="B4337" i="16" s="1"/>
  <c r="A4336" i="16"/>
  <c r="B4336" i="16" s="1"/>
  <c r="A4335" i="16"/>
  <c r="B4335" i="16" s="1"/>
  <c r="AF3958" i="16"/>
  <c r="AJ3958" i="16"/>
  <c r="AK3958" i="16"/>
  <c r="AL3958" i="16"/>
  <c r="AM3958" i="16"/>
  <c r="AL49" i="16"/>
  <c r="AK49" i="16"/>
  <c r="AK45" i="16"/>
  <c r="AL45" i="16"/>
  <c r="AK41" i="16"/>
  <c r="AL41" i="16"/>
  <c r="AL7" i="16"/>
  <c r="K7" i="16"/>
  <c r="AD7" i="16" s="1"/>
  <c r="L7" i="16"/>
  <c r="AI7" i="16" s="1"/>
  <c r="AK7" i="16"/>
  <c r="AK4" i="16"/>
  <c r="AL4" i="16"/>
  <c r="A4439" i="16"/>
  <c r="B4439" i="16" s="1"/>
  <c r="A4420" i="16"/>
  <c r="B4420" i="16" s="1"/>
  <c r="A4419" i="16"/>
  <c r="B4419" i="16" s="1"/>
  <c r="A4418" i="16"/>
  <c r="B4418" i="16" s="1"/>
  <c r="A4417" i="16"/>
  <c r="B4417" i="16" s="1"/>
  <c r="A4416" i="16"/>
  <c r="B4416" i="16" s="1"/>
  <c r="A4415" i="16"/>
  <c r="B4415" i="16" s="1"/>
  <c r="A4437" i="16"/>
  <c r="B4437" i="16" s="1"/>
  <c r="A4421" i="16"/>
  <c r="B4421" i="16" s="1"/>
  <c r="A4422" i="16"/>
  <c r="B4422" i="16" s="1"/>
  <c r="A4423" i="16"/>
  <c r="B4423" i="16" s="1"/>
  <c r="A4424" i="16"/>
  <c r="B4424" i="16" s="1"/>
  <c r="A4425" i="16"/>
  <c r="B4425" i="16" s="1"/>
  <c r="A4426" i="16"/>
  <c r="B4426" i="16" s="1"/>
  <c r="A4438" i="16"/>
  <c r="B4438" i="16" s="1"/>
  <c r="A4428" i="16"/>
  <c r="B4428" i="16" s="1"/>
  <c r="A4429" i="16"/>
  <c r="B4429" i="16" s="1"/>
  <c r="A4430" i="16"/>
  <c r="B4430" i="16" s="1"/>
  <c r="A4431" i="16"/>
  <c r="B4431" i="16" s="1"/>
  <c r="A4432" i="16"/>
  <c r="B4432" i="16" s="1"/>
  <c r="A4433" i="16"/>
  <c r="B4433" i="16" s="1"/>
  <c r="A4414" i="16"/>
  <c r="B4414" i="16" s="1"/>
  <c r="A4412" i="16"/>
  <c r="B4412" i="16" s="1"/>
  <c r="A4434" i="16"/>
  <c r="B4434" i="16" s="1"/>
  <c r="A4413" i="16"/>
  <c r="B4413" i="16" s="1"/>
  <c r="A4435" i="16"/>
  <c r="B4435" i="16" s="1"/>
  <c r="C3" i="12"/>
  <c r="C3" i="10"/>
  <c r="E60" i="9"/>
  <c r="A4436" i="16"/>
  <c r="B4436" i="16" s="1"/>
  <c r="A4427" i="16"/>
  <c r="B4427" i="16" s="1"/>
  <c r="C4675" i="16"/>
  <c r="B4676" i="16"/>
  <c r="G4675" i="16"/>
  <c r="E4675" i="16"/>
  <c r="I4675" i="16"/>
  <c r="F4675" i="16"/>
  <c r="C4621" i="16"/>
  <c r="D4621" i="16" s="1"/>
  <c r="E4621" i="16"/>
  <c r="G4621" i="16"/>
  <c r="F4621" i="16"/>
  <c r="B4622" i="16"/>
  <c r="C4567" i="16"/>
  <c r="E4567" i="16"/>
  <c r="F4567" i="16"/>
  <c r="B4568" i="16"/>
  <c r="G4567" i="16"/>
  <c r="L4513" i="16"/>
  <c r="B4514" i="16"/>
  <c r="G4513" i="16"/>
  <c r="C4513" i="16"/>
  <c r="E4513" i="16"/>
  <c r="F4507" i="16"/>
  <c r="E4507" i="16"/>
  <c r="H4507" i="16"/>
  <c r="I4507" i="16"/>
  <c r="G4507" i="16"/>
  <c r="H4506" i="16"/>
  <c r="F4506" i="16"/>
  <c r="I4506" i="16"/>
  <c r="G4506" i="16"/>
  <c r="E4506" i="16"/>
  <c r="E4505" i="16"/>
  <c r="H4505" i="16"/>
  <c r="G4505" i="16"/>
  <c r="F4505" i="16"/>
  <c r="I4505" i="16"/>
  <c r="G4504" i="16"/>
  <c r="E4504" i="16"/>
  <c r="I4504" i="16"/>
  <c r="H4504" i="16"/>
  <c r="F4504" i="16"/>
  <c r="F4503" i="16"/>
  <c r="E4503" i="16"/>
  <c r="G4503" i="16"/>
  <c r="I4503" i="16"/>
  <c r="H4503" i="16"/>
  <c r="H4502" i="16"/>
  <c r="F4502" i="16"/>
  <c r="G4502" i="16"/>
  <c r="I4502" i="16"/>
  <c r="E4502" i="16"/>
  <c r="E4501" i="16"/>
  <c r="F4501" i="16"/>
  <c r="I4501" i="16"/>
  <c r="G4501" i="16"/>
  <c r="H4501" i="16"/>
  <c r="F4500" i="16"/>
  <c r="E4500" i="16"/>
  <c r="I4500" i="16"/>
  <c r="G4500" i="16"/>
  <c r="H4500" i="16"/>
  <c r="H4499" i="16"/>
  <c r="E4499" i="16"/>
  <c r="F4499" i="16"/>
  <c r="G4499" i="16"/>
  <c r="I4499" i="16"/>
  <c r="E4498" i="16"/>
  <c r="G4498" i="16"/>
  <c r="H4498" i="16"/>
  <c r="F4498" i="16"/>
  <c r="I4498" i="16"/>
  <c r="G4497" i="16"/>
  <c r="F4497" i="16"/>
  <c r="H4497" i="16"/>
  <c r="I4497" i="16"/>
  <c r="E4497" i="16"/>
  <c r="E4496" i="16"/>
  <c r="I4496" i="16"/>
  <c r="F4496" i="16"/>
  <c r="G4496" i="16"/>
  <c r="H4496" i="16"/>
  <c r="H4495" i="16"/>
  <c r="F4495" i="16"/>
  <c r="I4495" i="16"/>
  <c r="G4495" i="16"/>
  <c r="E4495" i="16"/>
  <c r="G4494" i="16"/>
  <c r="I4494" i="16"/>
  <c r="H4494" i="16"/>
  <c r="E4494" i="16"/>
  <c r="F4494" i="16"/>
  <c r="F4493" i="16"/>
  <c r="H4493" i="16"/>
  <c r="E4493" i="16"/>
  <c r="G4493" i="16"/>
  <c r="I4493" i="16"/>
  <c r="G4492" i="16"/>
  <c r="I4492" i="16"/>
  <c r="F4492" i="16"/>
  <c r="H4492" i="16"/>
  <c r="E4492" i="16"/>
  <c r="F4491" i="16"/>
  <c r="E4491" i="16"/>
  <c r="G4491" i="16"/>
  <c r="H4491" i="16"/>
  <c r="I4491" i="16"/>
  <c r="I4490" i="16"/>
  <c r="E4490" i="16"/>
  <c r="G4490" i="16"/>
  <c r="F4490" i="16"/>
  <c r="H4490" i="16"/>
  <c r="G4489" i="16"/>
  <c r="H4489" i="16"/>
  <c r="I4489" i="16"/>
  <c r="F4489" i="16"/>
  <c r="E4489" i="16"/>
  <c r="E4488" i="16"/>
  <c r="F4488" i="16"/>
  <c r="G4488" i="16"/>
  <c r="H4488" i="16"/>
  <c r="I4488" i="16"/>
  <c r="E4487" i="16"/>
  <c r="F4487" i="16"/>
  <c r="G4487" i="16"/>
  <c r="H4487" i="16"/>
  <c r="I4487" i="16"/>
  <c r="I4486" i="16"/>
  <c r="E4486" i="16"/>
  <c r="F4486" i="16"/>
  <c r="G4486" i="16"/>
  <c r="H4486" i="16"/>
  <c r="F4485" i="16"/>
  <c r="I4485" i="16"/>
  <c r="E4485" i="16"/>
  <c r="G4485" i="16"/>
  <c r="H4485" i="16"/>
  <c r="I4484" i="16"/>
  <c r="F4484" i="16"/>
  <c r="H4484" i="16"/>
  <c r="E4484" i="16"/>
  <c r="G4484" i="16"/>
  <c r="I4483" i="16"/>
  <c r="H4483" i="16"/>
  <c r="F4483" i="16"/>
  <c r="E4483" i="16"/>
  <c r="G4483" i="16"/>
  <c r="E4482" i="16"/>
  <c r="H4482" i="16"/>
  <c r="I4482" i="16"/>
  <c r="G4482" i="16"/>
  <c r="F4482" i="16"/>
  <c r="I4481" i="16"/>
  <c r="F4481" i="16"/>
  <c r="E4481" i="16"/>
  <c r="G4481" i="16"/>
  <c r="H4481" i="16"/>
  <c r="E4480" i="16"/>
  <c r="F4480" i="16"/>
  <c r="H4480" i="16"/>
  <c r="G4480" i="16"/>
  <c r="I4480" i="16"/>
  <c r="F4479" i="16"/>
  <c r="H4479" i="16"/>
  <c r="I4479" i="16"/>
  <c r="G4479" i="16"/>
  <c r="E4479" i="16"/>
  <c r="E4478" i="16"/>
  <c r="G4478" i="16"/>
  <c r="F4478" i="16"/>
  <c r="I4478" i="16"/>
  <c r="H4478" i="16"/>
  <c r="I4477" i="16"/>
  <c r="H4477" i="16"/>
  <c r="E4477" i="16"/>
  <c r="F4477" i="16"/>
  <c r="G4477" i="16"/>
  <c r="E4476" i="16"/>
  <c r="H4476" i="16"/>
  <c r="G4476" i="16"/>
  <c r="F4476" i="16"/>
  <c r="I4476" i="16"/>
  <c r="F4475" i="16"/>
  <c r="G4475" i="16"/>
  <c r="E4475" i="16"/>
  <c r="I4475" i="16"/>
  <c r="H4475" i="16"/>
  <c r="I4474" i="16"/>
  <c r="H4474" i="16"/>
  <c r="G4474" i="16"/>
  <c r="F4474" i="16"/>
  <c r="E4474" i="16"/>
  <c r="H4473" i="16"/>
  <c r="E4473" i="16"/>
  <c r="I4473" i="16"/>
  <c r="G4473" i="16"/>
  <c r="F4473" i="16"/>
  <c r="G4472" i="16"/>
  <c r="F4472" i="16"/>
  <c r="E4472" i="16"/>
  <c r="I4472" i="16"/>
  <c r="H4472" i="16"/>
  <c r="I4471" i="16"/>
  <c r="G4471" i="16"/>
  <c r="E4471" i="16"/>
  <c r="H4471" i="16"/>
  <c r="F4471" i="16"/>
  <c r="I4470" i="16"/>
  <c r="H4470" i="16"/>
  <c r="E4470" i="16"/>
  <c r="F4470" i="16"/>
  <c r="G4470" i="16"/>
  <c r="E4469" i="16"/>
  <c r="I4469" i="16"/>
  <c r="H4469" i="16"/>
  <c r="F4469" i="16"/>
  <c r="G4469" i="16"/>
  <c r="G4468" i="16"/>
  <c r="H4468" i="16"/>
  <c r="I4468" i="16"/>
  <c r="E4468" i="16"/>
  <c r="F4468" i="16"/>
  <c r="G4467" i="16"/>
  <c r="H4467" i="16"/>
  <c r="I4467" i="16"/>
  <c r="E4467" i="16"/>
  <c r="F4467" i="16"/>
  <c r="F4466" i="16"/>
  <c r="G4466" i="16"/>
  <c r="H4466" i="16"/>
  <c r="I4466" i="16"/>
  <c r="E4466" i="16"/>
  <c r="I4465" i="16"/>
  <c r="F4465" i="16"/>
  <c r="H4465" i="16"/>
  <c r="E4465" i="16"/>
  <c r="G4465" i="16"/>
  <c r="H4464" i="16"/>
  <c r="F4464" i="16"/>
  <c r="E4464" i="16"/>
  <c r="I4464" i="16"/>
  <c r="G4464" i="16"/>
  <c r="H4463" i="16"/>
  <c r="G4463" i="16"/>
  <c r="I4463" i="16"/>
  <c r="F4463" i="16"/>
  <c r="E4463" i="16"/>
  <c r="E4462" i="16"/>
  <c r="H4462" i="16"/>
  <c r="F4462" i="16"/>
  <c r="G4462" i="16"/>
  <c r="I4462" i="16"/>
  <c r="F4461" i="16"/>
  <c r="E4461" i="16"/>
  <c r="H4461" i="16"/>
  <c r="G4461" i="16"/>
  <c r="I4461" i="16"/>
  <c r="I4460" i="16"/>
  <c r="H4460" i="16"/>
  <c r="F4460" i="16"/>
  <c r="E4460" i="16"/>
  <c r="G4460" i="16"/>
  <c r="E4459" i="16"/>
  <c r="G4459" i="16"/>
  <c r="H4459" i="16"/>
  <c r="F4459" i="16"/>
  <c r="I4459" i="16"/>
  <c r="E4458" i="16"/>
  <c r="H4458" i="16"/>
  <c r="I4458" i="16"/>
  <c r="G4458" i="16"/>
  <c r="F4458" i="16"/>
  <c r="E4457" i="16"/>
  <c r="G4457" i="16"/>
  <c r="I4457" i="16"/>
  <c r="F4457" i="16"/>
  <c r="H4457" i="16"/>
  <c r="G4456" i="16"/>
  <c r="I4456" i="16"/>
  <c r="F4456" i="16"/>
  <c r="H4456" i="16"/>
  <c r="E4456" i="16"/>
  <c r="E4455" i="16"/>
  <c r="G4455" i="16"/>
  <c r="I4455" i="16"/>
  <c r="H4455" i="16"/>
  <c r="F4455" i="16"/>
  <c r="I4454" i="16"/>
  <c r="H4454" i="16"/>
  <c r="G4454" i="16"/>
  <c r="F4454" i="16"/>
  <c r="E4454" i="16"/>
  <c r="F4453" i="16"/>
  <c r="G4453" i="16"/>
  <c r="E4453" i="16"/>
  <c r="I4453" i="16"/>
  <c r="H4453" i="16"/>
  <c r="I4452" i="16"/>
  <c r="H4452" i="16"/>
  <c r="G4452" i="16"/>
  <c r="F4452" i="16"/>
  <c r="E4452" i="16"/>
  <c r="H4451" i="16"/>
  <c r="F4451" i="16"/>
  <c r="E4451" i="16"/>
  <c r="I4451" i="16"/>
  <c r="G4451" i="16"/>
  <c r="H4450" i="16"/>
  <c r="F4450" i="16"/>
  <c r="E4450" i="16"/>
  <c r="I4450" i="16"/>
  <c r="G4450" i="16"/>
  <c r="G4449" i="16"/>
  <c r="H4449" i="16"/>
  <c r="I4449" i="16"/>
  <c r="F4449" i="16"/>
  <c r="E4449" i="16"/>
  <c r="F4448" i="16"/>
  <c r="E4448" i="16"/>
  <c r="I4448" i="16"/>
  <c r="H4448" i="16"/>
  <c r="G4448" i="16"/>
  <c r="H4447" i="16"/>
  <c r="F4447" i="16"/>
  <c r="G4447" i="16"/>
  <c r="E4447" i="16"/>
  <c r="I4447" i="16"/>
  <c r="G4446" i="16"/>
  <c r="E4446" i="16"/>
  <c r="I4446" i="16"/>
  <c r="H4446" i="16"/>
  <c r="F4446" i="16"/>
  <c r="I4445" i="16"/>
  <c r="F4445" i="16"/>
  <c r="E4445" i="16"/>
  <c r="H4445" i="16"/>
  <c r="G4445" i="16"/>
  <c r="I4444" i="16"/>
  <c r="H4444" i="16"/>
  <c r="F4444" i="16"/>
  <c r="G4444" i="16"/>
  <c r="E4444" i="16"/>
  <c r="I4443" i="16"/>
  <c r="F4443" i="16"/>
  <c r="G4443" i="16"/>
  <c r="H4443" i="16"/>
  <c r="E4443" i="16"/>
  <c r="E4442" i="16"/>
  <c r="H4442" i="16"/>
  <c r="F4442" i="16"/>
  <c r="I4442" i="16"/>
  <c r="G4442" i="16"/>
  <c r="H4441" i="16"/>
  <c r="F4441" i="16"/>
  <c r="E4441" i="16"/>
  <c r="G4441" i="16"/>
  <c r="I4441" i="16"/>
  <c r="H4440" i="16"/>
  <c r="F4440" i="16"/>
  <c r="E4440" i="16"/>
  <c r="G4440" i="16"/>
  <c r="I4440" i="16"/>
  <c r="F4439" i="16"/>
  <c r="I4439" i="16"/>
  <c r="H4439" i="16"/>
  <c r="G4439" i="16"/>
  <c r="E4439" i="16"/>
  <c r="I4438" i="16"/>
  <c r="F4438" i="16"/>
  <c r="E4438" i="16"/>
  <c r="H4438" i="16"/>
  <c r="G4438" i="16"/>
  <c r="H4437" i="16"/>
  <c r="G4437" i="16"/>
  <c r="E4437" i="16"/>
  <c r="F4437" i="16"/>
  <c r="I4437" i="16"/>
  <c r="F4436" i="16"/>
  <c r="I4436" i="16"/>
  <c r="H4436" i="16"/>
  <c r="G4436" i="16"/>
  <c r="E4436" i="16"/>
  <c r="I4435" i="16"/>
  <c r="G4435" i="16"/>
  <c r="H4435" i="16"/>
  <c r="F4435" i="16"/>
  <c r="E4435" i="16"/>
  <c r="E4434" i="16"/>
  <c r="I4434" i="16"/>
  <c r="H4434" i="16"/>
  <c r="G4434" i="16"/>
  <c r="F4434" i="16"/>
  <c r="F4433" i="16"/>
  <c r="E4433" i="16"/>
  <c r="G4433" i="16"/>
  <c r="H4433" i="16"/>
  <c r="I4433" i="16"/>
  <c r="E4432" i="16"/>
  <c r="G4432" i="16"/>
  <c r="H4432" i="16"/>
  <c r="I4432" i="16"/>
  <c r="F4432" i="16"/>
  <c r="I4431" i="16"/>
  <c r="E4431" i="16"/>
  <c r="F4431" i="16"/>
  <c r="G4431" i="16"/>
  <c r="H4431" i="16"/>
  <c r="E4430" i="16"/>
  <c r="F4430" i="16"/>
  <c r="H4430" i="16"/>
  <c r="I4430" i="16"/>
  <c r="G4430" i="16"/>
  <c r="H4429" i="16"/>
  <c r="G4429" i="16"/>
  <c r="F4429" i="16"/>
  <c r="E4429" i="16"/>
  <c r="I4429" i="16"/>
  <c r="H4428" i="16"/>
  <c r="F4428" i="16"/>
  <c r="E4428" i="16"/>
  <c r="G4428" i="16"/>
  <c r="I4428" i="16"/>
  <c r="G4427" i="16"/>
  <c r="I4427" i="16"/>
  <c r="H4427" i="16"/>
  <c r="F4427" i="16"/>
  <c r="E4427" i="16"/>
  <c r="F4426" i="16"/>
  <c r="H4426" i="16"/>
  <c r="E4426" i="16"/>
  <c r="G4426" i="16"/>
  <c r="I4426" i="16"/>
  <c r="G4425" i="16"/>
  <c r="E4425" i="16"/>
  <c r="H4425" i="16"/>
  <c r="I4425" i="16"/>
  <c r="F4425" i="16"/>
  <c r="H4424" i="16"/>
  <c r="E4424" i="16"/>
  <c r="G4424" i="16"/>
  <c r="I4424" i="16"/>
  <c r="F4424" i="16"/>
  <c r="E4423" i="16"/>
  <c r="F4423" i="16"/>
  <c r="H4423" i="16"/>
  <c r="G4423" i="16"/>
  <c r="I4423" i="16"/>
  <c r="E4422" i="16"/>
  <c r="I4422" i="16"/>
  <c r="G4422" i="16"/>
  <c r="F4422" i="16"/>
  <c r="H4422" i="16"/>
  <c r="E4421" i="16"/>
  <c r="I4421" i="16"/>
  <c r="G4421" i="16"/>
  <c r="H4421" i="16"/>
  <c r="F4421" i="16"/>
  <c r="I4420" i="16"/>
  <c r="H4420" i="16"/>
  <c r="G4420" i="16"/>
  <c r="F4420" i="16"/>
  <c r="E4420" i="16"/>
  <c r="G4419" i="16"/>
  <c r="E4419" i="16"/>
  <c r="F4419" i="16"/>
  <c r="I4419" i="16"/>
  <c r="H4419" i="16"/>
  <c r="F4418" i="16"/>
  <c r="G4418" i="16"/>
  <c r="I4418" i="16"/>
  <c r="H4418" i="16"/>
  <c r="E4418" i="16"/>
  <c r="E4417" i="16"/>
  <c r="G4417" i="16"/>
  <c r="F4417" i="16"/>
  <c r="H4417" i="16"/>
  <c r="I4417" i="16"/>
  <c r="F4416" i="16"/>
  <c r="H4416" i="16"/>
  <c r="I4416" i="16"/>
  <c r="E4416" i="16"/>
  <c r="G4416" i="16"/>
  <c r="E4415" i="16"/>
  <c r="F4415" i="16"/>
  <c r="G4415" i="16"/>
  <c r="H4415" i="16"/>
  <c r="I4415" i="16"/>
  <c r="G4414" i="16"/>
  <c r="E4414" i="16"/>
  <c r="I4414" i="16"/>
  <c r="H4414" i="16"/>
  <c r="F4414" i="16"/>
  <c r="I4413" i="16"/>
  <c r="H4413" i="16"/>
  <c r="E4413" i="16"/>
  <c r="G4413" i="16"/>
  <c r="F4413" i="16"/>
  <c r="I4412" i="16"/>
  <c r="H4412" i="16"/>
  <c r="F4412" i="16"/>
  <c r="E4412" i="16"/>
  <c r="G4412" i="16"/>
  <c r="E4411" i="16"/>
  <c r="G4411" i="16"/>
  <c r="H4411" i="16"/>
  <c r="F4411" i="16"/>
  <c r="I4411" i="16"/>
  <c r="E4410" i="16"/>
  <c r="F4410" i="16"/>
  <c r="G4410" i="16"/>
  <c r="I4410" i="16"/>
  <c r="H4410" i="16"/>
  <c r="G4409" i="16"/>
  <c r="E4409" i="16"/>
  <c r="I4409" i="16"/>
  <c r="H4409" i="16"/>
  <c r="F4409" i="16"/>
  <c r="G4408" i="16"/>
  <c r="E4408" i="16"/>
  <c r="F4408" i="16"/>
  <c r="H4408" i="16"/>
  <c r="I4408" i="16"/>
  <c r="G4407" i="16"/>
  <c r="I4407" i="16"/>
  <c r="H4407" i="16"/>
  <c r="F4407" i="16"/>
  <c r="E4407" i="16"/>
  <c r="I4406" i="16"/>
  <c r="F4406" i="16"/>
  <c r="H4406" i="16"/>
  <c r="E4406" i="16"/>
  <c r="G4406" i="16"/>
  <c r="H4405" i="16"/>
  <c r="E4405" i="16"/>
  <c r="I4405" i="16"/>
  <c r="G4405" i="16"/>
  <c r="F4405" i="16"/>
  <c r="E4404" i="16"/>
  <c r="F4404" i="16"/>
  <c r="H4404" i="16"/>
  <c r="G4404" i="16"/>
  <c r="I4404" i="16"/>
  <c r="E4403" i="16"/>
  <c r="G4403" i="16"/>
  <c r="F4403" i="16"/>
  <c r="H4403" i="16"/>
  <c r="I4403" i="16"/>
  <c r="E4402" i="16"/>
  <c r="G4402" i="16"/>
  <c r="I4402" i="16"/>
  <c r="H4402" i="16"/>
  <c r="F4402" i="16"/>
  <c r="E4401" i="16"/>
  <c r="H4401" i="16"/>
  <c r="I4401" i="16"/>
  <c r="F4401" i="16"/>
  <c r="G4401" i="16"/>
  <c r="I4400" i="16"/>
  <c r="E4400" i="16"/>
  <c r="F4400" i="16"/>
  <c r="G4400" i="16"/>
  <c r="H4400" i="16"/>
  <c r="E4399" i="16"/>
  <c r="G4399" i="16"/>
  <c r="I4399" i="16"/>
  <c r="F4399" i="16"/>
  <c r="H4399" i="16"/>
  <c r="F4398" i="16"/>
  <c r="E4398" i="16"/>
  <c r="G4398" i="16"/>
  <c r="I4398" i="16"/>
  <c r="H4398" i="16"/>
  <c r="H4397" i="16"/>
  <c r="I4397" i="16"/>
  <c r="E4397" i="16"/>
  <c r="F4397" i="16"/>
  <c r="G4397" i="16"/>
  <c r="E4396" i="16"/>
  <c r="F4396" i="16"/>
  <c r="H4396" i="16"/>
  <c r="I4396" i="16"/>
  <c r="G4396" i="16"/>
  <c r="F4395" i="16"/>
  <c r="E4395" i="16"/>
  <c r="G4395" i="16"/>
  <c r="H4395" i="16"/>
  <c r="I4395" i="16"/>
  <c r="G4394" i="16"/>
  <c r="H4394" i="16"/>
  <c r="I4394" i="16"/>
  <c r="E4394" i="16"/>
  <c r="F4394" i="16"/>
  <c r="H4393" i="16"/>
  <c r="I4393" i="16"/>
  <c r="E4393" i="16"/>
  <c r="F4393" i="16"/>
  <c r="G4393" i="16"/>
  <c r="G4392" i="16"/>
  <c r="I4392" i="16"/>
  <c r="H4392" i="16"/>
  <c r="F4392" i="16"/>
  <c r="E4392" i="16"/>
  <c r="E4391" i="16"/>
  <c r="I4391" i="16"/>
  <c r="F4391" i="16"/>
  <c r="H4391" i="16"/>
  <c r="G4391" i="16"/>
  <c r="F4390" i="16"/>
  <c r="G4390" i="16"/>
  <c r="H4390" i="16"/>
  <c r="E4390" i="16"/>
  <c r="I4390" i="16"/>
  <c r="F4389" i="16"/>
  <c r="G4389" i="16"/>
  <c r="H4389" i="16"/>
  <c r="I4389" i="16"/>
  <c r="E4389" i="16"/>
  <c r="E4388" i="16"/>
  <c r="I4388" i="16"/>
  <c r="H4388" i="16"/>
  <c r="G4388" i="16"/>
  <c r="F4388" i="16"/>
  <c r="I4387" i="16"/>
  <c r="H4387" i="16"/>
  <c r="G4387" i="16"/>
  <c r="F4387" i="16"/>
  <c r="E4387" i="16"/>
  <c r="I4386" i="16"/>
  <c r="G4386" i="16"/>
  <c r="F4386" i="16"/>
  <c r="E4386" i="16"/>
  <c r="H4386" i="16"/>
  <c r="F4385" i="16"/>
  <c r="E4385" i="16"/>
  <c r="I4385" i="16"/>
  <c r="G4385" i="16"/>
  <c r="H4385" i="16"/>
  <c r="I4384" i="16"/>
  <c r="H4384" i="16"/>
  <c r="G4384" i="16"/>
  <c r="F4384" i="16"/>
  <c r="E4384" i="16"/>
  <c r="I4383" i="16"/>
  <c r="H4383" i="16"/>
  <c r="G4383" i="16"/>
  <c r="F4383" i="16"/>
  <c r="E4383" i="16"/>
  <c r="H4382" i="16"/>
  <c r="G4382" i="16"/>
  <c r="F4382" i="16"/>
  <c r="E4382" i="16"/>
  <c r="I4382" i="16"/>
  <c r="I4381" i="16"/>
  <c r="H4381" i="16"/>
  <c r="G4381" i="16"/>
  <c r="F4381" i="16"/>
  <c r="E4381" i="16"/>
  <c r="I4380" i="16"/>
  <c r="H4380" i="16"/>
  <c r="G4380" i="16"/>
  <c r="F4380" i="16"/>
  <c r="E4380" i="16"/>
  <c r="I4379" i="16"/>
  <c r="H4379" i="16"/>
  <c r="G4379" i="16"/>
  <c r="E4379" i="16"/>
  <c r="F4379" i="16"/>
  <c r="G4378" i="16"/>
  <c r="F4378" i="16"/>
  <c r="E4378" i="16"/>
  <c r="I4378" i="16"/>
  <c r="H4378" i="16"/>
  <c r="I4377" i="16"/>
  <c r="G4377" i="16"/>
  <c r="E4377" i="16"/>
  <c r="H4377" i="16"/>
  <c r="F4377" i="16"/>
  <c r="F4376" i="16"/>
  <c r="E4376" i="16"/>
  <c r="G4376" i="16"/>
  <c r="H4376" i="16"/>
  <c r="I4376" i="16"/>
  <c r="I4375" i="16"/>
  <c r="H4375" i="16"/>
  <c r="F4375" i="16"/>
  <c r="E4375" i="16"/>
  <c r="G4375" i="16"/>
  <c r="I4374" i="16"/>
  <c r="H4374" i="16"/>
  <c r="G4374" i="16"/>
  <c r="F4374" i="16"/>
  <c r="E4374" i="16"/>
  <c r="F4373" i="16"/>
  <c r="I4373" i="16"/>
  <c r="H4373" i="16"/>
  <c r="G4373" i="16"/>
  <c r="E4373" i="16"/>
  <c r="I4372" i="16"/>
  <c r="H4372" i="16"/>
  <c r="G4372" i="16"/>
  <c r="F4372" i="16"/>
  <c r="E4372" i="16"/>
  <c r="H4371" i="16"/>
  <c r="I4371" i="16"/>
  <c r="E4371" i="16"/>
  <c r="F4371" i="16"/>
  <c r="G4371" i="16"/>
  <c r="I4370" i="16"/>
  <c r="H4370" i="16"/>
  <c r="G4370" i="16"/>
  <c r="F4370" i="16"/>
  <c r="E4370" i="16"/>
  <c r="I4369" i="16"/>
  <c r="H4369" i="16"/>
  <c r="G4369" i="16"/>
  <c r="F4369" i="16"/>
  <c r="E4369" i="16"/>
  <c r="G4368" i="16"/>
  <c r="I4368" i="16"/>
  <c r="E4368" i="16"/>
  <c r="F4368" i="16"/>
  <c r="H4368" i="16"/>
  <c r="H4367" i="16"/>
  <c r="G4367" i="16"/>
  <c r="F4367" i="16"/>
  <c r="E4367" i="16"/>
  <c r="I4367" i="16"/>
  <c r="F4366" i="16"/>
  <c r="H4366" i="16"/>
  <c r="I4366" i="16"/>
  <c r="E4366" i="16"/>
  <c r="G4366" i="16"/>
  <c r="G4365" i="16"/>
  <c r="I4365" i="16"/>
  <c r="F4365" i="16"/>
  <c r="E4365" i="16"/>
  <c r="H4365" i="16"/>
  <c r="I4364" i="16"/>
  <c r="H4364" i="16"/>
  <c r="E4364" i="16"/>
  <c r="F4364" i="16"/>
  <c r="G4364" i="16"/>
  <c r="E4363" i="16"/>
  <c r="I4363" i="16"/>
  <c r="H4363" i="16"/>
  <c r="G4363" i="16"/>
  <c r="F4363" i="16"/>
  <c r="G4362" i="16"/>
  <c r="H4362" i="16"/>
  <c r="I4362" i="16"/>
  <c r="F4362" i="16"/>
  <c r="E4362" i="16"/>
  <c r="E4361" i="16"/>
  <c r="I4361" i="16"/>
  <c r="H4361" i="16"/>
  <c r="G4361" i="16"/>
  <c r="F4361" i="16"/>
  <c r="H4360" i="16"/>
  <c r="G4360" i="16"/>
  <c r="F4360" i="16"/>
  <c r="E4360" i="16"/>
  <c r="I4360" i="16"/>
  <c r="G4359" i="16"/>
  <c r="F4359" i="16"/>
  <c r="H4359" i="16"/>
  <c r="E4359" i="16"/>
  <c r="I4359" i="16"/>
  <c r="E4358" i="16"/>
  <c r="F4358" i="16"/>
  <c r="G4358" i="16"/>
  <c r="H4358" i="16"/>
  <c r="I4358" i="16"/>
  <c r="E4357" i="16"/>
  <c r="G4357" i="16"/>
  <c r="H4357" i="16"/>
  <c r="I4357" i="16"/>
  <c r="F4357" i="16"/>
  <c r="F4356" i="16"/>
  <c r="E4356" i="16"/>
  <c r="G4356" i="16"/>
  <c r="H4356" i="16"/>
  <c r="I4356" i="16"/>
  <c r="F4355" i="16"/>
  <c r="G4355" i="16"/>
  <c r="E4355" i="16"/>
  <c r="I4355" i="16"/>
  <c r="H4355" i="16"/>
  <c r="I4354" i="16"/>
  <c r="H4354" i="16"/>
  <c r="F4354" i="16"/>
  <c r="E4354" i="16"/>
  <c r="G4354" i="16"/>
  <c r="G4353" i="16"/>
  <c r="H4353" i="16"/>
  <c r="I4353" i="16"/>
  <c r="E4353" i="16"/>
  <c r="F4353" i="16"/>
  <c r="H4352" i="16"/>
  <c r="G4352" i="16"/>
  <c r="E4352" i="16"/>
  <c r="F4352" i="16"/>
  <c r="I4352" i="16"/>
  <c r="F4351" i="16"/>
  <c r="I4351" i="16"/>
  <c r="H4351" i="16"/>
  <c r="E4351" i="16"/>
  <c r="G4351" i="16"/>
  <c r="H4350" i="16"/>
  <c r="I4350" i="16"/>
  <c r="F4350" i="16"/>
  <c r="G4350" i="16"/>
  <c r="E4350" i="16"/>
  <c r="F4349" i="16"/>
  <c r="G4349" i="16"/>
  <c r="H4349" i="16"/>
  <c r="I4349" i="16"/>
  <c r="E4349" i="16"/>
  <c r="H4348" i="16"/>
  <c r="G4348" i="16"/>
  <c r="F4348" i="16"/>
  <c r="E4348" i="16"/>
  <c r="I4348" i="16"/>
  <c r="F4347" i="16"/>
  <c r="E4347" i="16"/>
  <c r="I4347" i="16"/>
  <c r="H4347" i="16"/>
  <c r="G4347" i="16"/>
  <c r="E4346" i="16"/>
  <c r="G4346" i="16"/>
  <c r="H4346" i="16"/>
  <c r="I4346" i="16"/>
  <c r="F4346" i="16"/>
  <c r="E4345" i="16"/>
  <c r="G4345" i="16"/>
  <c r="F4345" i="16"/>
  <c r="I4345" i="16"/>
  <c r="H4345" i="16"/>
  <c r="G4344" i="16"/>
  <c r="H4344" i="16"/>
  <c r="E4344" i="16"/>
  <c r="I4344" i="16"/>
  <c r="F4344" i="16"/>
  <c r="F4343" i="16"/>
  <c r="I4343" i="16"/>
  <c r="H4343" i="16"/>
  <c r="G4343" i="16"/>
  <c r="E4343" i="16"/>
  <c r="G4342" i="16"/>
  <c r="H4342" i="16"/>
  <c r="F4342" i="16"/>
  <c r="I4342" i="16"/>
  <c r="E4342" i="16"/>
  <c r="H4341" i="16"/>
  <c r="G4341" i="16"/>
  <c r="F4341" i="16"/>
  <c r="E4341" i="16"/>
  <c r="I4341" i="16"/>
  <c r="H4340" i="16"/>
  <c r="G4340" i="16"/>
  <c r="F4340" i="16"/>
  <c r="E4340" i="16"/>
  <c r="I4340" i="16"/>
  <c r="H4339" i="16"/>
  <c r="I4339" i="16"/>
  <c r="E4339" i="16"/>
  <c r="F4339" i="16"/>
  <c r="G4339" i="16"/>
  <c r="F4338" i="16"/>
  <c r="G4338" i="16"/>
  <c r="H4338" i="16"/>
  <c r="I4338" i="16"/>
  <c r="E4338" i="16"/>
  <c r="I4337" i="16"/>
  <c r="E4337" i="16"/>
  <c r="F4337" i="16"/>
  <c r="H4337" i="16"/>
  <c r="G4337" i="16"/>
  <c r="H4336" i="16"/>
  <c r="I4336" i="16"/>
  <c r="G4336" i="16"/>
  <c r="F4336" i="16"/>
  <c r="E4336" i="16"/>
  <c r="H4335" i="16"/>
  <c r="E4335" i="16"/>
  <c r="F4335" i="16"/>
  <c r="G4335" i="16"/>
  <c r="I4335" i="16"/>
  <c r="H4334" i="16"/>
  <c r="F4334" i="16"/>
  <c r="E4334" i="16"/>
  <c r="I4334" i="16"/>
  <c r="G4334" i="16"/>
  <c r="G4333" i="16"/>
  <c r="H4333" i="16"/>
  <c r="I4333" i="16"/>
  <c r="F4333" i="16"/>
  <c r="E4333" i="16"/>
  <c r="H4332" i="16"/>
  <c r="G4332" i="16"/>
  <c r="F4332" i="16"/>
  <c r="E4332" i="16"/>
  <c r="I4332" i="16"/>
  <c r="B4214" i="16"/>
  <c r="G4213" i="16"/>
  <c r="E4213" i="16"/>
  <c r="C4213" i="16"/>
  <c r="I4213" i="16"/>
  <c r="C4159" i="16"/>
  <c r="E4159" i="16"/>
  <c r="F4159" i="16"/>
  <c r="G4159" i="16"/>
  <c r="K4159" i="16"/>
  <c r="B4160" i="16"/>
  <c r="G4105" i="16"/>
  <c r="E4105" i="16"/>
  <c r="B4106" i="16"/>
  <c r="C4105" i="16"/>
  <c r="F4105" i="16" s="1"/>
  <c r="K4105" i="16"/>
  <c r="C4051" i="16"/>
  <c r="I4051" i="16"/>
  <c r="B4052" i="16"/>
  <c r="G4051" i="16"/>
  <c r="F4051" i="16"/>
  <c r="E4051" i="16"/>
  <c r="AJ4045" i="16"/>
  <c r="AK4045" i="16"/>
  <c r="AL4045" i="16"/>
  <c r="AM4045" i="16"/>
  <c r="AF4045" i="16"/>
  <c r="AC4045" i="16"/>
  <c r="AB4045" i="16"/>
  <c r="AA4045" i="16"/>
  <c r="Z4045" i="16"/>
  <c r="V4045" i="16"/>
  <c r="P4045" i="16"/>
  <c r="R4045" i="16"/>
  <c r="Q4045" i="16"/>
  <c r="L4045" i="16"/>
  <c r="S4045" i="16"/>
  <c r="G4045" i="16"/>
  <c r="B4045" i="16"/>
  <c r="F4045" i="16"/>
  <c r="H4045" i="16"/>
  <c r="I4045" i="16"/>
  <c r="AF4044" i="16"/>
  <c r="AJ4044" i="16"/>
  <c r="AK4044" i="16"/>
  <c r="AL4044" i="16"/>
  <c r="AM4044" i="16"/>
  <c r="AC4044" i="16"/>
  <c r="AB4044" i="16"/>
  <c r="AA4044" i="16"/>
  <c r="Z4044" i="16"/>
  <c r="V4044" i="16"/>
  <c r="P4044" i="16"/>
  <c r="S4044" i="16"/>
  <c r="L4044" i="16"/>
  <c r="Q4044" i="16"/>
  <c r="R4044" i="16"/>
  <c r="I4044" i="16"/>
  <c r="B4044" i="16"/>
  <c r="F4044" i="16"/>
  <c r="G4044" i="16"/>
  <c r="H4044" i="16"/>
  <c r="AJ4043" i="16"/>
  <c r="AF4043" i="16"/>
  <c r="AL4043" i="16"/>
  <c r="AM4043" i="16"/>
  <c r="AK4043" i="16"/>
  <c r="AC4043" i="16"/>
  <c r="AB4043" i="16"/>
  <c r="V4043" i="16"/>
  <c r="Z4043" i="16"/>
  <c r="AA4043" i="16"/>
  <c r="L4043" i="16"/>
  <c r="P4043" i="16"/>
  <c r="Q4043" i="16"/>
  <c r="R4043" i="16"/>
  <c r="S4043" i="16"/>
  <c r="G4043" i="16"/>
  <c r="B4043" i="16"/>
  <c r="F4043" i="16"/>
  <c r="I4043" i="16"/>
  <c r="H4043" i="16"/>
  <c r="AK4042" i="16"/>
  <c r="AL4042" i="16"/>
  <c r="AM4042" i="16"/>
  <c r="AF4042" i="16"/>
  <c r="AJ4042" i="16"/>
  <c r="AC4042" i="16"/>
  <c r="AB4042" i="16"/>
  <c r="Z4042" i="16"/>
  <c r="V4042" i="16"/>
  <c r="AA4042" i="16"/>
  <c r="S4042" i="16"/>
  <c r="R4042" i="16"/>
  <c r="Q4042" i="16"/>
  <c r="P4042" i="16"/>
  <c r="L4042" i="16"/>
  <c r="F4042" i="16"/>
  <c r="G4042" i="16"/>
  <c r="H4042" i="16"/>
  <c r="I4042" i="16"/>
  <c r="B4042" i="16"/>
  <c r="AJ4041" i="16"/>
  <c r="AK4041" i="16"/>
  <c r="AL4041" i="16"/>
  <c r="AM4041" i="16"/>
  <c r="AF4041" i="16"/>
  <c r="AA4041" i="16"/>
  <c r="Z4041" i="16"/>
  <c r="AB4041" i="16"/>
  <c r="V4041" i="16"/>
  <c r="AC4041" i="16"/>
  <c r="P4041" i="16"/>
  <c r="Q4041" i="16"/>
  <c r="R4041" i="16"/>
  <c r="L4041" i="16"/>
  <c r="S4041" i="16"/>
  <c r="I4041" i="16"/>
  <c r="H4041" i="16"/>
  <c r="G4041" i="16"/>
  <c r="F4041" i="16"/>
  <c r="B4041" i="16"/>
  <c r="AM4040" i="16"/>
  <c r="AJ4040" i="16"/>
  <c r="AL4040" i="16"/>
  <c r="AK4040" i="16"/>
  <c r="AF4040" i="16"/>
  <c r="AB4040" i="16"/>
  <c r="AC4040" i="16"/>
  <c r="AA4040" i="16"/>
  <c r="Z4040" i="16"/>
  <c r="V4040" i="16"/>
  <c r="L4040" i="16"/>
  <c r="P4040" i="16"/>
  <c r="Q4040" i="16"/>
  <c r="R4040" i="16"/>
  <c r="S4040" i="16"/>
  <c r="F4040" i="16"/>
  <c r="G4040" i="16"/>
  <c r="H4040" i="16"/>
  <c r="I4040" i="16"/>
  <c r="B4040" i="16"/>
  <c r="AF4039" i="16"/>
  <c r="AJ4039" i="16"/>
  <c r="AK4039" i="16"/>
  <c r="AL4039" i="16"/>
  <c r="AM4039" i="16"/>
  <c r="V4039" i="16"/>
  <c r="AC4039" i="16"/>
  <c r="AB4039" i="16"/>
  <c r="AA4039" i="16"/>
  <c r="Z4039" i="16"/>
  <c r="P4039" i="16"/>
  <c r="Q4039" i="16"/>
  <c r="R4039" i="16"/>
  <c r="S4039" i="16"/>
  <c r="L4039" i="16"/>
  <c r="F4039" i="16"/>
  <c r="G4039" i="16"/>
  <c r="H4039" i="16"/>
  <c r="I4039" i="16"/>
  <c r="B4039" i="16"/>
  <c r="AF4038" i="16"/>
  <c r="AJ4038" i="16"/>
  <c r="AK4038" i="16"/>
  <c r="AL4038" i="16"/>
  <c r="AM4038" i="16"/>
  <c r="AA4038" i="16"/>
  <c r="V4038" i="16"/>
  <c r="Z4038" i="16"/>
  <c r="AC4038" i="16"/>
  <c r="AB4038" i="16"/>
  <c r="R4038" i="16"/>
  <c r="L4038" i="16"/>
  <c r="S4038" i="16"/>
  <c r="P4038" i="16"/>
  <c r="Q4038" i="16"/>
  <c r="G4038" i="16"/>
  <c r="F4038" i="16"/>
  <c r="B4038" i="16"/>
  <c r="H4038" i="16"/>
  <c r="I4038" i="16"/>
  <c r="AK4037" i="16"/>
  <c r="AM4037" i="16"/>
  <c r="AJ4037" i="16"/>
  <c r="AF4037" i="16"/>
  <c r="AL4037" i="16"/>
  <c r="AC4037" i="16"/>
  <c r="AB4037" i="16"/>
  <c r="AA4037" i="16"/>
  <c r="V4037" i="16"/>
  <c r="Z4037" i="16"/>
  <c r="L4037" i="16"/>
  <c r="P4037" i="16"/>
  <c r="Q4037" i="16"/>
  <c r="R4037" i="16"/>
  <c r="S4037" i="16"/>
  <c r="H4037" i="16"/>
  <c r="I4037" i="16"/>
  <c r="G4037" i="16"/>
  <c r="F4037" i="16"/>
  <c r="B4037" i="16"/>
  <c r="AF4036" i="16"/>
  <c r="AM4036" i="16"/>
  <c r="AK4036" i="16"/>
  <c r="AL4036" i="16"/>
  <c r="AJ4036" i="16"/>
  <c r="AA4036" i="16"/>
  <c r="V4036" i="16"/>
  <c r="AB4036" i="16"/>
  <c r="AC4036" i="16"/>
  <c r="Z4036" i="16"/>
  <c r="R4036" i="16"/>
  <c r="S4036" i="16"/>
  <c r="Q4036" i="16"/>
  <c r="P4036" i="16"/>
  <c r="L4036" i="16"/>
  <c r="I4036" i="16"/>
  <c r="H4036" i="16"/>
  <c r="G4036" i="16"/>
  <c r="F4036" i="16"/>
  <c r="B4036" i="16"/>
  <c r="AJ4035" i="16"/>
  <c r="AF4035" i="16"/>
  <c r="AM4035" i="16"/>
  <c r="AL4035" i="16"/>
  <c r="AK4035" i="16"/>
  <c r="Z4035" i="16"/>
  <c r="V4035" i="16"/>
  <c r="AC4035" i="16"/>
  <c r="AB4035" i="16"/>
  <c r="AA4035" i="16"/>
  <c r="S4035" i="16"/>
  <c r="R4035" i="16"/>
  <c r="Q4035" i="16"/>
  <c r="P4035" i="16"/>
  <c r="L4035" i="16"/>
  <c r="I4035" i="16"/>
  <c r="H4035" i="16"/>
  <c r="G4035" i="16"/>
  <c r="F4035" i="16"/>
  <c r="B4035" i="16"/>
  <c r="AM4034" i="16"/>
  <c r="AL4034" i="16"/>
  <c r="AK4034" i="16"/>
  <c r="AJ4034" i="16"/>
  <c r="AF4034" i="16"/>
  <c r="Z4034" i="16"/>
  <c r="V4034" i="16"/>
  <c r="AC4034" i="16"/>
  <c r="AB4034" i="16"/>
  <c r="AA4034" i="16"/>
  <c r="P4034" i="16"/>
  <c r="L4034" i="16"/>
  <c r="S4034" i="16"/>
  <c r="R4034" i="16"/>
  <c r="Q4034" i="16"/>
  <c r="F4034" i="16"/>
  <c r="I4034" i="16"/>
  <c r="H4034" i="16"/>
  <c r="G4034" i="16"/>
  <c r="B4034" i="16"/>
  <c r="AF4033" i="16"/>
  <c r="AM4033" i="16"/>
  <c r="AL4033" i="16"/>
  <c r="AK4033" i="16"/>
  <c r="AJ4033" i="16"/>
  <c r="AC4033" i="16"/>
  <c r="AB4033" i="16"/>
  <c r="AA4033" i="16"/>
  <c r="Z4033" i="16"/>
  <c r="V4033" i="16"/>
  <c r="P4033" i="16"/>
  <c r="L4033" i="16"/>
  <c r="S4033" i="16"/>
  <c r="R4033" i="16"/>
  <c r="Q4033" i="16"/>
  <c r="B4033" i="16"/>
  <c r="F4033" i="16"/>
  <c r="I4033" i="16"/>
  <c r="H4033" i="16"/>
  <c r="G4033" i="16"/>
  <c r="AM4032" i="16"/>
  <c r="AL4032" i="16"/>
  <c r="AK4032" i="16"/>
  <c r="AJ4032" i="16"/>
  <c r="AF4032" i="16"/>
  <c r="AC4032" i="16"/>
  <c r="AB4032" i="16"/>
  <c r="AA4032" i="16"/>
  <c r="Z4032" i="16"/>
  <c r="V4032" i="16"/>
  <c r="S4032" i="16"/>
  <c r="R4032" i="16"/>
  <c r="Q4032" i="16"/>
  <c r="P4032" i="16"/>
  <c r="L4032" i="16"/>
  <c r="F4032" i="16"/>
  <c r="I4032" i="16"/>
  <c r="B4032" i="16"/>
  <c r="H4032" i="16"/>
  <c r="G4032" i="16"/>
  <c r="AJ4031" i="16"/>
  <c r="AF4031" i="16"/>
  <c r="AM4031" i="16"/>
  <c r="AL4031" i="16"/>
  <c r="AK4031" i="16"/>
  <c r="Z4031" i="16"/>
  <c r="AC4031" i="16"/>
  <c r="AB4031" i="16"/>
  <c r="AA4031" i="16"/>
  <c r="V4031" i="16"/>
  <c r="P4031" i="16"/>
  <c r="S4031" i="16"/>
  <c r="R4031" i="16"/>
  <c r="Q4031" i="16"/>
  <c r="L4031" i="16"/>
  <c r="I4031" i="16"/>
  <c r="H4031" i="16"/>
  <c r="G4031" i="16"/>
  <c r="F4031" i="16"/>
  <c r="B4031" i="16"/>
  <c r="AJ4030" i="16"/>
  <c r="AF4030" i="16"/>
  <c r="AM4030" i="16"/>
  <c r="AL4030" i="16"/>
  <c r="AK4030" i="16"/>
  <c r="Z4030" i="16"/>
  <c r="V4030" i="16"/>
  <c r="AC4030" i="16"/>
  <c r="AB4030" i="16"/>
  <c r="AA4030" i="16"/>
  <c r="S4030" i="16"/>
  <c r="R4030" i="16"/>
  <c r="Q4030" i="16"/>
  <c r="P4030" i="16"/>
  <c r="L4030" i="16"/>
  <c r="G4030" i="16"/>
  <c r="I4030" i="16"/>
  <c r="H4030" i="16"/>
  <c r="F4030" i="16"/>
  <c r="B4030" i="16"/>
  <c r="AK4029" i="16"/>
  <c r="AM4029" i="16"/>
  <c r="AL4029" i="16"/>
  <c r="AJ4029" i="16"/>
  <c r="AF4029" i="16"/>
  <c r="Z4029" i="16"/>
  <c r="V4029" i="16"/>
  <c r="AC4029" i="16"/>
  <c r="AB4029" i="16"/>
  <c r="AA4029" i="16"/>
  <c r="P4029" i="16"/>
  <c r="L4029" i="16"/>
  <c r="S4029" i="16"/>
  <c r="R4029" i="16"/>
  <c r="Q4029" i="16"/>
  <c r="I4029" i="16"/>
  <c r="H4029" i="16"/>
  <c r="G4029" i="16"/>
  <c r="F4029" i="16"/>
  <c r="B4029" i="16"/>
  <c r="AM4028" i="16"/>
  <c r="AL4028" i="16"/>
  <c r="AK4028" i="16"/>
  <c r="AJ4028" i="16"/>
  <c r="AF4028" i="16"/>
  <c r="AC4028" i="16"/>
  <c r="AB4028" i="16"/>
  <c r="AA4028" i="16"/>
  <c r="Z4028" i="16"/>
  <c r="V4028" i="16"/>
  <c r="S4028" i="16"/>
  <c r="R4028" i="16"/>
  <c r="Q4028" i="16"/>
  <c r="P4028" i="16"/>
  <c r="L4028" i="16"/>
  <c r="F4028" i="16"/>
  <c r="G4028" i="16"/>
  <c r="H4028" i="16"/>
  <c r="I4028" i="16"/>
  <c r="B4028" i="16"/>
  <c r="AL4027" i="16"/>
  <c r="AM4027" i="16"/>
  <c r="AK4027" i="16"/>
  <c r="AJ4027" i="16"/>
  <c r="AF4027" i="16"/>
  <c r="AC4027" i="16"/>
  <c r="AB4027" i="16"/>
  <c r="AA4027" i="16"/>
  <c r="Z4027" i="16"/>
  <c r="V4027" i="16"/>
  <c r="L4027" i="16"/>
  <c r="S4027" i="16"/>
  <c r="P4027" i="16"/>
  <c r="Q4027" i="16"/>
  <c r="R4027" i="16"/>
  <c r="B4027" i="16"/>
  <c r="F4027" i="16"/>
  <c r="G4027" i="16"/>
  <c r="H4027" i="16"/>
  <c r="I4027" i="16"/>
  <c r="AM4026" i="16"/>
  <c r="AL4026" i="16"/>
  <c r="AK4026" i="16"/>
  <c r="AJ4026" i="16"/>
  <c r="AF4026" i="16"/>
  <c r="AC4026" i="16"/>
  <c r="AB4026" i="16"/>
  <c r="AA4026" i="16"/>
  <c r="Z4026" i="16"/>
  <c r="V4026" i="16"/>
  <c r="L4026" i="16"/>
  <c r="S4026" i="16"/>
  <c r="R4026" i="16"/>
  <c r="Q4026" i="16"/>
  <c r="P4026" i="16"/>
  <c r="F4026" i="16"/>
  <c r="B4026" i="16"/>
  <c r="G4026" i="16"/>
  <c r="H4026" i="16"/>
  <c r="I4026" i="16"/>
  <c r="AJ4025" i="16"/>
  <c r="AF4025" i="16"/>
  <c r="AM4025" i="16"/>
  <c r="AL4025" i="16"/>
  <c r="AK4025" i="16"/>
  <c r="AC4025" i="16"/>
  <c r="AB4025" i="16"/>
  <c r="AA4025" i="16"/>
  <c r="Z4025" i="16"/>
  <c r="V4025" i="16"/>
  <c r="S4025" i="16"/>
  <c r="R4025" i="16"/>
  <c r="Q4025" i="16"/>
  <c r="P4025" i="16"/>
  <c r="L4025" i="16"/>
  <c r="I4025" i="16"/>
  <c r="H4025" i="16"/>
  <c r="G4025" i="16"/>
  <c r="F4025" i="16"/>
  <c r="B4025" i="16"/>
  <c r="AM4024" i="16"/>
  <c r="AL4024" i="16"/>
  <c r="AK4024" i="16"/>
  <c r="AJ4024" i="16"/>
  <c r="AF4024" i="16"/>
  <c r="AC4024" i="16"/>
  <c r="AB4024" i="16"/>
  <c r="AA4024" i="16"/>
  <c r="Z4024" i="16"/>
  <c r="V4024" i="16"/>
  <c r="S4024" i="16"/>
  <c r="R4024" i="16"/>
  <c r="Q4024" i="16"/>
  <c r="P4024" i="16"/>
  <c r="L4024" i="16"/>
  <c r="H4024" i="16"/>
  <c r="I4024" i="16"/>
  <c r="G4024" i="16"/>
  <c r="F4024" i="16"/>
  <c r="B4024" i="16"/>
  <c r="AM4023" i="16"/>
  <c r="AL4023" i="16"/>
  <c r="AK4023" i="16"/>
  <c r="AJ4023" i="16"/>
  <c r="AF4023" i="16"/>
  <c r="AC4023" i="16"/>
  <c r="AA4023" i="16"/>
  <c r="AB4023" i="16"/>
  <c r="Z4023" i="16"/>
  <c r="V4023" i="16"/>
  <c r="L4023" i="16"/>
  <c r="S4023" i="16"/>
  <c r="R4023" i="16"/>
  <c r="Q4023" i="16"/>
  <c r="P4023" i="16"/>
  <c r="I4023" i="16"/>
  <c r="H4023" i="16"/>
  <c r="G4023" i="16"/>
  <c r="F4023" i="16"/>
  <c r="B4023" i="16"/>
  <c r="AM4022" i="16"/>
  <c r="AF4022" i="16"/>
  <c r="AK4022" i="16"/>
  <c r="AL4022" i="16"/>
  <c r="AJ4022" i="16"/>
  <c r="V4022" i="16"/>
  <c r="AC4022" i="16"/>
  <c r="AB4022" i="16"/>
  <c r="AA4022" i="16"/>
  <c r="Z4022" i="16"/>
  <c r="S4022" i="16"/>
  <c r="R4022" i="16"/>
  <c r="Q4022" i="16"/>
  <c r="P4022" i="16"/>
  <c r="L4022" i="16"/>
  <c r="G4022" i="16"/>
  <c r="F4022" i="16"/>
  <c r="B4022" i="16"/>
  <c r="I4022" i="16"/>
  <c r="H4022" i="16"/>
  <c r="AL4021" i="16"/>
  <c r="AM4021" i="16"/>
  <c r="AK4021" i="16"/>
  <c r="AF4021" i="16"/>
  <c r="AJ4021" i="16"/>
  <c r="V4021" i="16"/>
  <c r="Z4021" i="16"/>
  <c r="AA4021" i="16"/>
  <c r="AB4021" i="16"/>
  <c r="AC4021" i="16"/>
  <c r="L4021" i="16"/>
  <c r="Q4021" i="16"/>
  <c r="R4021" i="16"/>
  <c r="S4021" i="16"/>
  <c r="P4021" i="16"/>
  <c r="H4021" i="16"/>
  <c r="I4021" i="16"/>
  <c r="B4021" i="16"/>
  <c r="G4021" i="16"/>
  <c r="F4021" i="16"/>
  <c r="AK4020" i="16"/>
  <c r="AM4020" i="16"/>
  <c r="AL4020" i="16"/>
  <c r="AF4020" i="16"/>
  <c r="AJ4020" i="16"/>
  <c r="AB4020" i="16"/>
  <c r="AC4020" i="16"/>
  <c r="AA4020" i="16"/>
  <c r="Z4020" i="16"/>
  <c r="V4020" i="16"/>
  <c r="S4020" i="16"/>
  <c r="R4020" i="16"/>
  <c r="Q4020" i="16"/>
  <c r="P4020" i="16"/>
  <c r="L4020" i="16"/>
  <c r="I4020" i="16"/>
  <c r="H4020" i="16"/>
  <c r="G4020" i="16"/>
  <c r="F4020" i="16"/>
  <c r="B4020" i="16"/>
  <c r="AK4019" i="16"/>
  <c r="AL4019" i="16"/>
  <c r="AM4019" i="16"/>
  <c r="AJ4019" i="16"/>
  <c r="AF4019" i="16"/>
  <c r="AC4019" i="16"/>
  <c r="AB4019" i="16"/>
  <c r="AA4019" i="16"/>
  <c r="Z4019" i="16"/>
  <c r="V4019" i="16"/>
  <c r="R4019" i="16"/>
  <c r="P4019" i="16"/>
  <c r="Q4019" i="16"/>
  <c r="L4019" i="16"/>
  <c r="S4019" i="16"/>
  <c r="B4019" i="16"/>
  <c r="F4019" i="16"/>
  <c r="G4019" i="16"/>
  <c r="I4019" i="16"/>
  <c r="H4019" i="16"/>
  <c r="AJ4018" i="16"/>
  <c r="AF4018" i="16"/>
  <c r="AM4018" i="16"/>
  <c r="AL4018" i="16"/>
  <c r="AK4018" i="16"/>
  <c r="AA4018" i="16"/>
  <c r="AC4018" i="16"/>
  <c r="Z4018" i="16"/>
  <c r="V4018" i="16"/>
  <c r="AB4018" i="16"/>
  <c r="P4018" i="16"/>
  <c r="Q4018" i="16"/>
  <c r="R4018" i="16"/>
  <c r="S4018" i="16"/>
  <c r="L4018" i="16"/>
  <c r="F4018" i="16"/>
  <c r="B4018" i="16"/>
  <c r="I4018" i="16"/>
  <c r="H4018" i="16"/>
  <c r="G4018" i="16"/>
  <c r="AL4017" i="16"/>
  <c r="AM4017" i="16"/>
  <c r="AF4017" i="16"/>
  <c r="AJ4017" i="16"/>
  <c r="AK4017" i="16"/>
  <c r="AA4017" i="16"/>
  <c r="Z4017" i="16"/>
  <c r="V4017" i="16"/>
  <c r="AB4017" i="16"/>
  <c r="AC4017" i="16"/>
  <c r="P4017" i="16"/>
  <c r="L4017" i="16"/>
  <c r="Q4017" i="16"/>
  <c r="S4017" i="16"/>
  <c r="R4017" i="16"/>
  <c r="H4017" i="16"/>
  <c r="G4017" i="16"/>
  <c r="F4017" i="16"/>
  <c r="B4017" i="16"/>
  <c r="I4017" i="16"/>
  <c r="AJ4016" i="16"/>
  <c r="AF4016" i="16"/>
  <c r="AM4016" i="16"/>
  <c r="AL4016" i="16"/>
  <c r="AK4016" i="16"/>
  <c r="Z4016" i="16"/>
  <c r="AA4016" i="16"/>
  <c r="AB4016" i="16"/>
  <c r="AC4016" i="16"/>
  <c r="V4016" i="16"/>
  <c r="L4016" i="16"/>
  <c r="P4016" i="16"/>
  <c r="Q4016" i="16"/>
  <c r="R4016" i="16"/>
  <c r="S4016" i="16"/>
  <c r="F4016" i="16"/>
  <c r="I4016" i="16"/>
  <c r="H4016" i="16"/>
  <c r="G4016" i="16"/>
  <c r="B4016" i="16"/>
  <c r="AM4015" i="16"/>
  <c r="AL4015" i="16"/>
  <c r="AK4015" i="16"/>
  <c r="AJ4015" i="16"/>
  <c r="AF4015" i="16"/>
  <c r="AC4015" i="16"/>
  <c r="V4015" i="16"/>
  <c r="Z4015" i="16"/>
  <c r="AB4015" i="16"/>
  <c r="AA4015" i="16"/>
  <c r="S4015" i="16"/>
  <c r="R4015" i="16"/>
  <c r="Q4015" i="16"/>
  <c r="P4015" i="16"/>
  <c r="L4015" i="16"/>
  <c r="F4015" i="16"/>
  <c r="B4015" i="16"/>
  <c r="I4015" i="16"/>
  <c r="H4015" i="16"/>
  <c r="G4015" i="16"/>
  <c r="AF4014" i="16"/>
  <c r="AM4014" i="16"/>
  <c r="AL4014" i="16"/>
  <c r="AK4014" i="16"/>
  <c r="AJ4014" i="16"/>
  <c r="Z4014" i="16"/>
  <c r="V4014" i="16"/>
  <c r="AA4014" i="16"/>
  <c r="AB4014" i="16"/>
  <c r="AC4014" i="16"/>
  <c r="S4014" i="16"/>
  <c r="L4014" i="16"/>
  <c r="P4014" i="16"/>
  <c r="Q4014" i="16"/>
  <c r="R4014" i="16"/>
  <c r="I4014" i="16"/>
  <c r="H4014" i="16"/>
  <c r="F4014" i="16"/>
  <c r="B4014" i="16"/>
  <c r="G4014" i="16"/>
  <c r="AM4013" i="16"/>
  <c r="AL4013" i="16"/>
  <c r="AF4013" i="16"/>
  <c r="AJ4013" i="16"/>
  <c r="AK4013" i="16"/>
  <c r="AB4013" i="16"/>
  <c r="AC4013" i="16"/>
  <c r="AA4013" i="16"/>
  <c r="Z4013" i="16"/>
  <c r="V4013" i="16"/>
  <c r="S4013" i="16"/>
  <c r="R4013" i="16"/>
  <c r="Q4013" i="16"/>
  <c r="P4013" i="16"/>
  <c r="L4013" i="16"/>
  <c r="G4013" i="16"/>
  <c r="B4013" i="16"/>
  <c r="F4013" i="16"/>
  <c r="H4013" i="16"/>
  <c r="I4013" i="16"/>
  <c r="AF4012" i="16"/>
  <c r="AJ4012" i="16"/>
  <c r="AK4012" i="16"/>
  <c r="AL4012" i="16"/>
  <c r="AM4012" i="16"/>
  <c r="Z4012" i="16"/>
  <c r="V4012" i="16"/>
  <c r="AC4012" i="16"/>
  <c r="AA4012" i="16"/>
  <c r="AB4012" i="16"/>
  <c r="L4012" i="16"/>
  <c r="R4012" i="16"/>
  <c r="S4012" i="16"/>
  <c r="P4012" i="16"/>
  <c r="Q4012" i="16"/>
  <c r="G4012" i="16"/>
  <c r="H4012" i="16"/>
  <c r="F4012" i="16"/>
  <c r="B4012" i="16"/>
  <c r="I4012" i="16"/>
  <c r="AK4011" i="16"/>
  <c r="AM4011" i="16"/>
  <c r="AJ4011" i="16"/>
  <c r="AF4011" i="16"/>
  <c r="AL4011" i="16"/>
  <c r="V4011" i="16"/>
  <c r="AA4011" i="16"/>
  <c r="Z4011" i="16"/>
  <c r="AC4011" i="16"/>
  <c r="AB4011" i="16"/>
  <c r="Q4011" i="16"/>
  <c r="R4011" i="16"/>
  <c r="S4011" i="16"/>
  <c r="L4011" i="16"/>
  <c r="P4011" i="16"/>
  <c r="B4011" i="16"/>
  <c r="F4011" i="16"/>
  <c r="I4011" i="16"/>
  <c r="G4011" i="16"/>
  <c r="H4011" i="16"/>
  <c r="AK4010" i="16"/>
  <c r="AM4010" i="16"/>
  <c r="AJ4010" i="16"/>
  <c r="AL4010" i="16"/>
  <c r="AF4010" i="16"/>
  <c r="AA4010" i="16"/>
  <c r="AB4010" i="16"/>
  <c r="AC4010" i="16"/>
  <c r="Z4010" i="16"/>
  <c r="V4010" i="16"/>
  <c r="L4010" i="16"/>
  <c r="R4010" i="16"/>
  <c r="Q4010" i="16"/>
  <c r="P4010" i="16"/>
  <c r="S4010" i="16"/>
  <c r="H4010" i="16"/>
  <c r="B4010" i="16"/>
  <c r="G4010" i="16"/>
  <c r="I4010" i="16"/>
  <c r="F4010" i="16"/>
  <c r="AL4009" i="16"/>
  <c r="AJ4009" i="16"/>
  <c r="AM4009" i="16"/>
  <c r="AF4009" i="16"/>
  <c r="AK4009" i="16"/>
  <c r="AA4009" i="16"/>
  <c r="Z4009" i="16"/>
  <c r="V4009" i="16"/>
  <c r="AB4009" i="16"/>
  <c r="AC4009" i="16"/>
  <c r="P4009" i="16"/>
  <c r="Q4009" i="16"/>
  <c r="L4009" i="16"/>
  <c r="S4009" i="16"/>
  <c r="R4009" i="16"/>
  <c r="B4009" i="16"/>
  <c r="I4009" i="16"/>
  <c r="G4009" i="16"/>
  <c r="F4009" i="16"/>
  <c r="H4009" i="16"/>
  <c r="AM4008" i="16"/>
  <c r="AL4008" i="16"/>
  <c r="AF4008" i="16"/>
  <c r="AK4008" i="16"/>
  <c r="AJ4008" i="16"/>
  <c r="AC4008" i="16"/>
  <c r="Z4008" i="16"/>
  <c r="V4008" i="16"/>
  <c r="AB4008" i="16"/>
  <c r="AA4008" i="16"/>
  <c r="Q4008" i="16"/>
  <c r="R4008" i="16"/>
  <c r="P4008" i="16"/>
  <c r="L4008" i="16"/>
  <c r="S4008" i="16"/>
  <c r="F4008" i="16"/>
  <c r="H4008" i="16"/>
  <c r="B4008" i="16"/>
  <c r="G4008" i="16"/>
  <c r="I4008" i="16"/>
  <c r="AK4007" i="16"/>
  <c r="AJ4007" i="16"/>
  <c r="AM4007" i="16"/>
  <c r="AF4007" i="16"/>
  <c r="AL4007" i="16"/>
  <c r="AA4007" i="16"/>
  <c r="AB4007" i="16"/>
  <c r="AC4007" i="16"/>
  <c r="V4007" i="16"/>
  <c r="Z4007" i="16"/>
  <c r="L4007" i="16"/>
  <c r="S4007" i="16"/>
  <c r="Q4007" i="16"/>
  <c r="R4007" i="16"/>
  <c r="P4007" i="16"/>
  <c r="I4007" i="16"/>
  <c r="B4007" i="16"/>
  <c r="F4007" i="16"/>
  <c r="H4007" i="16"/>
  <c r="G4007" i="16"/>
  <c r="AF4006" i="16"/>
  <c r="AL4006" i="16"/>
  <c r="AM4006" i="16"/>
  <c r="AJ4006" i="16"/>
  <c r="AK4006" i="16"/>
  <c r="AC4006" i="16"/>
  <c r="Z4006" i="16"/>
  <c r="AB4006" i="16"/>
  <c r="V4006" i="16"/>
  <c r="AA4006" i="16"/>
  <c r="R4006" i="16"/>
  <c r="Q4006" i="16"/>
  <c r="L4006" i="16"/>
  <c r="P4006" i="16"/>
  <c r="S4006" i="16"/>
  <c r="G4006" i="16"/>
  <c r="F4006" i="16"/>
  <c r="B4006" i="16"/>
  <c r="H4006" i="16"/>
  <c r="I4006" i="16"/>
  <c r="AK4005" i="16"/>
  <c r="AJ4005" i="16"/>
  <c r="AF4005" i="16"/>
  <c r="AL4005" i="16"/>
  <c r="AM4005" i="16"/>
  <c r="Z4005" i="16"/>
  <c r="V4005" i="16"/>
  <c r="AB4005" i="16"/>
  <c r="AC4005" i="16"/>
  <c r="AA4005" i="16"/>
  <c r="R4005" i="16"/>
  <c r="Q4005" i="16"/>
  <c r="L4005" i="16"/>
  <c r="P4005" i="16"/>
  <c r="S4005" i="16"/>
  <c r="G4005" i="16"/>
  <c r="B4005" i="16"/>
  <c r="I4005" i="16"/>
  <c r="H4005" i="16"/>
  <c r="F4005" i="16"/>
  <c r="AF4004" i="16"/>
  <c r="AK4004" i="16"/>
  <c r="AM4004" i="16"/>
  <c r="AL4004" i="16"/>
  <c r="AJ4004" i="16"/>
  <c r="AC4004" i="16"/>
  <c r="AA4004" i="16"/>
  <c r="AB4004" i="16"/>
  <c r="V4004" i="16"/>
  <c r="Z4004" i="16"/>
  <c r="P4004" i="16"/>
  <c r="S4004" i="16"/>
  <c r="R4004" i="16"/>
  <c r="L4004" i="16"/>
  <c r="Q4004" i="16"/>
  <c r="H4004" i="16"/>
  <c r="F4004" i="16"/>
  <c r="G4004" i="16"/>
  <c r="I4004" i="16"/>
  <c r="B4004" i="16"/>
  <c r="AM4003" i="16"/>
  <c r="AJ4003" i="16"/>
  <c r="AL4003" i="16"/>
  <c r="AK4003" i="16"/>
  <c r="AF4003" i="16"/>
  <c r="AA4003" i="16"/>
  <c r="AC4003" i="16"/>
  <c r="Z4003" i="16"/>
  <c r="AB4003" i="16"/>
  <c r="V4003" i="16"/>
  <c r="Q4003" i="16"/>
  <c r="R4003" i="16"/>
  <c r="L4003" i="16"/>
  <c r="P4003" i="16"/>
  <c r="S4003" i="16"/>
  <c r="B4003" i="16"/>
  <c r="G4003" i="16"/>
  <c r="H4003" i="16"/>
  <c r="F4003" i="16"/>
  <c r="I4003" i="16"/>
  <c r="AM4002" i="16"/>
  <c r="AK4002" i="16"/>
  <c r="AJ4002" i="16"/>
  <c r="AF4002" i="16"/>
  <c r="AL4002" i="16"/>
  <c r="V4002" i="16"/>
  <c r="AB4002" i="16"/>
  <c r="AA4002" i="16"/>
  <c r="AC4002" i="16"/>
  <c r="Z4002" i="16"/>
  <c r="S4002" i="16"/>
  <c r="R4002" i="16"/>
  <c r="P4002" i="16"/>
  <c r="L4002" i="16"/>
  <c r="Q4002" i="16"/>
  <c r="F4002" i="16"/>
  <c r="B4002" i="16"/>
  <c r="G4002" i="16"/>
  <c r="H4002" i="16"/>
  <c r="I4002" i="16"/>
  <c r="AJ4001" i="16"/>
  <c r="AL4001" i="16"/>
  <c r="AM4001" i="16"/>
  <c r="AK4001" i="16"/>
  <c r="AF4001" i="16"/>
  <c r="AC4001" i="16"/>
  <c r="AA4001" i="16"/>
  <c r="V4001" i="16"/>
  <c r="Z4001" i="16"/>
  <c r="AB4001" i="16"/>
  <c r="S4001" i="16"/>
  <c r="P4001" i="16"/>
  <c r="R4001" i="16"/>
  <c r="L4001" i="16"/>
  <c r="Q4001" i="16"/>
  <c r="F4001" i="16"/>
  <c r="I4001" i="16"/>
  <c r="H4001" i="16"/>
  <c r="G4001" i="16"/>
  <c r="B4001" i="16"/>
  <c r="AF4000" i="16"/>
  <c r="AM4000" i="16"/>
  <c r="AJ4000" i="16"/>
  <c r="AL4000" i="16"/>
  <c r="AK4000" i="16"/>
  <c r="Z4000" i="16"/>
  <c r="AB4000" i="16"/>
  <c r="AA4000" i="16"/>
  <c r="AC4000" i="16"/>
  <c r="V4000" i="16"/>
  <c r="R4000" i="16"/>
  <c r="L4000" i="16"/>
  <c r="P4000" i="16"/>
  <c r="Q4000" i="16"/>
  <c r="S4000" i="16"/>
  <c r="F4000" i="16"/>
  <c r="I4000" i="16"/>
  <c r="B4000" i="16"/>
  <c r="H4000" i="16"/>
  <c r="G4000" i="16"/>
  <c r="AM3999" i="16"/>
  <c r="AJ3999" i="16"/>
  <c r="AF3999" i="16"/>
  <c r="AL3999" i="16"/>
  <c r="AK3999" i="16"/>
  <c r="AC3999" i="16"/>
  <c r="Z3999" i="16"/>
  <c r="AB3999" i="16"/>
  <c r="V3999" i="16"/>
  <c r="AA3999" i="16"/>
  <c r="P3999" i="16"/>
  <c r="Q3999" i="16"/>
  <c r="R3999" i="16"/>
  <c r="S3999" i="16"/>
  <c r="L3999" i="16"/>
  <c r="H3999" i="16"/>
  <c r="I3999" i="16"/>
  <c r="G3999" i="16"/>
  <c r="F3999" i="16"/>
  <c r="B3999" i="16"/>
  <c r="AK3998" i="16"/>
  <c r="AL3998" i="16"/>
  <c r="AM3998" i="16"/>
  <c r="AF3998" i="16"/>
  <c r="AJ3998" i="16"/>
  <c r="V3998" i="16"/>
  <c r="AC3998" i="16"/>
  <c r="AB3998" i="16"/>
  <c r="AA3998" i="16"/>
  <c r="Z3998" i="16"/>
  <c r="R3998" i="16"/>
  <c r="S3998" i="16"/>
  <c r="L3998" i="16"/>
  <c r="P3998" i="16"/>
  <c r="Q3998" i="16"/>
  <c r="F3998" i="16"/>
  <c r="H3998" i="16"/>
  <c r="B3998" i="16"/>
  <c r="G3998" i="16"/>
  <c r="I3998" i="16"/>
  <c r="AJ3997" i="16"/>
  <c r="AK3997" i="16"/>
  <c r="AL3997" i="16"/>
  <c r="AM3997" i="16"/>
  <c r="AF3997" i="16"/>
  <c r="AB3997" i="16"/>
  <c r="Z3997" i="16"/>
  <c r="V3997" i="16"/>
  <c r="AC3997" i="16"/>
  <c r="AA3997" i="16"/>
  <c r="R3997" i="16"/>
  <c r="P3997" i="16"/>
  <c r="Q3997" i="16"/>
  <c r="S3997" i="16"/>
  <c r="L3997" i="16"/>
  <c r="F3997" i="16"/>
  <c r="H3997" i="16"/>
  <c r="G3997" i="16"/>
  <c r="I3997" i="16"/>
  <c r="B3997" i="16"/>
  <c r="AM3996" i="16"/>
  <c r="AJ3996" i="16"/>
  <c r="AF3996" i="16"/>
  <c r="AL3996" i="16"/>
  <c r="AK3996" i="16"/>
  <c r="Z3996" i="16"/>
  <c r="AB3996" i="16"/>
  <c r="V3996" i="16"/>
  <c r="AA3996" i="16"/>
  <c r="AC3996" i="16"/>
  <c r="L3996" i="16"/>
  <c r="S3996" i="16"/>
  <c r="Q3996" i="16"/>
  <c r="P3996" i="16"/>
  <c r="R3996" i="16"/>
  <c r="H3996" i="16"/>
  <c r="F3996" i="16"/>
  <c r="B3996" i="16"/>
  <c r="G3996" i="16"/>
  <c r="I3996" i="16"/>
  <c r="AF3995" i="16"/>
  <c r="AJ3995" i="16"/>
  <c r="AK3995" i="16"/>
  <c r="AM3995" i="16"/>
  <c r="AL3995" i="16"/>
  <c r="AB3995" i="16"/>
  <c r="AC3995" i="16"/>
  <c r="V3995" i="16"/>
  <c r="AA3995" i="16"/>
  <c r="Z3995" i="16"/>
  <c r="R3995" i="16"/>
  <c r="P3995" i="16"/>
  <c r="S3995" i="16"/>
  <c r="Q3995" i="16"/>
  <c r="L3995" i="16"/>
  <c r="I3995" i="16"/>
  <c r="G3995" i="16"/>
  <c r="B3995" i="16"/>
  <c r="H3995" i="16"/>
  <c r="F3995" i="16"/>
  <c r="AF3994" i="16"/>
  <c r="AL3994" i="16"/>
  <c r="AJ3994" i="16"/>
  <c r="AM3994" i="16"/>
  <c r="AK3994" i="16"/>
  <c r="AB3994" i="16"/>
  <c r="Z3994" i="16"/>
  <c r="V3994" i="16"/>
  <c r="AC3994" i="16"/>
  <c r="AA3994" i="16"/>
  <c r="R3994" i="16"/>
  <c r="P3994" i="16"/>
  <c r="L3994" i="16"/>
  <c r="Q3994" i="16"/>
  <c r="S3994" i="16"/>
  <c r="B3994" i="16"/>
  <c r="F3994" i="16"/>
  <c r="G3994" i="16"/>
  <c r="I3994" i="16"/>
  <c r="H3994" i="16"/>
  <c r="AF3993" i="16"/>
  <c r="AJ3993" i="16"/>
  <c r="AK3993" i="16"/>
  <c r="AM3993" i="16"/>
  <c r="AL3993" i="16"/>
  <c r="AC3993" i="16"/>
  <c r="AB3993" i="16"/>
  <c r="AA3993" i="16"/>
  <c r="V3993" i="16"/>
  <c r="Z3993" i="16"/>
  <c r="P3993" i="16"/>
  <c r="Q3993" i="16"/>
  <c r="L3993" i="16"/>
  <c r="R3993" i="16"/>
  <c r="S3993" i="16"/>
  <c r="I3993" i="16"/>
  <c r="G3993" i="16"/>
  <c r="B3993" i="16"/>
  <c r="H3993" i="16"/>
  <c r="F3993" i="16"/>
  <c r="AK3992" i="16"/>
  <c r="AF3992" i="16"/>
  <c r="AJ3992" i="16"/>
  <c r="AL3992" i="16"/>
  <c r="AM3992" i="16"/>
  <c r="AB3992" i="16"/>
  <c r="AC3992" i="16"/>
  <c r="AA3992" i="16"/>
  <c r="Z3992" i="16"/>
  <c r="V3992" i="16"/>
  <c r="L3992" i="16"/>
  <c r="R3992" i="16"/>
  <c r="S3992" i="16"/>
  <c r="Q3992" i="16"/>
  <c r="P3992" i="16"/>
  <c r="I3992" i="16"/>
  <c r="H3992" i="16"/>
  <c r="B3992" i="16"/>
  <c r="F3992" i="16"/>
  <c r="G3992" i="16"/>
  <c r="AJ3991" i="16"/>
  <c r="AF3991" i="16"/>
  <c r="AM3991" i="16"/>
  <c r="AL3991" i="16"/>
  <c r="AK3991" i="16"/>
  <c r="AC3991" i="16"/>
  <c r="AA3991" i="16"/>
  <c r="V3991" i="16"/>
  <c r="Z3991" i="16"/>
  <c r="AB3991" i="16"/>
  <c r="Q3991" i="16"/>
  <c r="L3991" i="16"/>
  <c r="P3991" i="16"/>
  <c r="R3991" i="16"/>
  <c r="S3991" i="16"/>
  <c r="I3991" i="16"/>
  <c r="B3991" i="16"/>
  <c r="H3991" i="16"/>
  <c r="F3991" i="16"/>
  <c r="G3991" i="16"/>
  <c r="AK3990" i="16"/>
  <c r="AJ3990" i="16"/>
  <c r="AF3990" i="16"/>
  <c r="AL3990" i="16"/>
  <c r="AM3990" i="16"/>
  <c r="Z3990" i="16"/>
  <c r="AA3990" i="16"/>
  <c r="AC3990" i="16"/>
  <c r="AB3990" i="16"/>
  <c r="V3990" i="16"/>
  <c r="L3990" i="16"/>
  <c r="P3990" i="16"/>
  <c r="Q3990" i="16"/>
  <c r="R3990" i="16"/>
  <c r="S3990" i="16"/>
  <c r="G3990" i="16"/>
  <c r="I3990" i="16"/>
  <c r="H3990" i="16"/>
  <c r="F3990" i="16"/>
  <c r="B3990" i="16"/>
  <c r="AK3989" i="16"/>
  <c r="AM3989" i="16"/>
  <c r="AF3989" i="16"/>
  <c r="AJ3989" i="16"/>
  <c r="AL3989" i="16"/>
  <c r="V3989" i="16"/>
  <c r="AA3989" i="16"/>
  <c r="AC3989" i="16"/>
  <c r="Z3989" i="16"/>
  <c r="AB3989" i="16"/>
  <c r="S3989" i="16"/>
  <c r="Q3989" i="16"/>
  <c r="L3989" i="16"/>
  <c r="P3989" i="16"/>
  <c r="R3989" i="16"/>
  <c r="G3989" i="16"/>
  <c r="F3989" i="16"/>
  <c r="B3989" i="16"/>
  <c r="H3989" i="16"/>
  <c r="I3989" i="16"/>
  <c r="AJ3988" i="16"/>
  <c r="AK3988" i="16"/>
  <c r="AF3988" i="16"/>
  <c r="AL3988" i="16"/>
  <c r="AM3988" i="16"/>
  <c r="Z3988" i="16"/>
  <c r="AB3988" i="16"/>
  <c r="AC3988" i="16"/>
  <c r="V3988" i="16"/>
  <c r="AA3988" i="16"/>
  <c r="Q3988" i="16"/>
  <c r="S3988" i="16"/>
  <c r="L3988" i="16"/>
  <c r="R3988" i="16"/>
  <c r="P3988" i="16"/>
  <c r="G3988" i="16"/>
  <c r="H3988" i="16"/>
  <c r="F3988" i="16"/>
  <c r="I3988" i="16"/>
  <c r="B3988" i="16"/>
  <c r="AM3987" i="16"/>
  <c r="AJ3987" i="16"/>
  <c r="AK3987" i="16"/>
  <c r="AL3987" i="16"/>
  <c r="AF3987" i="16"/>
  <c r="AA3987" i="16"/>
  <c r="Z3987" i="16"/>
  <c r="AC3987" i="16"/>
  <c r="V3987" i="16"/>
  <c r="AB3987" i="16"/>
  <c r="S3987" i="16"/>
  <c r="R3987" i="16"/>
  <c r="L3987" i="16"/>
  <c r="Q3987" i="16"/>
  <c r="P3987" i="16"/>
  <c r="B3987" i="16"/>
  <c r="H3987" i="16"/>
  <c r="I3987" i="16"/>
  <c r="G3987" i="16"/>
  <c r="F3987" i="16"/>
  <c r="AK3986" i="16"/>
  <c r="AF3986" i="16"/>
  <c r="AM3986" i="16"/>
  <c r="AL3986" i="16"/>
  <c r="AJ3986" i="16"/>
  <c r="Z3986" i="16"/>
  <c r="AC3986" i="16"/>
  <c r="V3986" i="16"/>
  <c r="AB3986" i="16"/>
  <c r="AA3986" i="16"/>
  <c r="Q3986" i="16"/>
  <c r="P3986" i="16"/>
  <c r="S3986" i="16"/>
  <c r="R3986" i="16"/>
  <c r="L3986" i="16"/>
  <c r="B3986" i="16"/>
  <c r="F3986" i="16"/>
  <c r="I3986" i="16"/>
  <c r="H3986" i="16"/>
  <c r="G3986" i="16"/>
  <c r="AJ3985" i="16"/>
  <c r="AM3985" i="16"/>
  <c r="AL3985" i="16"/>
  <c r="AF3985" i="16"/>
  <c r="AK3985" i="16"/>
  <c r="Z3985" i="16"/>
  <c r="V3985" i="16"/>
  <c r="AA3985" i="16"/>
  <c r="AB3985" i="16"/>
  <c r="AC3985" i="16"/>
  <c r="S3985" i="16"/>
  <c r="Q3985" i="16"/>
  <c r="L3985" i="16"/>
  <c r="R3985" i="16"/>
  <c r="P3985" i="16"/>
  <c r="G3985" i="16"/>
  <c r="F3985" i="16"/>
  <c r="I3985" i="16"/>
  <c r="H3985" i="16"/>
  <c r="B3985" i="16"/>
  <c r="AK3984" i="16"/>
  <c r="AF3984" i="16"/>
  <c r="AM3984" i="16"/>
  <c r="AL3984" i="16"/>
  <c r="AJ3984" i="16"/>
  <c r="Z3984" i="16"/>
  <c r="V3984" i="16"/>
  <c r="AA3984" i="16"/>
  <c r="AC3984" i="16"/>
  <c r="AB3984" i="16"/>
  <c r="L3984" i="16"/>
  <c r="Q3984" i="16"/>
  <c r="S3984" i="16"/>
  <c r="R3984" i="16"/>
  <c r="P3984" i="16"/>
  <c r="B3984" i="16"/>
  <c r="H3984" i="16"/>
  <c r="F3984" i="16"/>
  <c r="G3984" i="16"/>
  <c r="I3984" i="16"/>
  <c r="AF3983" i="16"/>
  <c r="AJ3983" i="16"/>
  <c r="AK3983" i="16"/>
  <c r="AM3983" i="16"/>
  <c r="AL3983" i="16"/>
  <c r="AA3983" i="16"/>
  <c r="V3983" i="16"/>
  <c r="Z3983" i="16"/>
  <c r="AC3983" i="16"/>
  <c r="AB3983" i="16"/>
  <c r="S3983" i="16"/>
  <c r="Q3983" i="16"/>
  <c r="R3983" i="16"/>
  <c r="L3983" i="16"/>
  <c r="P3983" i="16"/>
  <c r="I3983" i="16"/>
  <c r="F3983" i="16"/>
  <c r="H3983" i="16"/>
  <c r="G3983" i="16"/>
  <c r="B3983" i="16"/>
  <c r="AL3982" i="16"/>
  <c r="AK3982" i="16"/>
  <c r="AM3982" i="16"/>
  <c r="AF3982" i="16"/>
  <c r="AJ3982" i="16"/>
  <c r="AB3982" i="16"/>
  <c r="AA3982" i="16"/>
  <c r="AC3982" i="16"/>
  <c r="Z3982" i="16"/>
  <c r="V3982" i="16"/>
  <c r="S3982" i="16"/>
  <c r="R3982" i="16"/>
  <c r="L3982" i="16"/>
  <c r="Q3982" i="16"/>
  <c r="P3982" i="16"/>
  <c r="I3982" i="16"/>
  <c r="G3982" i="16"/>
  <c r="F3982" i="16"/>
  <c r="B3982" i="16"/>
  <c r="H3982" i="16"/>
  <c r="AK3981" i="16"/>
  <c r="AJ3981" i="16"/>
  <c r="AM3981" i="16"/>
  <c r="AF3981" i="16"/>
  <c r="AL3981" i="16"/>
  <c r="V3981" i="16"/>
  <c r="AC3981" i="16"/>
  <c r="AB3981" i="16"/>
  <c r="Z3981" i="16"/>
  <c r="AA3981" i="16"/>
  <c r="S3981" i="16"/>
  <c r="P3981" i="16"/>
  <c r="R3981" i="16"/>
  <c r="Q3981" i="16"/>
  <c r="L3981" i="16"/>
  <c r="H3981" i="16"/>
  <c r="G3981" i="16"/>
  <c r="I3981" i="16"/>
  <c r="F3981" i="16"/>
  <c r="B3981" i="16"/>
  <c r="AJ3980" i="16"/>
  <c r="AF3980" i="16"/>
  <c r="AM3980" i="16"/>
  <c r="AL3980" i="16"/>
  <c r="AK3980" i="16"/>
  <c r="V3980" i="16"/>
  <c r="Z3980" i="16"/>
  <c r="AC3980" i="16"/>
  <c r="AA3980" i="16"/>
  <c r="AB3980" i="16"/>
  <c r="Q3980" i="16"/>
  <c r="L3980" i="16"/>
  <c r="R3980" i="16"/>
  <c r="S3980" i="16"/>
  <c r="P3980" i="16"/>
  <c r="H3980" i="16"/>
  <c r="B3980" i="16"/>
  <c r="G3980" i="16"/>
  <c r="I3980" i="16"/>
  <c r="F3980" i="16"/>
  <c r="AJ3979" i="16"/>
  <c r="AL3979" i="16"/>
  <c r="AF3979" i="16"/>
  <c r="AK3979" i="16"/>
  <c r="AM3979" i="16"/>
  <c r="V3979" i="16"/>
  <c r="AB3979" i="16"/>
  <c r="Z3979" i="16"/>
  <c r="AA3979" i="16"/>
  <c r="AC3979" i="16"/>
  <c r="L3979" i="16"/>
  <c r="P3979" i="16"/>
  <c r="R3979" i="16"/>
  <c r="Q3979" i="16"/>
  <c r="S3979" i="16"/>
  <c r="I3979" i="16"/>
  <c r="H3979" i="16"/>
  <c r="F3979" i="16"/>
  <c r="B3979" i="16"/>
  <c r="G3979" i="16"/>
  <c r="AF3978" i="16"/>
  <c r="AK3978" i="16"/>
  <c r="AL3978" i="16"/>
  <c r="AJ3978" i="16"/>
  <c r="AM3978" i="16"/>
  <c r="Z3978" i="16"/>
  <c r="AB3978" i="16"/>
  <c r="AC3978" i="16"/>
  <c r="AA3978" i="16"/>
  <c r="V3978" i="16"/>
  <c r="Q3978" i="16"/>
  <c r="L3978" i="16"/>
  <c r="P3978" i="16"/>
  <c r="S3978" i="16"/>
  <c r="R3978" i="16"/>
  <c r="I3978" i="16"/>
  <c r="G3978" i="16"/>
  <c r="F3978" i="16"/>
  <c r="H3978" i="16"/>
  <c r="AJ3977" i="16"/>
  <c r="AF3977" i="16"/>
  <c r="AL3977" i="16"/>
  <c r="AM3977" i="16"/>
  <c r="AK3977" i="16"/>
  <c r="Z3977" i="16"/>
  <c r="AB3977" i="16"/>
  <c r="V3977" i="16"/>
  <c r="AC3977" i="16"/>
  <c r="AA3977" i="16"/>
  <c r="L3977" i="16"/>
  <c r="P3977" i="16"/>
  <c r="Q3977" i="16"/>
  <c r="R3977" i="16"/>
  <c r="S3977" i="16"/>
  <c r="G3977" i="16"/>
  <c r="I3977" i="16"/>
  <c r="H3977" i="16"/>
  <c r="B3977" i="16"/>
  <c r="F3977" i="16"/>
  <c r="AL3976" i="16"/>
  <c r="AK3976" i="16"/>
  <c r="AF3976" i="16"/>
  <c r="AJ3976" i="16"/>
  <c r="AM3976" i="16"/>
  <c r="Z3976" i="16"/>
  <c r="V3976" i="16"/>
  <c r="AC3976" i="16"/>
  <c r="AB3976" i="16"/>
  <c r="AA3976" i="16"/>
  <c r="P3976" i="16"/>
  <c r="S3976" i="16"/>
  <c r="L3976" i="16"/>
  <c r="Q3976" i="16"/>
  <c r="R3976" i="16"/>
  <c r="G3976" i="16"/>
  <c r="H3976" i="16"/>
  <c r="I3976" i="16"/>
  <c r="F3976" i="16"/>
  <c r="B3976" i="16"/>
  <c r="AK3975" i="16"/>
  <c r="AJ3975" i="16"/>
  <c r="AM3975" i="16"/>
  <c r="AL3975" i="16"/>
  <c r="AF3975" i="16"/>
  <c r="AC3975" i="16"/>
  <c r="AB3975" i="16"/>
  <c r="AA3975" i="16"/>
  <c r="V3975" i="16"/>
  <c r="Z3975" i="16"/>
  <c r="Q3975" i="16"/>
  <c r="S3975" i="16"/>
  <c r="R3975" i="16"/>
  <c r="P3975" i="16"/>
  <c r="L3975" i="16"/>
  <c r="I3975" i="16"/>
  <c r="F3975" i="16"/>
  <c r="H3975" i="16"/>
  <c r="B3975" i="16"/>
  <c r="G3975" i="16"/>
  <c r="AJ3974" i="16"/>
  <c r="AK3974" i="16"/>
  <c r="AF3974" i="16"/>
  <c r="AM3974" i="16"/>
  <c r="AL3974" i="16"/>
  <c r="Z3974" i="16"/>
  <c r="AB3974" i="16"/>
  <c r="AA3974" i="16"/>
  <c r="AC3974" i="16"/>
  <c r="V3974" i="16"/>
  <c r="S3974" i="16"/>
  <c r="L3974" i="16"/>
  <c r="Q3974" i="16"/>
  <c r="P3974" i="16"/>
  <c r="R3974" i="16"/>
  <c r="B3974" i="16"/>
  <c r="I3974" i="16"/>
  <c r="H3974" i="16"/>
  <c r="F3974" i="16"/>
  <c r="G3974" i="16"/>
  <c r="AF3973" i="16"/>
  <c r="AK3973" i="16"/>
  <c r="AJ3973" i="16"/>
  <c r="AL3973" i="16"/>
  <c r="AM3973" i="16"/>
  <c r="Z3973" i="16"/>
  <c r="AC3973" i="16"/>
  <c r="AB3973" i="16"/>
  <c r="AA3973" i="16"/>
  <c r="V3973" i="16"/>
  <c r="L3973" i="16"/>
  <c r="Q3973" i="16"/>
  <c r="S3973" i="16"/>
  <c r="P3973" i="16"/>
  <c r="R3973" i="16"/>
  <c r="I3973" i="16"/>
  <c r="H3973" i="16"/>
  <c r="G3973" i="16"/>
  <c r="F3973" i="16"/>
  <c r="B3973" i="16"/>
  <c r="AJ3972" i="16"/>
  <c r="AM3972" i="16"/>
  <c r="AK3972" i="16"/>
  <c r="AL3972" i="16"/>
  <c r="AF3972" i="16"/>
  <c r="V3972" i="16"/>
  <c r="AA3972" i="16"/>
  <c r="AC3972" i="16"/>
  <c r="AB3972" i="16"/>
  <c r="Z3972" i="16"/>
  <c r="Q3972" i="16"/>
  <c r="R3972" i="16"/>
  <c r="S3972" i="16"/>
  <c r="L3972" i="16"/>
  <c r="P3972" i="16"/>
  <c r="B3972" i="16"/>
  <c r="H3972" i="16"/>
  <c r="G3972" i="16"/>
  <c r="I3972" i="16"/>
  <c r="F3972" i="16"/>
  <c r="AJ3971" i="16"/>
  <c r="AF3971" i="16"/>
  <c r="AK3971" i="16"/>
  <c r="AM3971" i="16"/>
  <c r="AL3971" i="16"/>
  <c r="V3971" i="16"/>
  <c r="Z3971" i="16"/>
  <c r="AB3971" i="16"/>
  <c r="AC3971" i="16"/>
  <c r="AA3971" i="16"/>
  <c r="Q3971" i="16"/>
  <c r="S3971" i="16"/>
  <c r="P3971" i="16"/>
  <c r="L3971" i="16"/>
  <c r="R3971" i="16"/>
  <c r="B3971" i="16"/>
  <c r="F3971" i="16"/>
  <c r="H3971" i="16"/>
  <c r="I3971" i="16"/>
  <c r="G3971" i="16"/>
  <c r="AK3970" i="16"/>
  <c r="AF3970" i="16"/>
  <c r="AM3970" i="16"/>
  <c r="AL3970" i="16"/>
  <c r="AJ3970" i="16"/>
  <c r="V3970" i="16"/>
  <c r="AA3970" i="16"/>
  <c r="Z3970" i="16"/>
  <c r="AC3970" i="16"/>
  <c r="AB3970" i="16"/>
  <c r="S3970" i="16"/>
  <c r="P3970" i="16"/>
  <c r="L3970" i="16"/>
  <c r="Q3970" i="16"/>
  <c r="R3970" i="16"/>
  <c r="H3970" i="16"/>
  <c r="B3970" i="16"/>
  <c r="G3970" i="16"/>
  <c r="F3970" i="16"/>
  <c r="I3970" i="16"/>
  <c r="AK3969" i="16"/>
  <c r="AF3969" i="16"/>
  <c r="AL3969" i="16"/>
  <c r="AM3969" i="16"/>
  <c r="AJ3969" i="16"/>
  <c r="Z3969" i="16"/>
  <c r="AC3969" i="16"/>
  <c r="AA3969" i="16"/>
  <c r="AB3969" i="16"/>
  <c r="V3969" i="16"/>
  <c r="S3969" i="16"/>
  <c r="R3969" i="16"/>
  <c r="P3969" i="16"/>
  <c r="Q3969" i="16"/>
  <c r="L3969" i="16"/>
  <c r="F3969" i="16"/>
  <c r="B3969" i="16"/>
  <c r="I3969" i="16"/>
  <c r="H3969" i="16"/>
  <c r="G3969" i="16"/>
  <c r="AL3968" i="16"/>
  <c r="AF3968" i="16"/>
  <c r="AK3968" i="16"/>
  <c r="AM3968" i="16"/>
  <c r="AJ3968" i="16"/>
  <c r="AB3968" i="16"/>
  <c r="AC3968" i="16"/>
  <c r="AA3968" i="16"/>
  <c r="Z3968" i="16"/>
  <c r="V3968" i="16"/>
  <c r="L3968" i="16"/>
  <c r="Q3968" i="16"/>
  <c r="P3968" i="16"/>
  <c r="S3968" i="16"/>
  <c r="R3968" i="16"/>
  <c r="B3968" i="16"/>
  <c r="I3968" i="16"/>
  <c r="H3968" i="16"/>
  <c r="G3968" i="16"/>
  <c r="F3968" i="16"/>
  <c r="AM3967" i="16"/>
  <c r="AL3967" i="16"/>
  <c r="AK3967" i="16"/>
  <c r="AJ3967" i="16"/>
  <c r="AF3967" i="16"/>
  <c r="AA3967" i="16"/>
  <c r="AB3967" i="16"/>
  <c r="Z3967" i="16"/>
  <c r="AC3967" i="16"/>
  <c r="V3967" i="16"/>
  <c r="P3967" i="16"/>
  <c r="L3967" i="16"/>
  <c r="R3967" i="16"/>
  <c r="Q3967" i="16"/>
  <c r="S3967" i="16"/>
  <c r="I3967" i="16"/>
  <c r="H3967" i="16"/>
  <c r="F3967" i="16"/>
  <c r="B3967" i="16"/>
  <c r="G3967" i="16"/>
  <c r="AL3966" i="16"/>
  <c r="AJ3966" i="16"/>
  <c r="AM3966" i="16"/>
  <c r="AK3966" i="16"/>
  <c r="AF3966" i="16"/>
  <c r="AC3966" i="16"/>
  <c r="AA3966" i="16"/>
  <c r="V3966" i="16"/>
  <c r="Z3966" i="16"/>
  <c r="AB3966" i="16"/>
  <c r="R3966" i="16"/>
  <c r="Q3966" i="16"/>
  <c r="S3966" i="16"/>
  <c r="L3966" i="16"/>
  <c r="P3966" i="16"/>
  <c r="G3966" i="16"/>
  <c r="H3966" i="16"/>
  <c r="F3966" i="16"/>
  <c r="I3966" i="16"/>
  <c r="B3966" i="16"/>
  <c r="AF3965" i="16"/>
  <c r="AL3965" i="16"/>
  <c r="AJ3965" i="16"/>
  <c r="AM3965" i="16"/>
  <c r="AK3965" i="16"/>
  <c r="Z3965" i="16"/>
  <c r="AB3965" i="16"/>
  <c r="AC3965" i="16"/>
  <c r="V3965" i="16"/>
  <c r="AA3965" i="16"/>
  <c r="R3965" i="16"/>
  <c r="Q3965" i="16"/>
  <c r="P3965" i="16"/>
  <c r="S3965" i="16"/>
  <c r="L3965" i="16"/>
  <c r="F3965" i="16"/>
  <c r="B3965" i="16"/>
  <c r="G3965" i="16"/>
  <c r="I3965" i="16"/>
  <c r="H3965" i="16"/>
  <c r="AK3964" i="16"/>
  <c r="AM3964" i="16"/>
  <c r="AJ3964" i="16"/>
  <c r="AL3964" i="16"/>
  <c r="AF3964" i="16"/>
  <c r="AB3964" i="16"/>
  <c r="Z3964" i="16"/>
  <c r="V3964" i="16"/>
  <c r="AC3964" i="16"/>
  <c r="AA3964" i="16"/>
  <c r="P3964" i="16"/>
  <c r="Q3964" i="16"/>
  <c r="S3964" i="16"/>
  <c r="R3964" i="16"/>
  <c r="L3964" i="16"/>
  <c r="G3964" i="16"/>
  <c r="I3964" i="16"/>
  <c r="F3964" i="16"/>
  <c r="B3964" i="16"/>
  <c r="H3964" i="16"/>
  <c r="AM3963" i="16"/>
  <c r="AJ3963" i="16"/>
  <c r="AL3963" i="16"/>
  <c r="AK3963" i="16"/>
  <c r="AF3963" i="16"/>
  <c r="AC3963" i="16"/>
  <c r="Z3963" i="16"/>
  <c r="AA3963" i="16"/>
  <c r="V3963" i="16"/>
  <c r="AB3963" i="16"/>
  <c r="S3963" i="16"/>
  <c r="Q3963" i="16"/>
  <c r="R3963" i="16"/>
  <c r="P3963" i="16"/>
  <c r="L3963" i="16"/>
  <c r="G3963" i="16"/>
  <c r="F3963" i="16"/>
  <c r="B3963" i="16"/>
  <c r="H3963" i="16"/>
  <c r="I3963" i="16"/>
  <c r="AL3962" i="16"/>
  <c r="AK3962" i="16"/>
  <c r="AJ3962" i="16"/>
  <c r="AM3962" i="16"/>
  <c r="AF3962" i="16"/>
  <c r="AB3962" i="16"/>
  <c r="Z3962" i="16"/>
  <c r="V3962" i="16"/>
  <c r="AA3962" i="16"/>
  <c r="AC3962" i="16"/>
  <c r="S3962" i="16"/>
  <c r="Q3962" i="16"/>
  <c r="P3962" i="16"/>
  <c r="L3962" i="16"/>
  <c r="R3962" i="16"/>
  <c r="B3962" i="16"/>
  <c r="F3962" i="16"/>
  <c r="G3962" i="16"/>
  <c r="I3962" i="16"/>
  <c r="H3962" i="16"/>
  <c r="AF3961" i="16"/>
  <c r="AJ3961" i="16"/>
  <c r="AK3961" i="16"/>
  <c r="AM3961" i="16"/>
  <c r="AL3961" i="16"/>
  <c r="AA3961" i="16"/>
  <c r="AB3961" i="16"/>
  <c r="Z3961" i="16"/>
  <c r="V3961" i="16"/>
  <c r="AC3961" i="16"/>
  <c r="S3961" i="16"/>
  <c r="Q3961" i="16"/>
  <c r="L3961" i="16"/>
  <c r="P3961" i="16"/>
  <c r="R3961" i="16"/>
  <c r="B3961" i="16"/>
  <c r="H3961" i="16"/>
  <c r="I3961" i="16"/>
  <c r="F3961" i="16"/>
  <c r="G3961" i="16"/>
  <c r="AJ3960" i="16"/>
  <c r="AL3960" i="16"/>
  <c r="AM3960" i="16"/>
  <c r="AK3960" i="16"/>
  <c r="AF3960" i="16"/>
  <c r="V3960" i="16"/>
  <c r="AB3960" i="16"/>
  <c r="AC3960" i="16"/>
  <c r="AA3960" i="16"/>
  <c r="Z3960" i="16"/>
  <c r="Q3960" i="16"/>
  <c r="S3960" i="16"/>
  <c r="L3960" i="16"/>
  <c r="P3960" i="16"/>
  <c r="R3960" i="16"/>
  <c r="B3960" i="16"/>
  <c r="H3960" i="16"/>
  <c r="I3960" i="16"/>
  <c r="G3960" i="16"/>
  <c r="F3960" i="16"/>
  <c r="AL3959" i="16"/>
  <c r="AK3959" i="16"/>
  <c r="AM3959" i="16"/>
  <c r="AJ3959" i="16"/>
  <c r="AF3959" i="16"/>
  <c r="AA3959" i="16"/>
  <c r="AC3959" i="16"/>
  <c r="Z3959" i="16"/>
  <c r="AB3959" i="16"/>
  <c r="V3959" i="16"/>
  <c r="R3959" i="16"/>
  <c r="L3959" i="16"/>
  <c r="S3959" i="16"/>
  <c r="Q3959" i="16"/>
  <c r="P3959" i="16"/>
  <c r="B3959" i="16"/>
  <c r="F3959" i="16"/>
  <c r="G3959" i="16"/>
  <c r="I3959" i="16"/>
  <c r="H3959" i="16"/>
  <c r="Z3958" i="16"/>
  <c r="AC3958" i="16"/>
  <c r="AB3958" i="16"/>
  <c r="AA3958" i="16"/>
  <c r="V3958" i="16"/>
  <c r="Q3958" i="16"/>
  <c r="L3958" i="16"/>
  <c r="P3958" i="16"/>
  <c r="S3958" i="16"/>
  <c r="R3958" i="16"/>
  <c r="B3958" i="16"/>
  <c r="F3958" i="16"/>
  <c r="G3958" i="16"/>
  <c r="H3958" i="16"/>
  <c r="I3958" i="16"/>
  <c r="AM3957" i="16"/>
  <c r="AK3957" i="16"/>
  <c r="AJ3957" i="16"/>
  <c r="AF3957" i="16"/>
  <c r="AL3957" i="16"/>
  <c r="V3957" i="16"/>
  <c r="Z3957" i="16"/>
  <c r="AA3957" i="16"/>
  <c r="AC3957" i="16"/>
  <c r="AB3957" i="16"/>
  <c r="P3957" i="16"/>
  <c r="L3957" i="16"/>
  <c r="R3957" i="16"/>
  <c r="S3957" i="16"/>
  <c r="Q3957" i="16"/>
  <c r="G3957" i="16"/>
  <c r="H3957" i="16"/>
  <c r="I3957" i="16"/>
  <c r="F3957" i="16"/>
  <c r="B3957" i="16"/>
  <c r="AF3956" i="16"/>
  <c r="AM3956" i="16"/>
  <c r="AJ3956" i="16"/>
  <c r="AK3956" i="16"/>
  <c r="AL3956" i="16"/>
  <c r="AA3956" i="16"/>
  <c r="AC3956" i="16"/>
  <c r="AB3956" i="16"/>
  <c r="V3956" i="16"/>
  <c r="Z3956" i="16"/>
  <c r="L3956" i="16"/>
  <c r="P3956" i="16"/>
  <c r="Q3956" i="16"/>
  <c r="R3956" i="16"/>
  <c r="S3956" i="16"/>
  <c r="G3956" i="16"/>
  <c r="I3956" i="16"/>
  <c r="B3956" i="16"/>
  <c r="H3956" i="16"/>
  <c r="F3956" i="16"/>
  <c r="AF3955" i="16"/>
  <c r="AJ3955" i="16"/>
  <c r="AL3955" i="16"/>
  <c r="AK3955" i="16"/>
  <c r="AM3955" i="16"/>
  <c r="AB3955" i="16"/>
  <c r="AC3955" i="16"/>
  <c r="AA3955" i="16"/>
  <c r="Z3955" i="16"/>
  <c r="V3955" i="16"/>
  <c r="Q3955" i="16"/>
  <c r="R3955" i="16"/>
  <c r="S3955" i="16"/>
  <c r="L3955" i="16"/>
  <c r="P3955" i="16"/>
  <c r="B3955" i="16"/>
  <c r="H3955" i="16"/>
  <c r="F3955" i="16"/>
  <c r="G3955" i="16"/>
  <c r="I3955" i="16"/>
  <c r="AF3954" i="16"/>
  <c r="AK3954" i="16"/>
  <c r="AJ3954" i="16"/>
  <c r="AM3954" i="16"/>
  <c r="AL3954" i="16"/>
  <c r="Z3954" i="16"/>
  <c r="AA3954" i="16"/>
  <c r="V3954" i="16"/>
  <c r="AC3954" i="16"/>
  <c r="AB3954" i="16"/>
  <c r="P3954" i="16"/>
  <c r="Q3954" i="16"/>
  <c r="R3954" i="16"/>
  <c r="S3954" i="16"/>
  <c r="L3954" i="16"/>
  <c r="B3954" i="16"/>
  <c r="F3954" i="16"/>
  <c r="G3954" i="16"/>
  <c r="H3954" i="16"/>
  <c r="I3954" i="16"/>
  <c r="AM3953" i="16"/>
  <c r="AK3953" i="16"/>
  <c r="AJ3953" i="16"/>
  <c r="AF3953" i="16"/>
  <c r="AL3953" i="16"/>
  <c r="AC3953" i="16"/>
  <c r="AB3953" i="16"/>
  <c r="AA3953" i="16"/>
  <c r="Z3953" i="16"/>
  <c r="V3953" i="16"/>
  <c r="S3953" i="16"/>
  <c r="R3953" i="16"/>
  <c r="Q3953" i="16"/>
  <c r="P3953" i="16"/>
  <c r="L3953" i="16"/>
  <c r="I3953" i="16"/>
  <c r="H3953" i="16"/>
  <c r="G3953" i="16"/>
  <c r="F3953" i="16"/>
  <c r="B3953" i="16"/>
  <c r="AM3952" i="16"/>
  <c r="AL3952" i="16"/>
  <c r="AK3952" i="16"/>
  <c r="AJ3952" i="16"/>
  <c r="AF3952" i="16"/>
  <c r="AC3952" i="16"/>
  <c r="AB3952" i="16"/>
  <c r="AA3952" i="16"/>
  <c r="Z3952" i="16"/>
  <c r="V3952" i="16"/>
  <c r="S3952" i="16"/>
  <c r="R3952" i="16"/>
  <c r="Q3952" i="16"/>
  <c r="P3952" i="16"/>
  <c r="L3952" i="16"/>
  <c r="I3952" i="16"/>
  <c r="H3952" i="16"/>
  <c r="G3952" i="16"/>
  <c r="B3952" i="16"/>
  <c r="F3952" i="16"/>
  <c r="AK3951" i="16"/>
  <c r="AJ3951" i="16"/>
  <c r="AF3951" i="16"/>
  <c r="AM3951" i="16"/>
  <c r="AL3951" i="16"/>
  <c r="AC3951" i="16"/>
  <c r="AB3951" i="16"/>
  <c r="V3951" i="16"/>
  <c r="Z3951" i="16"/>
  <c r="AA3951" i="16"/>
  <c r="L3951" i="16"/>
  <c r="S3951" i="16"/>
  <c r="R3951" i="16"/>
  <c r="Q3951" i="16"/>
  <c r="P3951" i="16"/>
  <c r="I3951" i="16"/>
  <c r="H3951" i="16"/>
  <c r="G3951" i="16"/>
  <c r="F3951" i="16"/>
  <c r="B3951" i="16"/>
  <c r="AM3950" i="16"/>
  <c r="AL3950" i="16"/>
  <c r="AK3950" i="16"/>
  <c r="AJ3950" i="16"/>
  <c r="AF3950" i="16"/>
  <c r="AC3950" i="16"/>
  <c r="AB3950" i="16"/>
  <c r="AA3950" i="16"/>
  <c r="Z3950" i="16"/>
  <c r="V3950" i="16"/>
  <c r="Q3950" i="16"/>
  <c r="S3950" i="16"/>
  <c r="R3950" i="16"/>
  <c r="L3950" i="16"/>
  <c r="P3950" i="16"/>
  <c r="B3950" i="16"/>
  <c r="F3950" i="16"/>
  <c r="G3950" i="16"/>
  <c r="H3950" i="16"/>
  <c r="I3950" i="16"/>
  <c r="AF3949" i="16"/>
  <c r="AJ3949" i="16"/>
  <c r="AL3949" i="16"/>
  <c r="AM3949" i="16"/>
  <c r="AK3949" i="16"/>
  <c r="AB3949" i="16"/>
  <c r="AC3949" i="16"/>
  <c r="V3949" i="16"/>
  <c r="Z3949" i="16"/>
  <c r="AA3949" i="16"/>
  <c r="Q3949" i="16"/>
  <c r="S3949" i="16"/>
  <c r="L3949" i="16"/>
  <c r="P3949" i="16"/>
  <c r="R3949" i="16"/>
  <c r="F3949" i="16"/>
  <c r="B3949" i="16"/>
  <c r="G3949" i="16"/>
  <c r="H3949" i="16"/>
  <c r="I3949" i="16"/>
  <c r="AM3948" i="16"/>
  <c r="AL3948" i="16"/>
  <c r="AK3948" i="16"/>
  <c r="AJ3948" i="16"/>
  <c r="AF3948" i="16"/>
  <c r="AC3948" i="16"/>
  <c r="AB3948" i="16"/>
  <c r="AA3948" i="16"/>
  <c r="Z3948" i="16"/>
  <c r="V3948" i="16"/>
  <c r="Q3948" i="16"/>
  <c r="R3948" i="16"/>
  <c r="L3948" i="16"/>
  <c r="P3948" i="16"/>
  <c r="S3948" i="16"/>
  <c r="G3948" i="16"/>
  <c r="I3948" i="16"/>
  <c r="H3948" i="16"/>
  <c r="F3948" i="16"/>
  <c r="B3948" i="16"/>
  <c r="AF3947" i="16"/>
  <c r="AK3947" i="16"/>
  <c r="AM3947" i="16"/>
  <c r="AL3947" i="16"/>
  <c r="AJ3947" i="16"/>
  <c r="AC3947" i="16"/>
  <c r="AB3947" i="16"/>
  <c r="AA3947" i="16"/>
  <c r="Z3947" i="16"/>
  <c r="V3947" i="16"/>
  <c r="S3947" i="16"/>
  <c r="R3947" i="16"/>
  <c r="Q3947" i="16"/>
  <c r="P3947" i="16"/>
  <c r="L3947" i="16"/>
  <c r="I3947" i="16"/>
  <c r="H3947" i="16"/>
  <c r="G3947" i="16"/>
  <c r="F3947" i="16"/>
  <c r="B3947" i="16"/>
  <c r="AM3946" i="16"/>
  <c r="AL3946" i="16"/>
  <c r="AK3946" i="16"/>
  <c r="AJ3946" i="16"/>
  <c r="AF3946" i="16"/>
  <c r="V3946" i="16"/>
  <c r="Z3946" i="16"/>
  <c r="AA3946" i="16"/>
  <c r="AB3946" i="16"/>
  <c r="AC3946" i="16"/>
  <c r="P3946" i="16"/>
  <c r="S3946" i="16"/>
  <c r="L3946" i="16"/>
  <c r="Q3946" i="16"/>
  <c r="R3946" i="16"/>
  <c r="I3946" i="16"/>
  <c r="H3946" i="16"/>
  <c r="G3946" i="16"/>
  <c r="F3946" i="16"/>
  <c r="B3946" i="16"/>
  <c r="AJ3945" i="16"/>
  <c r="AK3945" i="16"/>
  <c r="AL3945" i="16"/>
  <c r="AM3945" i="16"/>
  <c r="AF3945" i="16"/>
  <c r="AB3945" i="16"/>
  <c r="AA3945" i="16"/>
  <c r="Z3945" i="16"/>
  <c r="V3945" i="16"/>
  <c r="AC3945" i="16"/>
  <c r="R3945" i="16"/>
  <c r="Q3945" i="16"/>
  <c r="P3945" i="16"/>
  <c r="L3945" i="16"/>
  <c r="S3945" i="16"/>
  <c r="G3945" i="16"/>
  <c r="F3945" i="16"/>
  <c r="B3945" i="16"/>
  <c r="I3945" i="16"/>
  <c r="H3945" i="16"/>
  <c r="AM3944" i="16"/>
  <c r="AL3944" i="16"/>
  <c r="AK3944" i="16"/>
  <c r="AJ3944" i="16"/>
  <c r="AF3944" i="16"/>
  <c r="AC3944" i="16"/>
  <c r="AB3944" i="16"/>
  <c r="AA3944" i="16"/>
  <c r="V3944" i="16"/>
  <c r="Z3944" i="16"/>
  <c r="L3944" i="16"/>
  <c r="P3944" i="16"/>
  <c r="Q3944" i="16"/>
  <c r="R3944" i="16"/>
  <c r="S3944" i="16"/>
  <c r="H3944" i="16"/>
  <c r="I3944" i="16"/>
  <c r="F3944" i="16"/>
  <c r="B3944" i="16"/>
  <c r="G3944" i="16"/>
  <c r="AM3943" i="16"/>
  <c r="AJ3943" i="16"/>
  <c r="AF3943" i="16"/>
  <c r="AL3943" i="16"/>
  <c r="AK3943" i="16"/>
  <c r="AC3943" i="16"/>
  <c r="AB3943" i="16"/>
  <c r="AA3943" i="16"/>
  <c r="Z3943" i="16"/>
  <c r="V3943" i="16"/>
  <c r="L3943" i="16"/>
  <c r="S3943" i="16"/>
  <c r="R3943" i="16"/>
  <c r="Q3943" i="16"/>
  <c r="P3943" i="16"/>
  <c r="I3943" i="16"/>
  <c r="H3943" i="16"/>
  <c r="G3943" i="16"/>
  <c r="F3943" i="16"/>
  <c r="B3943" i="16"/>
  <c r="AL3942" i="16"/>
  <c r="AF3942" i="16"/>
  <c r="AJ3942" i="16"/>
  <c r="AK3942" i="16"/>
  <c r="AM3942" i="16"/>
  <c r="AB3942" i="16"/>
  <c r="V3942" i="16"/>
  <c r="Z3942" i="16"/>
  <c r="AA3942" i="16"/>
  <c r="AC3942" i="16"/>
  <c r="L3942" i="16"/>
  <c r="Q3942" i="16"/>
  <c r="R3942" i="16"/>
  <c r="S3942" i="16"/>
  <c r="P3942" i="16"/>
  <c r="I3942" i="16"/>
  <c r="B3942" i="16"/>
  <c r="F3942" i="16"/>
  <c r="G3942" i="16"/>
  <c r="H3942" i="16"/>
  <c r="AJ3941" i="16"/>
  <c r="AK3941" i="16"/>
  <c r="AL3941" i="16"/>
  <c r="AM3941" i="16"/>
  <c r="AF3941" i="16"/>
  <c r="V3941" i="16"/>
  <c r="AC3941" i="16"/>
  <c r="AB3941" i="16"/>
  <c r="AA3941" i="16"/>
  <c r="Z3941" i="16"/>
  <c r="L3941" i="16"/>
  <c r="P3941" i="16"/>
  <c r="R3941" i="16"/>
  <c r="Q3941" i="16"/>
  <c r="S3941" i="16"/>
  <c r="G3941" i="16"/>
  <c r="I3941" i="16"/>
  <c r="B3941" i="16"/>
  <c r="F3941" i="16"/>
  <c r="H3941" i="16"/>
  <c r="AM3940" i="16"/>
  <c r="AL3940" i="16"/>
  <c r="AJ3940" i="16"/>
  <c r="AK3940" i="16"/>
  <c r="AF3940" i="16"/>
  <c r="Z3940" i="16"/>
  <c r="AA3940" i="16"/>
  <c r="AB3940" i="16"/>
  <c r="AC3940" i="16"/>
  <c r="V3940" i="16"/>
  <c r="S3940" i="16"/>
  <c r="R3940" i="16"/>
  <c r="Q3940" i="16"/>
  <c r="P3940" i="16"/>
  <c r="L3940" i="16"/>
  <c r="I3940" i="16"/>
  <c r="G3940" i="16"/>
  <c r="F3940" i="16"/>
  <c r="B3940" i="16"/>
  <c r="H3940" i="16"/>
  <c r="AJ3939" i="16"/>
  <c r="AK3939" i="16"/>
  <c r="AL3939" i="16"/>
  <c r="AM3939" i="16"/>
  <c r="AF3939" i="16"/>
  <c r="AC3939" i="16"/>
  <c r="AB3939" i="16"/>
  <c r="Z3939" i="16"/>
  <c r="V3939" i="16"/>
  <c r="AA3939" i="16"/>
  <c r="S3939" i="16"/>
  <c r="R3939" i="16"/>
  <c r="P3939" i="16"/>
  <c r="L3939" i="16"/>
  <c r="Q3939" i="16"/>
  <c r="I3939" i="16"/>
  <c r="H3939" i="16"/>
  <c r="G3939" i="16"/>
  <c r="F3939" i="16"/>
  <c r="B3939" i="16"/>
  <c r="AM3938" i="16"/>
  <c r="AL3938" i="16"/>
  <c r="AK3938" i="16"/>
  <c r="AJ3938" i="16"/>
  <c r="AF3938" i="16"/>
  <c r="Z3938" i="16"/>
  <c r="V3938" i="16"/>
  <c r="AC3938" i="16"/>
  <c r="AB3938" i="16"/>
  <c r="AA3938" i="16"/>
  <c r="Q3938" i="16"/>
  <c r="R3938" i="16"/>
  <c r="S3938" i="16"/>
  <c r="L3938" i="16"/>
  <c r="P3938" i="16"/>
  <c r="B3938" i="16"/>
  <c r="F3938" i="16"/>
  <c r="G3938" i="16"/>
  <c r="H3938" i="16"/>
  <c r="I3938" i="16"/>
  <c r="AF3937" i="16"/>
  <c r="AJ3937" i="16"/>
  <c r="AK3937" i="16"/>
  <c r="AL3937" i="16"/>
  <c r="AM3937" i="16"/>
  <c r="AC3937" i="16"/>
  <c r="V3937" i="16"/>
  <c r="Z3937" i="16"/>
  <c r="AA3937" i="16"/>
  <c r="AB3937" i="16"/>
  <c r="L3937" i="16"/>
  <c r="P3937" i="16"/>
  <c r="Q3937" i="16"/>
  <c r="S3937" i="16"/>
  <c r="R3937" i="16"/>
  <c r="G3937" i="16"/>
  <c r="F3937" i="16"/>
  <c r="B3937" i="16"/>
  <c r="H3937" i="16"/>
  <c r="I3937" i="16"/>
  <c r="AJ3936" i="16"/>
  <c r="AF3936" i="16"/>
  <c r="AK3936" i="16"/>
  <c r="AM3936" i="16"/>
  <c r="AL3936" i="16"/>
  <c r="AB3936" i="16"/>
  <c r="AA3936" i="16"/>
  <c r="V3936" i="16"/>
  <c r="Z3936" i="16"/>
  <c r="AC3936" i="16"/>
  <c r="P3936" i="16"/>
  <c r="Q3936" i="16"/>
  <c r="R3936" i="16"/>
  <c r="S3936" i="16"/>
  <c r="L3936" i="16"/>
  <c r="H3936" i="16"/>
  <c r="B3936" i="16"/>
  <c r="G3936" i="16"/>
  <c r="F3936" i="16"/>
  <c r="I3936" i="16"/>
  <c r="AK3935" i="16"/>
  <c r="AJ3935" i="16"/>
  <c r="AF3935" i="16"/>
  <c r="AM3935" i="16"/>
  <c r="AL3935" i="16"/>
  <c r="V3935" i="16"/>
  <c r="AC3935" i="16"/>
  <c r="AB3935" i="16"/>
  <c r="Z3935" i="16"/>
  <c r="AA3935" i="16"/>
  <c r="R3935" i="16"/>
  <c r="S3935" i="16"/>
  <c r="Q3935" i="16"/>
  <c r="L3935" i="16"/>
  <c r="P3935" i="16"/>
  <c r="H3935" i="16"/>
  <c r="I3935" i="16"/>
  <c r="B3935" i="16"/>
  <c r="F3935" i="16"/>
  <c r="G3935" i="16"/>
  <c r="AK3934" i="16"/>
  <c r="AL3934" i="16"/>
  <c r="AF3934" i="16"/>
  <c r="AM3934" i="16"/>
  <c r="AJ3934" i="16"/>
  <c r="V3934" i="16"/>
  <c r="AC3934" i="16"/>
  <c r="Z3934" i="16"/>
  <c r="AB3934" i="16"/>
  <c r="AA3934" i="16"/>
  <c r="P3934" i="16"/>
  <c r="Q3934" i="16"/>
  <c r="R3934" i="16"/>
  <c r="S3934" i="16"/>
  <c r="L3934" i="16"/>
  <c r="I3934" i="16"/>
  <c r="H3934" i="16"/>
  <c r="G3934" i="16"/>
  <c r="F3934" i="16"/>
  <c r="B3934" i="16"/>
  <c r="AF3933" i="16"/>
  <c r="AJ3933" i="16"/>
  <c r="AK3933" i="16"/>
  <c r="AL3933" i="16"/>
  <c r="AM3933" i="16"/>
  <c r="AC3933" i="16"/>
  <c r="AB3933" i="16"/>
  <c r="AA3933" i="16"/>
  <c r="Z3933" i="16"/>
  <c r="V3933" i="16"/>
  <c r="S3933" i="16"/>
  <c r="R3933" i="16"/>
  <c r="Q3933" i="16"/>
  <c r="P3933" i="16"/>
  <c r="L3933" i="16"/>
  <c r="H3933" i="16"/>
  <c r="I3933" i="16"/>
  <c r="G3933" i="16"/>
  <c r="B3933" i="16"/>
  <c r="F3933" i="16"/>
  <c r="AF3932" i="16"/>
  <c r="AM3932" i="16"/>
  <c r="AL3932" i="16"/>
  <c r="AK3932" i="16"/>
  <c r="AJ3932" i="16"/>
  <c r="Z3932" i="16"/>
  <c r="AA3932" i="16"/>
  <c r="AB3932" i="16"/>
  <c r="AC3932" i="16"/>
  <c r="V3932" i="16"/>
  <c r="P3932" i="16"/>
  <c r="Q3932" i="16"/>
  <c r="R3932" i="16"/>
  <c r="S3932" i="16"/>
  <c r="L3932" i="16"/>
  <c r="H3932" i="16"/>
  <c r="I3932" i="16"/>
  <c r="B3932" i="16"/>
  <c r="F3932" i="16"/>
  <c r="G3932" i="16"/>
  <c r="AM3931" i="16"/>
  <c r="AL3931" i="16"/>
  <c r="AK3931" i="16"/>
  <c r="AJ3931" i="16"/>
  <c r="AF3931" i="16"/>
  <c r="V3931" i="16"/>
  <c r="Z3931" i="16"/>
  <c r="AC3931" i="16"/>
  <c r="AB3931" i="16"/>
  <c r="AA3931" i="16"/>
  <c r="S3931" i="16"/>
  <c r="R3931" i="16"/>
  <c r="Q3931" i="16"/>
  <c r="P3931" i="16"/>
  <c r="L3931" i="16"/>
  <c r="B3931" i="16"/>
  <c r="I3931" i="16"/>
  <c r="H3931" i="16"/>
  <c r="G3931" i="16"/>
  <c r="F3931" i="16"/>
  <c r="AM3930" i="16"/>
  <c r="AL3930" i="16"/>
  <c r="AK3930" i="16"/>
  <c r="AJ3930" i="16"/>
  <c r="AF3930" i="16"/>
  <c r="AC3930" i="16"/>
  <c r="AB3930" i="16"/>
  <c r="AA3930" i="16"/>
  <c r="Z3930" i="16"/>
  <c r="V3930" i="16"/>
  <c r="L3930" i="16"/>
  <c r="S3930" i="16"/>
  <c r="R3930" i="16"/>
  <c r="Q3930" i="16"/>
  <c r="P3930" i="16"/>
  <c r="H3930" i="16"/>
  <c r="G3930" i="16"/>
  <c r="F3930" i="16"/>
  <c r="B3930" i="16"/>
  <c r="I3930" i="16"/>
  <c r="AM3929" i="16"/>
  <c r="AL3929" i="16"/>
  <c r="AF3929" i="16"/>
  <c r="AJ3929" i="16"/>
  <c r="AK3929" i="16"/>
  <c r="AB3929" i="16"/>
  <c r="AA3929" i="16"/>
  <c r="Z3929" i="16"/>
  <c r="V3929" i="16"/>
  <c r="AC3929" i="16"/>
  <c r="S3929" i="16"/>
  <c r="L3929" i="16"/>
  <c r="P3929" i="16"/>
  <c r="R3929" i="16"/>
  <c r="Q3929" i="16"/>
  <c r="I3929" i="16"/>
  <c r="B3929" i="16"/>
  <c r="F3929" i="16"/>
  <c r="G3929" i="16"/>
  <c r="H3929" i="16"/>
  <c r="AM3928" i="16"/>
  <c r="AJ3928" i="16"/>
  <c r="AF3928" i="16"/>
  <c r="AK3928" i="16"/>
  <c r="AL3928" i="16"/>
  <c r="AC3928" i="16"/>
  <c r="AB3928" i="16"/>
  <c r="AA3928" i="16"/>
  <c r="V3928" i="16"/>
  <c r="Z3928" i="16"/>
  <c r="S3928" i="16"/>
  <c r="R3928" i="16"/>
  <c r="Q3928" i="16"/>
  <c r="P3928" i="16"/>
  <c r="L3928" i="16"/>
  <c r="I3928" i="16"/>
  <c r="G3928" i="16"/>
  <c r="F3928" i="16"/>
  <c r="B3928" i="16"/>
  <c r="H3928" i="16"/>
  <c r="AL3927" i="16"/>
  <c r="AK3927" i="16"/>
  <c r="AJ3927" i="16"/>
  <c r="AF3927" i="16"/>
  <c r="AM3927" i="16"/>
  <c r="AA3927" i="16"/>
  <c r="Z3927" i="16"/>
  <c r="V3927" i="16"/>
  <c r="AC3927" i="16"/>
  <c r="AB3927" i="16"/>
  <c r="R3927" i="16"/>
  <c r="Q3927" i="16"/>
  <c r="P3927" i="16"/>
  <c r="L3927" i="16"/>
  <c r="S3927" i="16"/>
  <c r="I3927" i="16"/>
  <c r="B3927" i="16"/>
  <c r="H3927" i="16"/>
  <c r="G3927" i="16"/>
  <c r="F3927" i="16"/>
  <c r="AF3926" i="16"/>
  <c r="AK3926" i="16"/>
  <c r="AL3926" i="16"/>
  <c r="AJ3926" i="16"/>
  <c r="AM3926" i="16"/>
  <c r="V3926" i="16"/>
  <c r="Z3926" i="16"/>
  <c r="AA3926" i="16"/>
  <c r="AB3926" i="16"/>
  <c r="AC3926" i="16"/>
  <c r="L3926" i="16"/>
  <c r="P3926" i="16"/>
  <c r="Q3926" i="16"/>
  <c r="R3926" i="16"/>
  <c r="S3926" i="16"/>
  <c r="F3926" i="16"/>
  <c r="B3926" i="16"/>
  <c r="G3926" i="16"/>
  <c r="H3926" i="16"/>
  <c r="I3926" i="16"/>
  <c r="AF3925" i="16"/>
  <c r="AJ3925" i="16"/>
  <c r="AL3925" i="16"/>
  <c r="AM3925" i="16"/>
  <c r="AK3925" i="16"/>
  <c r="Z3925" i="16"/>
  <c r="V3925" i="16"/>
  <c r="AA3925" i="16"/>
  <c r="AC3925" i="16"/>
  <c r="AB3925" i="16"/>
  <c r="P3925" i="16"/>
  <c r="Q3925" i="16"/>
  <c r="R3925" i="16"/>
  <c r="S3925" i="16"/>
  <c r="L3925" i="16"/>
  <c r="F3925" i="16"/>
  <c r="H3925" i="16"/>
  <c r="I3925" i="16"/>
  <c r="B3925" i="16"/>
  <c r="G3925" i="16"/>
  <c r="AJ3924" i="16"/>
  <c r="AF3924" i="16"/>
  <c r="AK3924" i="16"/>
  <c r="AL3924" i="16"/>
  <c r="AM3924" i="16"/>
  <c r="V3924" i="16"/>
  <c r="AC3924" i="16"/>
  <c r="AB3924" i="16"/>
  <c r="AA3924" i="16"/>
  <c r="Z3924" i="16"/>
  <c r="Q3924" i="16"/>
  <c r="S3924" i="16"/>
  <c r="R3924" i="16"/>
  <c r="P3924" i="16"/>
  <c r="L3924" i="16"/>
  <c r="B3924" i="16"/>
  <c r="G3924" i="16"/>
  <c r="H3924" i="16"/>
  <c r="I3924" i="16"/>
  <c r="F3924" i="16"/>
  <c r="AJ3923" i="16"/>
  <c r="AM3923" i="16"/>
  <c r="AK3923" i="16"/>
  <c r="AL3923" i="16"/>
  <c r="AF3923" i="16"/>
  <c r="AB3923" i="16"/>
  <c r="AA3923" i="16"/>
  <c r="Z3923" i="16"/>
  <c r="V3923" i="16"/>
  <c r="AC3923" i="16"/>
  <c r="Q3923" i="16"/>
  <c r="P3923" i="16"/>
  <c r="R3923" i="16"/>
  <c r="L3923" i="16"/>
  <c r="S3923" i="16"/>
  <c r="G3923" i="16"/>
  <c r="H3923" i="16"/>
  <c r="I3923" i="16"/>
  <c r="F3923" i="16"/>
  <c r="B3923" i="16"/>
  <c r="AL3922" i="16"/>
  <c r="AK3922" i="16"/>
  <c r="AJ3922" i="16"/>
  <c r="AM3922" i="16"/>
  <c r="AF3922" i="16"/>
  <c r="AC3922" i="16"/>
  <c r="AB3922" i="16"/>
  <c r="AA3922" i="16"/>
  <c r="Z3922" i="16"/>
  <c r="V3922" i="16"/>
  <c r="S3922" i="16"/>
  <c r="R3922" i="16"/>
  <c r="Q3922" i="16"/>
  <c r="P3922" i="16"/>
  <c r="L3922" i="16"/>
  <c r="F3922" i="16"/>
  <c r="I3922" i="16"/>
  <c r="G3922" i="16"/>
  <c r="H3922" i="16"/>
  <c r="B3922" i="16"/>
  <c r="AL3921" i="16"/>
  <c r="AK3921" i="16"/>
  <c r="AJ3921" i="16"/>
  <c r="AF3921" i="16"/>
  <c r="AM3921" i="16"/>
  <c r="V3921" i="16"/>
  <c r="AC3921" i="16"/>
  <c r="AB3921" i="16"/>
  <c r="Z3921" i="16"/>
  <c r="AA3921" i="16"/>
  <c r="L3921" i="16"/>
  <c r="R3921" i="16"/>
  <c r="S3921" i="16"/>
  <c r="Q3921" i="16"/>
  <c r="P3921" i="16"/>
  <c r="I3921" i="16"/>
  <c r="H3921" i="16"/>
  <c r="G3921" i="16"/>
  <c r="F3921" i="16"/>
  <c r="B3921" i="16"/>
  <c r="AF3920" i="16"/>
  <c r="AK3920" i="16"/>
  <c r="AL3920" i="16"/>
  <c r="AM3920" i="16"/>
  <c r="AJ3920" i="16"/>
  <c r="V3920" i="16"/>
  <c r="Z3920" i="16"/>
  <c r="AA3920" i="16"/>
  <c r="AB3920" i="16"/>
  <c r="AC3920" i="16"/>
  <c r="L3920" i="16"/>
  <c r="S3920" i="16"/>
  <c r="R3920" i="16"/>
  <c r="Q3920" i="16"/>
  <c r="P3920" i="16"/>
  <c r="I3920" i="16"/>
  <c r="H3920" i="16"/>
  <c r="G3920" i="16"/>
  <c r="F3920" i="16"/>
  <c r="B3920" i="16"/>
  <c r="AL3919" i="16"/>
  <c r="AM3919" i="16"/>
  <c r="AF3919" i="16"/>
  <c r="AJ3919" i="16"/>
  <c r="AK3919" i="16"/>
  <c r="AC3919" i="16"/>
  <c r="AB3919" i="16"/>
  <c r="Z3919" i="16"/>
  <c r="V3919" i="16"/>
  <c r="AA3919" i="16"/>
  <c r="L3919" i="16"/>
  <c r="P3919" i="16"/>
  <c r="Q3919" i="16"/>
  <c r="R3919" i="16"/>
  <c r="S3919" i="16"/>
  <c r="B3919" i="16"/>
  <c r="F3919" i="16"/>
  <c r="G3919" i="16"/>
  <c r="H3919" i="16"/>
  <c r="I3919" i="16"/>
  <c r="AF3918" i="16"/>
  <c r="AK3918" i="16"/>
  <c r="AL3918" i="16"/>
  <c r="AM3918" i="16"/>
  <c r="AJ3918" i="16"/>
  <c r="V3918" i="16"/>
  <c r="Z3918" i="16"/>
  <c r="AA3918" i="16"/>
  <c r="AB3918" i="16"/>
  <c r="AC3918" i="16"/>
  <c r="Q3918" i="16"/>
  <c r="R3918" i="16"/>
  <c r="S3918" i="16"/>
  <c r="L3918" i="16"/>
  <c r="P3918" i="16"/>
  <c r="F3918" i="16"/>
  <c r="B3918" i="16"/>
  <c r="H3918" i="16"/>
  <c r="I3918" i="16"/>
  <c r="G3918" i="16"/>
  <c r="AK3917" i="16"/>
  <c r="AF3917" i="16"/>
  <c r="AJ3917" i="16"/>
  <c r="AL3917" i="16"/>
  <c r="AM3917" i="16"/>
  <c r="AC3917" i="16"/>
  <c r="AB3917" i="16"/>
  <c r="Z3917" i="16"/>
  <c r="V3917" i="16"/>
  <c r="AA3917" i="16"/>
  <c r="Q3917" i="16"/>
  <c r="R3917" i="16"/>
  <c r="S3917" i="16"/>
  <c r="P3917" i="16"/>
  <c r="L3917" i="16"/>
  <c r="F3917" i="16"/>
  <c r="G3917" i="16"/>
  <c r="H3917" i="16"/>
  <c r="I3917" i="16"/>
  <c r="B3917" i="16"/>
  <c r="AF3916" i="16"/>
  <c r="AJ3916" i="16"/>
  <c r="AK3916" i="16"/>
  <c r="AL3916" i="16"/>
  <c r="AM3916" i="16"/>
  <c r="V3916" i="16"/>
  <c r="Z3916" i="16"/>
  <c r="AB3916" i="16"/>
  <c r="AC3916" i="16"/>
  <c r="AA3916" i="16"/>
  <c r="R3916" i="16"/>
  <c r="P3916" i="16"/>
  <c r="S3916" i="16"/>
  <c r="L3916" i="16"/>
  <c r="Q3916" i="16"/>
  <c r="I3916" i="16"/>
  <c r="H3916" i="16"/>
  <c r="G3916" i="16"/>
  <c r="F3916" i="16"/>
  <c r="B3916" i="16"/>
  <c r="AM3915" i="16"/>
  <c r="AL3915" i="16"/>
  <c r="AK3915" i="16"/>
  <c r="AJ3915" i="16"/>
  <c r="AF3915" i="16"/>
  <c r="AC3915" i="16"/>
  <c r="AB3915" i="16"/>
  <c r="AA3915" i="16"/>
  <c r="Z3915" i="16"/>
  <c r="V3915" i="16"/>
  <c r="S3915" i="16"/>
  <c r="R3915" i="16"/>
  <c r="Q3915" i="16"/>
  <c r="P3915" i="16"/>
  <c r="L3915" i="16"/>
  <c r="B3915" i="16"/>
  <c r="I3915" i="16"/>
  <c r="H3915" i="16"/>
  <c r="G3915" i="16"/>
  <c r="F3915" i="16"/>
  <c r="AF3914" i="16"/>
  <c r="AJ3914" i="16"/>
  <c r="AK3914" i="16"/>
  <c r="AL3914" i="16"/>
  <c r="AM3914" i="16"/>
  <c r="Z3914" i="16"/>
  <c r="V3914" i="16"/>
  <c r="AA3914" i="16"/>
  <c r="AB3914" i="16"/>
  <c r="AC3914" i="16"/>
  <c r="L3914" i="16"/>
  <c r="P3914" i="16"/>
  <c r="Q3914" i="16"/>
  <c r="R3914" i="16"/>
  <c r="S3914" i="16"/>
  <c r="F3914" i="16"/>
  <c r="G3914" i="16"/>
  <c r="H3914" i="16"/>
  <c r="I3914" i="16"/>
  <c r="B3914" i="16"/>
  <c r="AF3913" i="16"/>
  <c r="AJ3913" i="16"/>
  <c r="AK3913" i="16"/>
  <c r="AM3913" i="16"/>
  <c r="AL3913" i="16"/>
  <c r="AB3913" i="16"/>
  <c r="AC3913" i="16"/>
  <c r="V3913" i="16"/>
  <c r="Z3913" i="16"/>
  <c r="AA3913" i="16"/>
  <c r="S3913" i="16"/>
  <c r="R3913" i="16"/>
  <c r="Q3913" i="16"/>
  <c r="P3913" i="16"/>
  <c r="L3913" i="16"/>
  <c r="B3913" i="16"/>
  <c r="H3913" i="16"/>
  <c r="F3913" i="16"/>
  <c r="G3913" i="16"/>
  <c r="I3913" i="16"/>
  <c r="AM3912" i="16"/>
  <c r="AL3912" i="16"/>
  <c r="AJ3912" i="16"/>
  <c r="AF3912" i="16"/>
  <c r="AK3912" i="16"/>
  <c r="AC3912" i="16"/>
  <c r="AB3912" i="16"/>
  <c r="AA3912" i="16"/>
  <c r="Z3912" i="16"/>
  <c r="V3912" i="16"/>
  <c r="R3912" i="16"/>
  <c r="S3912" i="16"/>
  <c r="Q3912" i="16"/>
  <c r="P3912" i="16"/>
  <c r="L3912" i="16"/>
  <c r="G3912" i="16"/>
  <c r="I3912" i="16"/>
  <c r="H3912" i="16"/>
  <c r="F3912" i="16"/>
  <c r="B3912" i="16"/>
  <c r="AM3911" i="16"/>
  <c r="AL3911" i="16"/>
  <c r="AK3911" i="16"/>
  <c r="AJ3911" i="16"/>
  <c r="AF3911" i="16"/>
  <c r="AC3911" i="16"/>
  <c r="AB3911" i="16"/>
  <c r="AA3911" i="16"/>
  <c r="Z3911" i="16"/>
  <c r="V3911" i="16"/>
  <c r="L3911" i="16"/>
  <c r="P3911" i="16"/>
  <c r="Q3911" i="16"/>
  <c r="R3911" i="16"/>
  <c r="S3911" i="16"/>
  <c r="F3911" i="16"/>
  <c r="I3911" i="16"/>
  <c r="H3911" i="16"/>
  <c r="G3911" i="16"/>
  <c r="B3911" i="16"/>
  <c r="AM3910" i="16"/>
  <c r="AL3910" i="16"/>
  <c r="AK3910" i="16"/>
  <c r="AJ3910" i="16"/>
  <c r="AF3910" i="16"/>
  <c r="AC3910" i="16"/>
  <c r="AB3910" i="16"/>
  <c r="AA3910" i="16"/>
  <c r="Z3910" i="16"/>
  <c r="V3910" i="16"/>
  <c r="S3910" i="16"/>
  <c r="R3910" i="16"/>
  <c r="Q3910" i="16"/>
  <c r="P3910" i="16"/>
  <c r="L3910" i="16"/>
  <c r="B3910" i="16"/>
  <c r="I3910" i="16"/>
  <c r="H3910" i="16"/>
  <c r="G3910" i="16"/>
  <c r="F3910" i="16"/>
  <c r="AK3909" i="16"/>
  <c r="AF3909" i="16"/>
  <c r="AJ3909" i="16"/>
  <c r="AL3909" i="16"/>
  <c r="AM3909" i="16"/>
  <c r="AC3909" i="16"/>
  <c r="V3909" i="16"/>
  <c r="Z3909" i="16"/>
  <c r="AA3909" i="16"/>
  <c r="AB3909" i="16"/>
  <c r="P3909" i="16"/>
  <c r="L3909" i="16"/>
  <c r="S3909" i="16"/>
  <c r="R3909" i="16"/>
  <c r="Q3909" i="16"/>
  <c r="I3909" i="16"/>
  <c r="H3909" i="16"/>
  <c r="G3909" i="16"/>
  <c r="F3909" i="16"/>
  <c r="B3909" i="16"/>
  <c r="AM3908" i="16"/>
  <c r="AL3908" i="16"/>
  <c r="AJ3908" i="16"/>
  <c r="AF3908" i="16"/>
  <c r="AK3908" i="16"/>
  <c r="V3908" i="16"/>
  <c r="Z3908" i="16"/>
  <c r="AC3908" i="16"/>
  <c r="AB3908" i="16"/>
  <c r="AA3908" i="16"/>
  <c r="Q3908" i="16"/>
  <c r="L3908" i="16"/>
  <c r="P3908" i="16"/>
  <c r="S3908" i="16"/>
  <c r="R3908" i="16"/>
  <c r="B3908" i="16"/>
  <c r="G3908" i="16"/>
  <c r="H3908" i="16"/>
  <c r="I3908" i="16"/>
  <c r="F3908" i="16"/>
  <c r="AM3907" i="16"/>
  <c r="AF3907" i="16"/>
  <c r="AJ3907" i="16"/>
  <c r="AK3907" i="16"/>
  <c r="AL3907" i="16"/>
  <c r="V3907" i="16"/>
  <c r="AA3907" i="16"/>
  <c r="Z3907" i="16"/>
  <c r="AB3907" i="16"/>
  <c r="AC3907" i="16"/>
  <c r="S3907" i="16"/>
  <c r="R3907" i="16"/>
  <c r="Q3907" i="16"/>
  <c r="P3907" i="16"/>
  <c r="L3907" i="16"/>
  <c r="H3907" i="16"/>
  <c r="F3907" i="16"/>
  <c r="B3907" i="16"/>
  <c r="G3907" i="16"/>
  <c r="I3907" i="16"/>
  <c r="AM3906" i="16"/>
  <c r="AJ3906" i="16"/>
  <c r="AF3906" i="16"/>
  <c r="AK3906" i="16"/>
  <c r="AL3906" i="16"/>
  <c r="AC3906" i="16"/>
  <c r="AB3906" i="16"/>
  <c r="AA3906" i="16"/>
  <c r="Z3906" i="16"/>
  <c r="V3906" i="16"/>
  <c r="P3906" i="16"/>
  <c r="Q3906" i="16"/>
  <c r="R3906" i="16"/>
  <c r="S3906" i="16"/>
  <c r="L3906" i="16"/>
  <c r="I3906" i="16"/>
  <c r="H3906" i="16"/>
  <c r="G3906" i="16"/>
  <c r="F3906" i="16"/>
  <c r="B3906" i="16"/>
  <c r="AF3905" i="16"/>
  <c r="AM3905" i="16"/>
  <c r="AL3905" i="16"/>
  <c r="AK3905" i="16"/>
  <c r="AJ3905" i="16"/>
  <c r="AC3905" i="16"/>
  <c r="AB3905" i="16"/>
  <c r="AA3905" i="16"/>
  <c r="Z3905" i="16"/>
  <c r="V3905" i="16"/>
  <c r="P3905" i="16"/>
  <c r="S3905" i="16"/>
  <c r="R3905" i="16"/>
  <c r="Q3905" i="16"/>
  <c r="L3905" i="16"/>
  <c r="I3905" i="16"/>
  <c r="H3905" i="16"/>
  <c r="G3905" i="16"/>
  <c r="F3905" i="16"/>
  <c r="B3905" i="16"/>
  <c r="AM3904" i="16"/>
  <c r="AL3904" i="16"/>
  <c r="AK3904" i="16"/>
  <c r="AJ3904" i="16"/>
  <c r="AF3904" i="16"/>
  <c r="AB3904" i="16"/>
  <c r="AA3904" i="16"/>
  <c r="Z3904" i="16"/>
  <c r="V3904" i="16"/>
  <c r="AC3904" i="16"/>
  <c r="R3904" i="16"/>
  <c r="Q3904" i="16"/>
  <c r="P3904" i="16"/>
  <c r="L3904" i="16"/>
  <c r="S3904" i="16"/>
  <c r="I3904" i="16"/>
  <c r="H3904" i="16"/>
  <c r="G3904" i="16"/>
  <c r="F3904" i="16"/>
  <c r="B3904" i="16"/>
  <c r="AK3903" i="16"/>
  <c r="AJ3903" i="16"/>
  <c r="AF3903" i="16"/>
  <c r="AM3903" i="16"/>
  <c r="AL3903" i="16"/>
  <c r="AC3903" i="16"/>
  <c r="AB3903" i="16"/>
  <c r="V3903" i="16"/>
  <c r="Z3903" i="16"/>
  <c r="AA3903" i="16"/>
  <c r="Q3903" i="16"/>
  <c r="P3903" i="16"/>
  <c r="L3903" i="16"/>
  <c r="R3903" i="16"/>
  <c r="S3903" i="16"/>
  <c r="I3903" i="16"/>
  <c r="H3903" i="16"/>
  <c r="G3903" i="16"/>
  <c r="F3903" i="16"/>
  <c r="B3903" i="16"/>
  <c r="AF3902" i="16"/>
  <c r="AJ3902" i="16"/>
  <c r="AK3902" i="16"/>
  <c r="AL3902" i="16"/>
  <c r="AM3902" i="16"/>
  <c r="V3902" i="16"/>
  <c r="AB3902" i="16"/>
  <c r="AA3902" i="16"/>
  <c r="Z3902" i="16"/>
  <c r="AC3902" i="16"/>
  <c r="Q3902" i="16"/>
  <c r="R3902" i="16"/>
  <c r="S3902" i="16"/>
  <c r="L3902" i="16"/>
  <c r="P3902" i="16"/>
  <c r="G3902" i="16"/>
  <c r="I3902" i="16"/>
  <c r="H3902" i="16"/>
  <c r="B3902" i="16"/>
  <c r="F3902" i="16"/>
  <c r="AJ3901" i="16"/>
  <c r="AF3901" i="16"/>
  <c r="AL3901" i="16"/>
  <c r="AK3901" i="16"/>
  <c r="AM3901" i="16"/>
  <c r="Z3901" i="16"/>
  <c r="AC3901" i="16"/>
  <c r="AB3901" i="16"/>
  <c r="AA3901" i="16"/>
  <c r="V3901" i="16"/>
  <c r="L3901" i="16"/>
  <c r="S3901" i="16"/>
  <c r="R3901" i="16"/>
  <c r="P3901" i="16"/>
  <c r="Q3901" i="16"/>
  <c r="F3901" i="16"/>
  <c r="G3901" i="16"/>
  <c r="H3901" i="16"/>
  <c r="I3901" i="16"/>
  <c r="B3901" i="16"/>
  <c r="AL3900" i="16"/>
  <c r="AJ3900" i="16"/>
  <c r="AF3900" i="16"/>
  <c r="AK3900" i="16"/>
  <c r="AM3900" i="16"/>
  <c r="V3900" i="16"/>
  <c r="AB3900" i="16"/>
  <c r="AC3900" i="16"/>
  <c r="AA3900" i="16"/>
  <c r="Z3900" i="16"/>
  <c r="L3900" i="16"/>
  <c r="Q3900" i="16"/>
  <c r="R3900" i="16"/>
  <c r="S3900" i="16"/>
  <c r="P3900" i="16"/>
  <c r="F3900" i="16"/>
  <c r="G3900" i="16"/>
  <c r="H3900" i="16"/>
  <c r="B3900" i="16"/>
  <c r="I3900" i="16"/>
  <c r="AM3899" i="16"/>
  <c r="AL3899" i="16"/>
  <c r="AK3899" i="16"/>
  <c r="AJ3899" i="16"/>
  <c r="AF3899" i="16"/>
  <c r="V3899" i="16"/>
  <c r="Z3899" i="16"/>
  <c r="AA3899" i="16"/>
  <c r="AB3899" i="16"/>
  <c r="AC3899" i="16"/>
  <c r="Q3899" i="16"/>
  <c r="L3899" i="16"/>
  <c r="P3899" i="16"/>
  <c r="R3899" i="16"/>
  <c r="S3899" i="16"/>
  <c r="G3899" i="16"/>
  <c r="F3899" i="16"/>
  <c r="B3899" i="16"/>
  <c r="I3899" i="16"/>
  <c r="H3899" i="16"/>
  <c r="AM3898" i="16"/>
  <c r="AK3898" i="16"/>
  <c r="AJ3898" i="16"/>
  <c r="AF3898" i="16"/>
  <c r="AL3898" i="16"/>
  <c r="V3898" i="16"/>
  <c r="AC3898" i="16"/>
  <c r="AB3898" i="16"/>
  <c r="AA3898" i="16"/>
  <c r="Z3898" i="16"/>
  <c r="R3898" i="16"/>
  <c r="S3898" i="16"/>
  <c r="L3898" i="16"/>
  <c r="P3898" i="16"/>
  <c r="Q3898" i="16"/>
  <c r="B3898" i="16"/>
  <c r="F3898" i="16"/>
  <c r="G3898" i="16"/>
  <c r="H3898" i="16"/>
  <c r="I3898" i="16"/>
  <c r="AM3897" i="16"/>
  <c r="AF3897" i="16"/>
  <c r="AJ3897" i="16"/>
  <c r="AK3897" i="16"/>
  <c r="AL3897" i="16"/>
  <c r="V3897" i="16"/>
  <c r="Z3897" i="16"/>
  <c r="AA3897" i="16"/>
  <c r="AC3897" i="16"/>
  <c r="AB3897" i="16"/>
  <c r="Q3897" i="16"/>
  <c r="P3897" i="16"/>
  <c r="R3897" i="16"/>
  <c r="S3897" i="16"/>
  <c r="L3897" i="16"/>
  <c r="H3897" i="16"/>
  <c r="F3897" i="16"/>
  <c r="G3897" i="16"/>
  <c r="I3897" i="16"/>
  <c r="B3897" i="16"/>
  <c r="AM3896" i="16"/>
  <c r="AL3896" i="16"/>
  <c r="AJ3896" i="16"/>
  <c r="AF3896" i="16"/>
  <c r="AK3896" i="16"/>
  <c r="AC3896" i="16"/>
  <c r="AB3896" i="16"/>
  <c r="AA3896" i="16"/>
  <c r="Z3896" i="16"/>
  <c r="V3896" i="16"/>
  <c r="S3896" i="16"/>
  <c r="R3896" i="16"/>
  <c r="Q3896" i="16"/>
  <c r="P3896" i="16"/>
  <c r="L3896" i="16"/>
  <c r="I3896" i="16"/>
  <c r="H3896" i="16"/>
  <c r="G3896" i="16"/>
  <c r="F3896" i="16"/>
  <c r="B3896" i="16"/>
  <c r="AM3895" i="16"/>
  <c r="AL3895" i="16"/>
  <c r="AK3895" i="16"/>
  <c r="AJ3895" i="16"/>
  <c r="AF3895" i="16"/>
  <c r="AC3895" i="16"/>
  <c r="AB3895" i="16"/>
  <c r="AA3895" i="16"/>
  <c r="Z3895" i="16"/>
  <c r="V3895" i="16"/>
  <c r="S3895" i="16"/>
  <c r="R3895" i="16"/>
  <c r="Q3895" i="16"/>
  <c r="P3895" i="16"/>
  <c r="L3895" i="16"/>
  <c r="I3895" i="16"/>
  <c r="H3895" i="16"/>
  <c r="G3895" i="16"/>
  <c r="F3895" i="16"/>
  <c r="B3895" i="16"/>
  <c r="AM3894" i="16"/>
  <c r="AL3894" i="16"/>
  <c r="AK3894" i="16"/>
  <c r="AJ3894" i="16"/>
  <c r="AF3894" i="16"/>
  <c r="AC3894" i="16"/>
  <c r="AB3894" i="16"/>
  <c r="AA3894" i="16"/>
  <c r="Z3894" i="16"/>
  <c r="V3894" i="16"/>
  <c r="S3894" i="16"/>
  <c r="R3894" i="16"/>
  <c r="Q3894" i="16"/>
  <c r="P3894" i="16"/>
  <c r="L3894" i="16"/>
  <c r="I3894" i="16"/>
  <c r="H3894" i="16"/>
  <c r="G3894" i="16"/>
  <c r="F3894" i="16"/>
  <c r="B3894" i="16"/>
  <c r="AM3893" i="16"/>
  <c r="AK3893" i="16"/>
  <c r="AL3893" i="16"/>
  <c r="AJ3893" i="16"/>
  <c r="AF3893" i="16"/>
  <c r="Z3893" i="16"/>
  <c r="V3893" i="16"/>
  <c r="AA3893" i="16"/>
  <c r="AC3893" i="16"/>
  <c r="AB3893" i="16"/>
  <c r="S3893" i="16"/>
  <c r="R3893" i="16"/>
  <c r="Q3893" i="16"/>
  <c r="P3893" i="16"/>
  <c r="L3893" i="16"/>
  <c r="I3893" i="16"/>
  <c r="H3893" i="16"/>
  <c r="G3893" i="16"/>
  <c r="F3893" i="16"/>
  <c r="B3893" i="16"/>
  <c r="AM3892" i="16"/>
  <c r="AL3892" i="16"/>
  <c r="AK3892" i="16"/>
  <c r="AJ3892" i="16"/>
  <c r="AF3892" i="16"/>
  <c r="AB3892" i="16"/>
  <c r="Z3892" i="16"/>
  <c r="V3892" i="16"/>
  <c r="AA3892" i="16"/>
  <c r="AC3892" i="16"/>
  <c r="S3892" i="16"/>
  <c r="R3892" i="16"/>
  <c r="Q3892" i="16"/>
  <c r="P3892" i="16"/>
  <c r="L3892" i="16"/>
  <c r="G3892" i="16"/>
  <c r="F3892" i="16"/>
  <c r="B3892" i="16"/>
  <c r="I3892" i="16"/>
  <c r="H3892" i="16"/>
  <c r="AM3891" i="16"/>
  <c r="AK3891" i="16"/>
  <c r="AJ3891" i="16"/>
  <c r="AF3891" i="16"/>
  <c r="AL3891" i="16"/>
  <c r="AA3891" i="16"/>
  <c r="AC3891" i="16"/>
  <c r="AB3891" i="16"/>
  <c r="V3891" i="16"/>
  <c r="Z3891" i="16"/>
  <c r="R3891" i="16"/>
  <c r="S3891" i="16"/>
  <c r="L3891" i="16"/>
  <c r="P3891" i="16"/>
  <c r="Q3891" i="16"/>
  <c r="G3891" i="16"/>
  <c r="F3891" i="16"/>
  <c r="B3891" i="16"/>
  <c r="I3891" i="16"/>
  <c r="H3891" i="16"/>
  <c r="AM3890" i="16"/>
  <c r="AL3890" i="16"/>
  <c r="AK3890" i="16"/>
  <c r="AJ3890" i="16"/>
  <c r="AF3890" i="16"/>
  <c r="AC3890" i="16"/>
  <c r="AB3890" i="16"/>
  <c r="AA3890" i="16"/>
  <c r="Z3890" i="16"/>
  <c r="V3890" i="16"/>
  <c r="P3890" i="16"/>
  <c r="Q3890" i="16"/>
  <c r="R3890" i="16"/>
  <c r="S3890" i="16"/>
  <c r="L3890" i="16"/>
  <c r="H3890" i="16"/>
  <c r="G3890" i="16"/>
  <c r="B3890" i="16"/>
  <c r="F3890" i="16"/>
  <c r="I3890" i="16"/>
  <c r="AM3889" i="16"/>
  <c r="AL3889" i="16"/>
  <c r="AK3889" i="16"/>
  <c r="AJ3889" i="16"/>
  <c r="AF3889" i="16"/>
  <c r="AA3889" i="16"/>
  <c r="Z3889" i="16"/>
  <c r="V3889" i="16"/>
  <c r="AC3889" i="16"/>
  <c r="AB3889" i="16"/>
  <c r="S3889" i="16"/>
  <c r="R3889" i="16"/>
  <c r="Q3889" i="16"/>
  <c r="P3889" i="16"/>
  <c r="L3889" i="16"/>
  <c r="G3889" i="16"/>
  <c r="F3889" i="16"/>
  <c r="B3889" i="16"/>
  <c r="I3889" i="16"/>
  <c r="H3889" i="16"/>
  <c r="AM3888" i="16"/>
  <c r="AL3888" i="16"/>
  <c r="AJ3888" i="16"/>
  <c r="AF3888" i="16"/>
  <c r="AK3888" i="16"/>
  <c r="AC3888" i="16"/>
  <c r="AB3888" i="16"/>
  <c r="AA3888" i="16"/>
  <c r="Z3888" i="16"/>
  <c r="V3888" i="16"/>
  <c r="Q3888" i="16"/>
  <c r="P3888" i="16"/>
  <c r="L3888" i="16"/>
  <c r="S3888" i="16"/>
  <c r="R3888" i="16"/>
  <c r="H3888" i="16"/>
  <c r="B3888" i="16"/>
  <c r="F3888" i="16"/>
  <c r="I3888" i="16"/>
  <c r="G3888" i="16"/>
  <c r="AJ3887" i="16"/>
  <c r="AF3887" i="16"/>
  <c r="AL3887" i="16"/>
  <c r="AK3887" i="16"/>
  <c r="AM3887" i="16"/>
  <c r="AC3887" i="16"/>
  <c r="AB3887" i="16"/>
  <c r="AA3887" i="16"/>
  <c r="Z3887" i="16"/>
  <c r="V3887" i="16"/>
  <c r="S3887" i="16"/>
  <c r="R3887" i="16"/>
  <c r="Q3887" i="16"/>
  <c r="P3887" i="16"/>
  <c r="L3887" i="16"/>
  <c r="F3887" i="16"/>
  <c r="G3887" i="16"/>
  <c r="H3887" i="16"/>
  <c r="I3887" i="16"/>
  <c r="B3887" i="16"/>
  <c r="AM3886" i="16"/>
  <c r="AF3886" i="16"/>
  <c r="AJ3886" i="16"/>
  <c r="AK3886" i="16"/>
  <c r="AL3886" i="16"/>
  <c r="AC3886" i="16"/>
  <c r="V3886" i="16"/>
  <c r="Z3886" i="16"/>
  <c r="AA3886" i="16"/>
  <c r="AB3886" i="16"/>
  <c r="R3886" i="16"/>
  <c r="S3886" i="16"/>
  <c r="L3886" i="16"/>
  <c r="P3886" i="16"/>
  <c r="Q3886" i="16"/>
  <c r="G3886" i="16"/>
  <c r="H3886" i="16"/>
  <c r="I3886" i="16"/>
  <c r="F3886" i="16"/>
  <c r="B3886" i="16"/>
  <c r="AL3885" i="16"/>
  <c r="AM3885" i="16"/>
  <c r="AK3885" i="16"/>
  <c r="AF3885" i="16"/>
  <c r="AJ3885" i="16"/>
  <c r="AC3885" i="16"/>
  <c r="AB3885" i="16"/>
  <c r="AA3885" i="16"/>
  <c r="Z3885" i="16"/>
  <c r="V3885" i="16"/>
  <c r="L3885" i="16"/>
  <c r="R3885" i="16"/>
  <c r="Q3885" i="16"/>
  <c r="S3885" i="16"/>
  <c r="P3885" i="16"/>
  <c r="B3885" i="16"/>
  <c r="F3885" i="16"/>
  <c r="G3885" i="16"/>
  <c r="H3885" i="16"/>
  <c r="I3885" i="16"/>
  <c r="AF3884" i="16"/>
  <c r="AM3884" i="16"/>
  <c r="AL3884" i="16"/>
  <c r="AJ3884" i="16"/>
  <c r="AK3884" i="16"/>
  <c r="AA3884" i="16"/>
  <c r="AB3884" i="16"/>
  <c r="AC3884" i="16"/>
  <c r="V3884" i="16"/>
  <c r="Z3884" i="16"/>
  <c r="P3884" i="16"/>
  <c r="Q3884" i="16"/>
  <c r="R3884" i="16"/>
  <c r="S3884" i="16"/>
  <c r="L3884" i="16"/>
  <c r="I3884" i="16"/>
  <c r="H3884" i="16"/>
  <c r="B3884" i="16"/>
  <c r="F3884" i="16"/>
  <c r="G3884" i="16"/>
  <c r="AK3883" i="16"/>
  <c r="AM3883" i="16"/>
  <c r="AL3883" i="16"/>
  <c r="AJ3883" i="16"/>
  <c r="AF3883" i="16"/>
  <c r="AC3883" i="16"/>
  <c r="AB3883" i="16"/>
  <c r="AA3883" i="16"/>
  <c r="Z3883" i="16"/>
  <c r="V3883" i="16"/>
  <c r="S3883" i="16"/>
  <c r="R3883" i="16"/>
  <c r="Q3883" i="16"/>
  <c r="L3883" i="16"/>
  <c r="P3883" i="16"/>
  <c r="I3883" i="16"/>
  <c r="H3883" i="16"/>
  <c r="G3883" i="16"/>
  <c r="F3883" i="16"/>
  <c r="B3883" i="16"/>
  <c r="AF3882" i="16"/>
  <c r="AJ3882" i="16"/>
  <c r="AK3882" i="16"/>
  <c r="AL3882" i="16"/>
  <c r="AM3882" i="16"/>
  <c r="AC3882" i="16"/>
  <c r="V3882" i="16"/>
  <c r="Z3882" i="16"/>
  <c r="AA3882" i="16"/>
  <c r="AB3882" i="16"/>
  <c r="P3882" i="16"/>
  <c r="L3882" i="16"/>
  <c r="Q3882" i="16"/>
  <c r="R3882" i="16"/>
  <c r="S3882" i="16"/>
  <c r="H3882" i="16"/>
  <c r="G3882" i="16"/>
  <c r="F3882" i="16"/>
  <c r="B3882" i="16"/>
  <c r="I3882" i="16"/>
  <c r="AF3881" i="16"/>
  <c r="AL3881" i="16"/>
  <c r="AK3881" i="16"/>
  <c r="AJ3881" i="16"/>
  <c r="AM3881" i="16"/>
  <c r="AB3881" i="16"/>
  <c r="AA3881" i="16"/>
  <c r="Z3881" i="16"/>
  <c r="V3881" i="16"/>
  <c r="AC3881" i="16"/>
  <c r="P3881" i="16"/>
  <c r="L3881" i="16"/>
  <c r="S3881" i="16"/>
  <c r="R3881" i="16"/>
  <c r="Q3881" i="16"/>
  <c r="I3881" i="16"/>
  <c r="H3881" i="16"/>
  <c r="G3881" i="16"/>
  <c r="F3881" i="16"/>
  <c r="B3881" i="16"/>
  <c r="AJ3880" i="16"/>
  <c r="AM3880" i="16"/>
  <c r="AL3880" i="16"/>
  <c r="AK3880" i="16"/>
  <c r="AF3880" i="16"/>
  <c r="V3880" i="16"/>
  <c r="Z3880" i="16"/>
  <c r="AA3880" i="16"/>
  <c r="AB3880" i="16"/>
  <c r="AC3880" i="16"/>
  <c r="L3880" i="16"/>
  <c r="P3880" i="16"/>
  <c r="Q3880" i="16"/>
  <c r="R3880" i="16"/>
  <c r="S3880" i="16"/>
  <c r="I3880" i="16"/>
  <c r="H3880" i="16"/>
  <c r="G3880" i="16"/>
  <c r="F3880" i="16"/>
  <c r="B3880" i="16"/>
  <c r="AM3879" i="16"/>
  <c r="AL3879" i="16"/>
  <c r="AK3879" i="16"/>
  <c r="AJ3879" i="16"/>
  <c r="AF3879" i="16"/>
  <c r="Z3879" i="16"/>
  <c r="AC3879" i="16"/>
  <c r="AB3879" i="16"/>
  <c r="AA3879" i="16"/>
  <c r="V3879" i="16"/>
  <c r="S3879" i="16"/>
  <c r="R3879" i="16"/>
  <c r="Q3879" i="16"/>
  <c r="P3879" i="16"/>
  <c r="L3879" i="16"/>
  <c r="B3879" i="16"/>
  <c r="F3879" i="16"/>
  <c r="G3879" i="16"/>
  <c r="H3879" i="16"/>
  <c r="I3879" i="16"/>
  <c r="AJ3878" i="16"/>
  <c r="AK3878" i="16"/>
  <c r="AM3878" i="16"/>
  <c r="AF3878" i="16"/>
  <c r="AL3878" i="16"/>
  <c r="Z3878" i="16"/>
  <c r="AA3878" i="16"/>
  <c r="AB3878" i="16"/>
  <c r="AC3878" i="16"/>
  <c r="V3878" i="16"/>
  <c r="P3878" i="16"/>
  <c r="Q3878" i="16"/>
  <c r="R3878" i="16"/>
  <c r="S3878" i="16"/>
  <c r="L3878" i="16"/>
  <c r="H3878" i="16"/>
  <c r="B3878" i="16"/>
  <c r="F3878" i="16"/>
  <c r="G3878" i="16"/>
  <c r="I3878" i="16"/>
  <c r="AM3877" i="16"/>
  <c r="AL3877" i="16"/>
  <c r="AK3877" i="16"/>
  <c r="AF3877" i="16"/>
  <c r="AJ3877" i="16"/>
  <c r="AC3877" i="16"/>
  <c r="AB3877" i="16"/>
  <c r="AA3877" i="16"/>
  <c r="Z3877" i="16"/>
  <c r="V3877" i="16"/>
  <c r="S3877" i="16"/>
  <c r="Q3877" i="16"/>
  <c r="P3877" i="16"/>
  <c r="L3877" i="16"/>
  <c r="R3877" i="16"/>
  <c r="G3877" i="16"/>
  <c r="I3877" i="16"/>
  <c r="H3877" i="16"/>
  <c r="B3877" i="16"/>
  <c r="F3877" i="16"/>
  <c r="AM3876" i="16"/>
  <c r="AK3876" i="16"/>
  <c r="AL3876" i="16"/>
  <c r="AF3876" i="16"/>
  <c r="AJ3876" i="16"/>
  <c r="AC3876" i="16"/>
  <c r="V3876" i="16"/>
  <c r="Z3876" i="16"/>
  <c r="AA3876" i="16"/>
  <c r="AB3876" i="16"/>
  <c r="S3876" i="16"/>
  <c r="R3876" i="16"/>
  <c r="Q3876" i="16"/>
  <c r="L3876" i="16"/>
  <c r="P3876" i="16"/>
  <c r="I3876" i="16"/>
  <c r="H3876" i="16"/>
  <c r="F3876" i="16"/>
  <c r="B3876" i="16"/>
  <c r="G3876" i="16"/>
  <c r="AK3875" i="16"/>
  <c r="AM3875" i="16"/>
  <c r="AL3875" i="16"/>
  <c r="AJ3875" i="16"/>
  <c r="AF3875" i="16"/>
  <c r="Z3875" i="16"/>
  <c r="AC3875" i="16"/>
  <c r="AB3875" i="16"/>
  <c r="AA3875" i="16"/>
  <c r="V3875" i="16"/>
  <c r="R3875" i="16"/>
  <c r="Q3875" i="16"/>
  <c r="P3875" i="16"/>
  <c r="L3875" i="16"/>
  <c r="S3875" i="16"/>
  <c r="G3875" i="16"/>
  <c r="F3875" i="16"/>
  <c r="B3875" i="16"/>
  <c r="H3875" i="16"/>
  <c r="I3875" i="16"/>
  <c r="AK3874" i="16"/>
  <c r="AJ3874" i="16"/>
  <c r="AF3874" i="16"/>
  <c r="AM3874" i="16"/>
  <c r="AL3874" i="16"/>
  <c r="AC3874" i="16"/>
  <c r="AB3874" i="16"/>
  <c r="AA3874" i="16"/>
  <c r="Z3874" i="16"/>
  <c r="V3874" i="16"/>
  <c r="S3874" i="16"/>
  <c r="R3874" i="16"/>
  <c r="P3874" i="16"/>
  <c r="Q3874" i="16"/>
  <c r="L3874" i="16"/>
  <c r="I3874" i="16"/>
  <c r="H3874" i="16"/>
  <c r="G3874" i="16"/>
  <c r="F3874" i="16"/>
  <c r="B3874" i="16"/>
  <c r="AM3873" i="16"/>
  <c r="AL3873" i="16"/>
  <c r="AK3873" i="16"/>
  <c r="AJ3873" i="16"/>
  <c r="AF3873" i="16"/>
  <c r="AC3873" i="16"/>
  <c r="AB3873" i="16"/>
  <c r="AA3873" i="16"/>
  <c r="Z3873" i="16"/>
  <c r="V3873" i="16"/>
  <c r="P3873" i="16"/>
  <c r="S3873" i="16"/>
  <c r="L3873" i="16"/>
  <c r="Q3873" i="16"/>
  <c r="R3873" i="16"/>
  <c r="G3873" i="16"/>
  <c r="F3873" i="16"/>
  <c r="B3873" i="16"/>
  <c r="I3873" i="16"/>
  <c r="H3873" i="16"/>
  <c r="AM3872" i="16"/>
  <c r="AL3872" i="16"/>
  <c r="AK3872" i="16"/>
  <c r="AJ3872" i="16"/>
  <c r="AF3872" i="16"/>
  <c r="AC3872" i="16"/>
  <c r="AA3872" i="16"/>
  <c r="Z3872" i="16"/>
  <c r="V3872" i="16"/>
  <c r="AB3872" i="16"/>
  <c r="S3872" i="16"/>
  <c r="R3872" i="16"/>
  <c r="Q3872" i="16"/>
  <c r="L3872" i="16"/>
  <c r="P3872" i="16"/>
  <c r="I3872" i="16"/>
  <c r="H3872" i="16"/>
  <c r="G3872" i="16"/>
  <c r="F3872" i="16"/>
  <c r="B3872" i="16"/>
  <c r="AJ3871" i="16"/>
  <c r="AK3871" i="16"/>
  <c r="AL3871" i="16"/>
  <c r="AM3871" i="16"/>
  <c r="AF3871" i="16"/>
  <c r="AB3871" i="16"/>
  <c r="AA3871" i="16"/>
  <c r="Z3871" i="16"/>
  <c r="V3871" i="16"/>
  <c r="AC3871" i="16"/>
  <c r="S3871" i="16"/>
  <c r="R3871" i="16"/>
  <c r="Q3871" i="16"/>
  <c r="P3871" i="16"/>
  <c r="L3871" i="16"/>
  <c r="I3871" i="16"/>
  <c r="H3871" i="16"/>
  <c r="G3871" i="16"/>
  <c r="F3871" i="16"/>
  <c r="B3871" i="16"/>
  <c r="AM3870" i="16"/>
  <c r="AL3870" i="16"/>
  <c r="AK3870" i="16"/>
  <c r="AJ3870" i="16"/>
  <c r="AF3870" i="16"/>
  <c r="AC3870" i="16"/>
  <c r="AB3870" i="16"/>
  <c r="AA3870" i="16"/>
  <c r="Z3870" i="16"/>
  <c r="V3870" i="16"/>
  <c r="S3870" i="16"/>
  <c r="Q3870" i="16"/>
  <c r="P3870" i="16"/>
  <c r="L3870" i="16"/>
  <c r="R3870" i="16"/>
  <c r="H3870" i="16"/>
  <c r="G3870" i="16"/>
  <c r="F3870" i="16"/>
  <c r="B3870" i="16"/>
  <c r="I3870" i="16"/>
  <c r="AJ3869" i="16"/>
  <c r="AF3869" i="16"/>
  <c r="Z3869" i="16"/>
  <c r="V3869" i="16"/>
  <c r="P3869" i="16"/>
  <c r="L3869" i="16"/>
  <c r="F3869" i="16"/>
  <c r="B3869" i="16"/>
  <c r="AF3868" i="16"/>
  <c r="AJ3868" i="16"/>
  <c r="Z3868" i="16"/>
  <c r="V3868" i="16"/>
  <c r="P3868" i="16"/>
  <c r="L3868" i="16"/>
  <c r="F3868" i="16"/>
  <c r="B3868" i="16"/>
  <c r="AJ3867" i="16"/>
  <c r="AF3867" i="16"/>
  <c r="Z3867" i="16"/>
  <c r="V3867" i="16"/>
  <c r="AB3867" i="16" s="1"/>
  <c r="AA3867" i="16"/>
  <c r="AC3867" i="16" s="1"/>
  <c r="P3867" i="16"/>
  <c r="L3867" i="16"/>
  <c r="F3867" i="16"/>
  <c r="B3867" i="16"/>
  <c r="AJ3866" i="16"/>
  <c r="AF3866" i="16"/>
  <c r="V3866" i="16"/>
  <c r="Z3866" i="16"/>
  <c r="P3866" i="16"/>
  <c r="L3866" i="16"/>
  <c r="B3866" i="16"/>
  <c r="G3866" i="16" s="1"/>
  <c r="I3866" i="16" s="1"/>
  <c r="F3866" i="16"/>
  <c r="H3866" i="16"/>
  <c r="AJ3865" i="16"/>
  <c r="AF3865" i="16"/>
  <c r="V3865" i="16"/>
  <c r="Z3865" i="16"/>
  <c r="L3865" i="16"/>
  <c r="P3865" i="16"/>
  <c r="B3865" i="16"/>
  <c r="F3865" i="16"/>
  <c r="AF3864" i="16"/>
  <c r="AL3864" i="16" s="1"/>
  <c r="AJ3864" i="16"/>
  <c r="V3864" i="16"/>
  <c r="AA3865" i="16" s="1"/>
  <c r="Z3864" i="16"/>
  <c r="AA3864" i="16"/>
  <c r="AC3864" i="16" s="1"/>
  <c r="AB3864" i="16"/>
  <c r="L3864" i="16"/>
  <c r="P3864" i="16"/>
  <c r="Q3864" i="16"/>
  <c r="S3864" i="16" s="1"/>
  <c r="R3864" i="16"/>
  <c r="B3864" i="16"/>
  <c r="F3864" i="16"/>
  <c r="G3864" i="16"/>
  <c r="I3864" i="16" s="1"/>
  <c r="H3864" i="16"/>
  <c r="AF3863" i="16"/>
  <c r="AJ3863" i="16"/>
  <c r="AL3863" i="16"/>
  <c r="AK3863" i="16"/>
  <c r="AM3863" i="16" s="1"/>
  <c r="V3863" i="16"/>
  <c r="AB3863" i="16" s="1"/>
  <c r="Z3863" i="16"/>
  <c r="AA3863" i="16"/>
  <c r="P3863" i="16"/>
  <c r="L3863" i="16"/>
  <c r="F3863" i="16"/>
  <c r="B3863" i="16"/>
  <c r="AF3862" i="16"/>
  <c r="AJ3862" i="16"/>
  <c r="Z3862" i="16"/>
  <c r="V3862" i="16"/>
  <c r="P3862" i="16"/>
  <c r="L3862" i="16"/>
  <c r="B3862" i="16"/>
  <c r="F3862" i="16"/>
  <c r="AJ3861" i="16"/>
  <c r="AF3861" i="16"/>
  <c r="V3861" i="16"/>
  <c r="Z3861" i="16"/>
  <c r="AA3861" i="16"/>
  <c r="AC3861" i="16" s="1"/>
  <c r="AB3861" i="16"/>
  <c r="L3861" i="16"/>
  <c r="Q3861" i="16" s="1"/>
  <c r="S3861" i="16" s="1"/>
  <c r="P3861" i="16"/>
  <c r="R3861" i="16"/>
  <c r="B3861" i="16"/>
  <c r="F3861" i="16"/>
  <c r="AF3860" i="16"/>
  <c r="AJ3860" i="16"/>
  <c r="V3860" i="16"/>
  <c r="Z3860" i="16"/>
  <c r="L3860" i="16"/>
  <c r="P3860" i="16"/>
  <c r="F3860" i="16"/>
  <c r="B3860" i="16"/>
  <c r="AJ3859" i="16"/>
  <c r="AF3859" i="16"/>
  <c r="V3859" i="16"/>
  <c r="Z3859" i="16"/>
  <c r="L3859" i="16"/>
  <c r="P3859" i="16"/>
  <c r="F3859" i="16"/>
  <c r="B3859" i="16"/>
  <c r="AJ3858" i="16"/>
  <c r="AF3858" i="16"/>
  <c r="Z3858" i="16"/>
  <c r="V3858" i="16"/>
  <c r="P3858" i="16"/>
  <c r="L3858" i="16"/>
  <c r="F3858" i="16"/>
  <c r="B3858" i="16"/>
  <c r="AF3857" i="16"/>
  <c r="AJ3857" i="16"/>
  <c r="V3857" i="16"/>
  <c r="Z3857" i="16"/>
  <c r="L3857" i="16"/>
  <c r="P3857" i="16"/>
  <c r="B3857" i="16"/>
  <c r="F3857" i="16"/>
  <c r="AJ3856" i="16"/>
  <c r="AF3856" i="16"/>
  <c r="V3856" i="16"/>
  <c r="AB3856" i="16" s="1"/>
  <c r="Z3856" i="16"/>
  <c r="P3856" i="16"/>
  <c r="L3856" i="16"/>
  <c r="F3856" i="16"/>
  <c r="B3856" i="16"/>
  <c r="AJ3855" i="16"/>
  <c r="AF3855" i="16"/>
  <c r="Z3855" i="16"/>
  <c r="V3855" i="16"/>
  <c r="P3855" i="16"/>
  <c r="L3855" i="16"/>
  <c r="B3855" i="16"/>
  <c r="F3855" i="16"/>
  <c r="AF3854" i="16"/>
  <c r="AJ3854" i="16"/>
  <c r="Z3854" i="16"/>
  <c r="V3854" i="16"/>
  <c r="L3854" i="16"/>
  <c r="P3854" i="16"/>
  <c r="B3854" i="16"/>
  <c r="F3854" i="16"/>
  <c r="AF3853" i="16"/>
  <c r="AJ3853" i="16"/>
  <c r="Z3853" i="16"/>
  <c r="V3853" i="16"/>
  <c r="P3853" i="16"/>
  <c r="L3853" i="16"/>
  <c r="B3853" i="16"/>
  <c r="F3853" i="16"/>
  <c r="AJ3852" i="16"/>
  <c r="AF3852" i="16"/>
  <c r="V3852" i="16"/>
  <c r="AA3852" i="16" s="1"/>
  <c r="AC3852" i="16" s="1"/>
  <c r="Z3852" i="16"/>
  <c r="AB3852" i="16"/>
  <c r="P3852" i="16"/>
  <c r="L3852" i="16"/>
  <c r="F3852" i="16"/>
  <c r="B3852" i="16"/>
  <c r="AF3851" i="16"/>
  <c r="AJ3851" i="16"/>
  <c r="V3851" i="16"/>
  <c r="Z3851" i="16"/>
  <c r="L3851" i="16"/>
  <c r="P3851" i="16"/>
  <c r="F3851" i="16"/>
  <c r="B3851" i="16"/>
  <c r="AJ3850" i="16"/>
  <c r="AF3850" i="16"/>
  <c r="Z3850" i="16"/>
  <c r="V3850" i="16"/>
  <c r="P3850" i="16"/>
  <c r="L3850" i="16"/>
  <c r="F3850" i="16"/>
  <c r="B3850" i="16"/>
  <c r="AJ3849" i="16"/>
  <c r="AF3849" i="16"/>
  <c r="Z3849" i="16"/>
  <c r="V3849" i="16"/>
  <c r="P3849" i="16"/>
  <c r="L3849" i="16"/>
  <c r="F3849" i="16"/>
  <c r="B3849" i="16"/>
  <c r="AF3848" i="16"/>
  <c r="AJ3848" i="16"/>
  <c r="Z3848" i="16"/>
  <c r="V3848" i="16"/>
  <c r="P3848" i="16"/>
  <c r="L3848" i="16"/>
  <c r="B3848" i="16"/>
  <c r="F3848" i="16"/>
  <c r="AJ3847" i="16"/>
  <c r="AF3847" i="16"/>
  <c r="Z3847" i="16"/>
  <c r="V3847" i="16"/>
  <c r="L3847" i="16"/>
  <c r="P3847" i="16"/>
  <c r="F3847" i="16"/>
  <c r="B3847" i="16"/>
  <c r="AJ3846" i="16"/>
  <c r="AF3846" i="16"/>
  <c r="Z3846" i="16"/>
  <c r="V3846" i="16"/>
  <c r="P3846" i="16"/>
  <c r="L3846" i="16"/>
  <c r="F3846" i="16"/>
  <c r="B3846" i="16"/>
  <c r="AF3845" i="16"/>
  <c r="AJ3845" i="16"/>
  <c r="V3845" i="16"/>
  <c r="Z3845" i="16"/>
  <c r="L3845" i="16"/>
  <c r="P3845" i="16"/>
  <c r="B3845" i="16"/>
  <c r="F3845" i="16"/>
  <c r="AF3844" i="16"/>
  <c r="AJ3844" i="16"/>
  <c r="AK3844" i="16"/>
  <c r="AL3844" i="16"/>
  <c r="V3844" i="16"/>
  <c r="AA3845" i="16" s="1"/>
  <c r="Z3844" i="16"/>
  <c r="AB3844" i="16"/>
  <c r="AA3844" i="16"/>
  <c r="AC3844" i="16" s="1"/>
  <c r="L3844" i="16"/>
  <c r="P3844" i="16"/>
  <c r="R3844" i="16"/>
  <c r="B3844" i="16"/>
  <c r="H3844" i="16" s="1"/>
  <c r="F3844" i="16"/>
  <c r="AF3843" i="16"/>
  <c r="AJ3843" i="16"/>
  <c r="V3843" i="16"/>
  <c r="Z3843" i="16"/>
  <c r="L3843" i="16"/>
  <c r="P3843" i="16"/>
  <c r="B3843" i="16"/>
  <c r="F3843" i="16"/>
  <c r="AF3842" i="16"/>
  <c r="AJ3842" i="16"/>
  <c r="Z3842" i="16"/>
  <c r="V3842" i="16"/>
  <c r="L3842" i="16"/>
  <c r="P3842" i="16"/>
  <c r="R3842" i="16"/>
  <c r="Q3842" i="16"/>
  <c r="S3842" i="16" s="1"/>
  <c r="B3842" i="16"/>
  <c r="F3842" i="16"/>
  <c r="AF3841" i="16"/>
  <c r="AJ3841" i="16"/>
  <c r="V3841" i="16"/>
  <c r="Z3841" i="16"/>
  <c r="L3841" i="16"/>
  <c r="P3841" i="16"/>
  <c r="F3841" i="16"/>
  <c r="B3841" i="16"/>
  <c r="AJ3840" i="16"/>
  <c r="AF3840" i="16"/>
  <c r="Z3840" i="16"/>
  <c r="V3840" i="16"/>
  <c r="P3840" i="16"/>
  <c r="L3840" i="16"/>
  <c r="B3840" i="16"/>
  <c r="H3840" i="16" s="1"/>
  <c r="G3840" i="16"/>
  <c r="F3840" i="16"/>
  <c r="AJ3839" i="16"/>
  <c r="AF3839" i="16"/>
  <c r="V3839" i="16"/>
  <c r="Z3839" i="16"/>
  <c r="L3839" i="16"/>
  <c r="P3839" i="16"/>
  <c r="B3839" i="16"/>
  <c r="F3839" i="16"/>
  <c r="AF3838" i="16"/>
  <c r="AJ3838" i="16"/>
  <c r="V3838" i="16"/>
  <c r="Z3838" i="16"/>
  <c r="L3838" i="16"/>
  <c r="Q3838" i="16" s="1"/>
  <c r="S3838" i="16" s="1"/>
  <c r="P3838" i="16"/>
  <c r="B3838" i="16"/>
  <c r="F3838" i="16"/>
  <c r="AF3837" i="16"/>
  <c r="AL3837" i="16" s="1"/>
  <c r="AJ3837" i="16"/>
  <c r="V3837" i="16"/>
  <c r="Z3837" i="16"/>
  <c r="L3837" i="16"/>
  <c r="P3837" i="16"/>
  <c r="B3837" i="16"/>
  <c r="H3838" i="16" s="1"/>
  <c r="F3837" i="16"/>
  <c r="H3837" i="16"/>
  <c r="G3837" i="16"/>
  <c r="I3837" i="16" s="1"/>
  <c r="AJ3836" i="16"/>
  <c r="AF3836" i="16"/>
  <c r="Z3836" i="16"/>
  <c r="V3836" i="16"/>
  <c r="P3836" i="16"/>
  <c r="L3836" i="16"/>
  <c r="F3836" i="16"/>
  <c r="B3836" i="16"/>
  <c r="AF3835" i="16"/>
  <c r="AJ3835" i="16"/>
  <c r="Z3835" i="16"/>
  <c r="V3835" i="16"/>
  <c r="P3835" i="16"/>
  <c r="L3835" i="16"/>
  <c r="F3835" i="16"/>
  <c r="B3835" i="16"/>
  <c r="AJ3834" i="16"/>
  <c r="AF3834" i="16"/>
  <c r="Z3834" i="16"/>
  <c r="V3834" i="16"/>
  <c r="P3834" i="16"/>
  <c r="L3834" i="16"/>
  <c r="F3834" i="16"/>
  <c r="B3834" i="16"/>
  <c r="AJ3833" i="16"/>
  <c r="AF3833" i="16"/>
  <c r="Z3833" i="16"/>
  <c r="V3833" i="16"/>
  <c r="L3833" i="16"/>
  <c r="Q3833" i="16" s="1"/>
  <c r="S3833" i="16" s="1"/>
  <c r="P3833" i="16"/>
  <c r="R3833" i="16"/>
  <c r="F3833" i="16"/>
  <c r="B3833" i="16"/>
  <c r="AF3832" i="16"/>
  <c r="AJ3832" i="16"/>
  <c r="V3832" i="16"/>
  <c r="Z3832" i="16"/>
  <c r="L3832" i="16"/>
  <c r="P3832" i="16"/>
  <c r="B3832" i="16"/>
  <c r="F3832" i="16"/>
  <c r="AF3831" i="16"/>
  <c r="AJ3831" i="16"/>
  <c r="Z3831" i="16"/>
  <c r="V3831" i="16"/>
  <c r="L3831" i="16"/>
  <c r="Q3831" i="16" s="1"/>
  <c r="S3831" i="16" s="1"/>
  <c r="P3831" i="16"/>
  <c r="R3831" i="16"/>
  <c r="F3831" i="16"/>
  <c r="B3831" i="16"/>
  <c r="AJ3830" i="16"/>
  <c r="AF3830" i="16"/>
  <c r="V3830" i="16"/>
  <c r="Z3830" i="16"/>
  <c r="L3830" i="16"/>
  <c r="P3830" i="16"/>
  <c r="B3830" i="16"/>
  <c r="F3830" i="16"/>
  <c r="AJ3829" i="16"/>
  <c r="AF3829" i="16"/>
  <c r="Z3829" i="16"/>
  <c r="V3829" i="16"/>
  <c r="L3829" i="16"/>
  <c r="P3829" i="16"/>
  <c r="B3829" i="16"/>
  <c r="F3829" i="16"/>
  <c r="AJ3828" i="16"/>
  <c r="AF3828" i="16"/>
  <c r="V3828" i="16"/>
  <c r="Z3828" i="16"/>
  <c r="P3828" i="16"/>
  <c r="L3828" i="16"/>
  <c r="F3828" i="16"/>
  <c r="B3828" i="16"/>
  <c r="AF3827" i="16"/>
  <c r="AJ3827" i="16"/>
  <c r="V3827" i="16"/>
  <c r="Z3827" i="16"/>
  <c r="P3827" i="16"/>
  <c r="L3827" i="16"/>
  <c r="F3827" i="16"/>
  <c r="B3827" i="16"/>
  <c r="AF3826" i="16"/>
  <c r="AJ3826" i="16"/>
  <c r="Z3826" i="16"/>
  <c r="V3826" i="16"/>
  <c r="L3826" i="16"/>
  <c r="P3826" i="16"/>
  <c r="B3826" i="16"/>
  <c r="F3826" i="16"/>
  <c r="AJ3825" i="16"/>
  <c r="AF3825" i="16"/>
  <c r="Z3825" i="16"/>
  <c r="V3825" i="16"/>
  <c r="L3825" i="16"/>
  <c r="P3825" i="16"/>
  <c r="F3825" i="16"/>
  <c r="B3825" i="16"/>
  <c r="AJ3824" i="16"/>
  <c r="AF3824" i="16"/>
  <c r="V3824" i="16"/>
  <c r="AB3824" i="16" s="1"/>
  <c r="Z3824" i="16"/>
  <c r="P3824" i="16"/>
  <c r="L3824" i="16"/>
  <c r="Q3824" i="16" s="1"/>
  <c r="F3824" i="16"/>
  <c r="B3824" i="16"/>
  <c r="AJ3823" i="16"/>
  <c r="AF3823" i="16"/>
  <c r="Z3823" i="16"/>
  <c r="V3823" i="16"/>
  <c r="AB3823" i="16" s="1"/>
  <c r="P3823" i="16"/>
  <c r="L3823" i="16"/>
  <c r="F3823" i="16"/>
  <c r="B3823" i="16"/>
  <c r="AF3822" i="16"/>
  <c r="AJ3822" i="16"/>
  <c r="Z3822" i="16"/>
  <c r="V3822" i="16"/>
  <c r="L3822" i="16"/>
  <c r="P3822" i="16"/>
  <c r="F3822" i="16"/>
  <c r="B3822" i="16"/>
  <c r="AJ3821" i="16"/>
  <c r="AF3821" i="16"/>
  <c r="V3821" i="16"/>
  <c r="Z3821" i="16"/>
  <c r="P3821" i="16"/>
  <c r="L3821" i="16"/>
  <c r="B3821" i="16"/>
  <c r="F3821" i="16"/>
  <c r="AJ3820" i="16"/>
  <c r="AF3820" i="16"/>
  <c r="V3820" i="16"/>
  <c r="Z3820" i="16"/>
  <c r="L3820" i="16"/>
  <c r="P3820" i="16"/>
  <c r="B3820" i="16"/>
  <c r="F3820" i="16"/>
  <c r="AF3819" i="16"/>
  <c r="AJ3819" i="16"/>
  <c r="V3819" i="16"/>
  <c r="Z3819" i="16"/>
  <c r="P3819" i="16"/>
  <c r="L3819" i="16"/>
  <c r="B3819" i="16"/>
  <c r="F3819" i="16"/>
  <c r="AF3818" i="16"/>
  <c r="AJ3818" i="16"/>
  <c r="Z3818" i="16"/>
  <c r="V3818" i="16"/>
  <c r="P3818" i="16"/>
  <c r="L3818" i="16"/>
  <c r="F3818" i="16"/>
  <c r="B3818" i="16"/>
  <c r="AJ3817" i="16"/>
  <c r="AF3817" i="16"/>
  <c r="Z3817" i="16"/>
  <c r="V3817" i="16"/>
  <c r="P3817" i="16"/>
  <c r="L3817" i="16"/>
  <c r="F3817" i="16"/>
  <c r="B3817" i="16"/>
  <c r="AJ3816" i="16"/>
  <c r="AF3816" i="16"/>
  <c r="Z3816" i="16"/>
  <c r="V3816" i="16"/>
  <c r="P3816" i="16"/>
  <c r="L3816" i="16"/>
  <c r="F3816" i="16"/>
  <c r="B3816" i="16"/>
  <c r="AJ3815" i="16"/>
  <c r="AF3815" i="16"/>
  <c r="Z3815" i="16"/>
  <c r="V3815" i="16"/>
  <c r="P3815" i="16"/>
  <c r="L3815" i="16"/>
  <c r="F3815" i="16"/>
  <c r="B3815" i="16"/>
  <c r="AJ3814" i="16"/>
  <c r="AF3814" i="16"/>
  <c r="AL3814" i="16" s="1"/>
  <c r="Z3814" i="16"/>
  <c r="V3814" i="16"/>
  <c r="P3814" i="16"/>
  <c r="L3814" i="16"/>
  <c r="B3814" i="16"/>
  <c r="F3814" i="16"/>
  <c r="AJ3813" i="16"/>
  <c r="AF3813" i="16"/>
  <c r="Z3813" i="16"/>
  <c r="V3813" i="16"/>
  <c r="P3813" i="16"/>
  <c r="L3813" i="16"/>
  <c r="F3813" i="16"/>
  <c r="B3813" i="16"/>
  <c r="AJ3812" i="16"/>
  <c r="AF3812" i="16"/>
  <c r="Z3812" i="16"/>
  <c r="V3812" i="16"/>
  <c r="P3812" i="16"/>
  <c r="L3812" i="16"/>
  <c r="F3812" i="16"/>
  <c r="B3812" i="16"/>
  <c r="AF3811" i="16"/>
  <c r="AK3811" i="16" s="1"/>
  <c r="AJ3811" i="16"/>
  <c r="Z3811" i="16"/>
  <c r="V3811" i="16"/>
  <c r="P3811" i="16"/>
  <c r="L3811" i="16"/>
  <c r="B3811" i="16"/>
  <c r="G3811" i="16" s="1"/>
  <c r="F3811" i="16"/>
  <c r="AJ3810" i="16"/>
  <c r="AF3810" i="16"/>
  <c r="Z3810" i="16"/>
  <c r="V3810" i="16"/>
  <c r="P3810" i="16"/>
  <c r="L3810" i="16"/>
  <c r="F3810" i="16"/>
  <c r="B3810" i="16"/>
  <c r="AJ3809" i="16"/>
  <c r="AF3809" i="16"/>
  <c r="Z3809" i="16"/>
  <c r="V3809" i="16"/>
  <c r="P3809" i="16"/>
  <c r="L3809" i="16"/>
  <c r="B3809" i="16"/>
  <c r="H3809" i="16" s="1"/>
  <c r="G3809" i="16"/>
  <c r="F3809" i="16"/>
  <c r="AF3808" i="16"/>
  <c r="AJ3808" i="16"/>
  <c r="V3808" i="16"/>
  <c r="Z3808" i="16"/>
  <c r="L3808" i="16"/>
  <c r="P3808" i="16"/>
  <c r="F3808" i="16"/>
  <c r="B3808" i="16"/>
  <c r="AJ3807" i="16"/>
  <c r="AF3807" i="16"/>
  <c r="Z3807" i="16"/>
  <c r="V3807" i="16"/>
  <c r="P3807" i="16"/>
  <c r="L3807" i="16"/>
  <c r="F3807" i="16"/>
  <c r="B3807" i="16"/>
  <c r="AF3806" i="16"/>
  <c r="AJ3806" i="16"/>
  <c r="Z3806" i="16"/>
  <c r="V3806" i="16"/>
  <c r="P3806" i="16"/>
  <c r="L3806" i="16"/>
  <c r="B3806" i="16"/>
  <c r="F3806" i="16"/>
  <c r="B3752" i="16"/>
  <c r="C3751" i="16"/>
  <c r="F3751" i="16" s="1"/>
  <c r="G3751" i="16"/>
  <c r="E3751" i="16"/>
  <c r="AL72" i="16"/>
  <c r="AK72" i="16"/>
  <c r="L72" i="16"/>
  <c r="AI72" i="16" s="1"/>
  <c r="K72" i="16"/>
  <c r="AD72" i="16" s="1"/>
  <c r="B3749" i="16"/>
  <c r="A3749" i="16"/>
  <c r="E3748" i="16"/>
  <c r="H3751" i="16" s="1"/>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B3698" i="16"/>
  <c r="G3697" i="16"/>
  <c r="E3697" i="16"/>
  <c r="C3697" i="16"/>
  <c r="F3697" i="16" s="1"/>
  <c r="K71" i="16"/>
  <c r="AD71" i="16" s="1"/>
  <c r="L71" i="16"/>
  <c r="AI71" i="16" s="1"/>
  <c r="AK71" i="16"/>
  <c r="AL71" i="16"/>
  <c r="A3695" i="16"/>
  <c r="B3695" i="16"/>
  <c r="E3694" i="16"/>
  <c r="B3644" i="16"/>
  <c r="C3643" i="16"/>
  <c r="F3643" i="16" s="1"/>
  <c r="E3643" i="16"/>
  <c r="G3643" i="16"/>
  <c r="A3641" i="16"/>
  <c r="B3641" i="16"/>
  <c r="J3641" i="16" s="1"/>
  <c r="E3640" i="16"/>
  <c r="H3643" i="16" s="1"/>
  <c r="H3644" i="16"/>
  <c r="H3645" i="16"/>
  <c r="H3646" i="16"/>
  <c r="H3647" i="16"/>
  <c r="H3648" i="16"/>
  <c r="H3649" i="16"/>
  <c r="H3650" i="16"/>
  <c r="H3651" i="16"/>
  <c r="H3652" i="16"/>
  <c r="H3653" i="16"/>
  <c r="H3654" i="16"/>
  <c r="H3655" i="16"/>
  <c r="H3656" i="16"/>
  <c r="H3657" i="16"/>
  <c r="H3659" i="16"/>
  <c r="H3661" i="16"/>
  <c r="H3662" i="16"/>
  <c r="H3663" i="16"/>
  <c r="H3664" i="16"/>
  <c r="H3665" i="16"/>
  <c r="H3667" i="16"/>
  <c r="H3668" i="16"/>
  <c r="H3672" i="16"/>
  <c r="H3674" i="16"/>
  <c r="H3675" i="16"/>
  <c r="H3677" i="16"/>
  <c r="H3678" i="16"/>
  <c r="H3681" i="16"/>
  <c r="H3682" i="16"/>
  <c r="H3683" i="16"/>
  <c r="H3684" i="16"/>
  <c r="H3685" i="16"/>
  <c r="H3686" i="16"/>
  <c r="H3687" i="16"/>
  <c r="H3689" i="16"/>
  <c r="H3690" i="16"/>
  <c r="H3658" i="16"/>
  <c r="H3660" i="16"/>
  <c r="H3666" i="16"/>
  <c r="H3669" i="16"/>
  <c r="H3670" i="16"/>
  <c r="H3671" i="16"/>
  <c r="H3673" i="16"/>
  <c r="H3676" i="16"/>
  <c r="H3679" i="16"/>
  <c r="H3680" i="16"/>
  <c r="H3688" i="16"/>
  <c r="E3589" i="16"/>
  <c r="C3589" i="16"/>
  <c r="F3589" i="16" s="1"/>
  <c r="G3589" i="16"/>
  <c r="B3590" i="16"/>
  <c r="AL69" i="16"/>
  <c r="AK69" i="16"/>
  <c r="L69" i="16"/>
  <c r="AI69" i="16" s="1"/>
  <c r="K69" i="16"/>
  <c r="AD69" i="16" s="1"/>
  <c r="A3587" i="16"/>
  <c r="B3587" i="16"/>
  <c r="E3586"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E3535" i="16"/>
  <c r="B3536" i="16"/>
  <c r="C3535" i="16"/>
  <c r="F3535" i="16" s="1"/>
  <c r="G3535" i="16"/>
  <c r="AL68" i="16"/>
  <c r="AK68" i="16"/>
  <c r="L68" i="16"/>
  <c r="AI68" i="16" s="1"/>
  <c r="K68" i="16"/>
  <c r="AD68" i="16" s="1"/>
  <c r="B3533" i="16"/>
  <c r="A3533" i="16"/>
  <c r="E3532" i="16"/>
  <c r="H3535"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G3481" i="16"/>
  <c r="B3482" i="16"/>
  <c r="C3481" i="16"/>
  <c r="E3481" i="16"/>
  <c r="AL67" i="16"/>
  <c r="AK67" i="16"/>
  <c r="L67" i="16"/>
  <c r="AI67" i="16" s="1"/>
  <c r="K67" i="16"/>
  <c r="AD67" i="16" s="1"/>
  <c r="B3479" i="16"/>
  <c r="A3479" i="16"/>
  <c r="E3478" i="16"/>
  <c r="H3481" i="16"/>
  <c r="H3482" i="16"/>
  <c r="H3483" i="16"/>
  <c r="H3486" i="16"/>
  <c r="H3492" i="16"/>
  <c r="H3495" i="16"/>
  <c r="H3498" i="16"/>
  <c r="H3500" i="16"/>
  <c r="H3502" i="16"/>
  <c r="H3506" i="16"/>
  <c r="H3487" i="16"/>
  <c r="H3489" i="16"/>
  <c r="H3490" i="16"/>
  <c r="H3491" i="16"/>
  <c r="H3499" i="16"/>
  <c r="H3505"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L3481" i="16"/>
  <c r="I3481" i="16"/>
  <c r="A67" i="16"/>
  <c r="B3529" i="16"/>
  <c r="C67" i="16" s="1"/>
  <c r="B3428" i="16"/>
  <c r="C3427" i="16"/>
  <c r="F3427" i="16" s="1"/>
  <c r="E3427" i="16"/>
  <c r="G3427" i="16"/>
  <c r="A3425" i="16"/>
  <c r="B3425" i="16"/>
  <c r="E3424" i="16"/>
  <c r="H3427" i="16"/>
  <c r="H3428" i="16"/>
  <c r="H3429" i="16"/>
  <c r="H3430" i="16"/>
  <c r="H3431" i="16"/>
  <c r="H3432" i="16"/>
  <c r="H3433" i="16"/>
  <c r="H3434" i="16"/>
  <c r="H3435" i="16"/>
  <c r="H3436" i="16"/>
  <c r="H3437" i="16"/>
  <c r="H3438" i="16"/>
  <c r="H3440" i="16"/>
  <c r="H3444" i="16"/>
  <c r="H3445" i="16"/>
  <c r="H3453" i="16"/>
  <c r="H3459" i="16"/>
  <c r="H3460" i="16"/>
  <c r="H3462" i="16"/>
  <c r="H3466" i="16"/>
  <c r="H3468" i="16"/>
  <c r="H3470" i="16"/>
  <c r="H3471" i="16"/>
  <c r="H3472" i="16"/>
  <c r="H3473" i="16"/>
  <c r="H3443" i="16"/>
  <c r="H3446" i="16"/>
  <c r="H3448" i="16"/>
  <c r="H3449" i="16"/>
  <c r="H3454" i="16"/>
  <c r="H3455" i="16"/>
  <c r="H3457" i="16"/>
  <c r="H3464" i="16"/>
  <c r="H3465" i="16"/>
  <c r="H3469" i="16"/>
  <c r="H3439" i="16"/>
  <c r="H3441" i="16"/>
  <c r="H3442" i="16"/>
  <c r="H3447" i="16"/>
  <c r="H3450" i="16"/>
  <c r="H3451" i="16"/>
  <c r="H3452" i="16"/>
  <c r="H3456" i="16"/>
  <c r="H3458" i="16"/>
  <c r="H3461" i="16"/>
  <c r="H3463" i="16"/>
  <c r="H3467" i="16"/>
  <c r="H3474" i="16"/>
  <c r="B3374" i="16"/>
  <c r="C3373" i="16"/>
  <c r="F3373" i="16" s="1"/>
  <c r="E3373" i="16"/>
  <c r="G3373" i="16"/>
  <c r="B3371" i="16"/>
  <c r="A3371" i="16"/>
  <c r="E3370"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G3319" i="16"/>
  <c r="R3319" i="16" s="1"/>
  <c r="E3319" i="16"/>
  <c r="C3319" i="16"/>
  <c r="F3319" i="16" s="1"/>
  <c r="B3320" i="16"/>
  <c r="AL64" i="16"/>
  <c r="AK64" i="16"/>
  <c r="B3317" i="16"/>
  <c r="J3317" i="16" s="1"/>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B3266" i="16"/>
  <c r="C3265" i="16"/>
  <c r="F3265" i="16"/>
  <c r="E3265" i="16"/>
  <c r="G3265" i="16"/>
  <c r="AL63" i="16"/>
  <c r="AK63" i="16"/>
  <c r="B3263" i="16"/>
  <c r="J3263" i="16" s="1"/>
  <c r="A3263" i="16"/>
  <c r="E3262" i="16"/>
  <c r="H3265" i="16"/>
  <c r="H3266" i="16"/>
  <c r="H3267" i="16"/>
  <c r="H3268" i="16"/>
  <c r="H3269" i="16"/>
  <c r="H3270" i="16"/>
  <c r="H3271" i="16"/>
  <c r="H3272" i="16"/>
  <c r="H3273" i="16"/>
  <c r="H3274" i="16"/>
  <c r="H3275" i="16"/>
  <c r="H3276" i="16"/>
  <c r="H3277" i="16"/>
  <c r="H3278" i="16"/>
  <c r="H3279" i="16"/>
  <c r="H3280" i="16"/>
  <c r="H3281" i="16"/>
  <c r="H3282" i="16"/>
  <c r="H3283" i="16"/>
  <c r="H3284" i="16"/>
  <c r="H3285" i="16"/>
  <c r="H3286" i="16"/>
  <c r="H3287" i="16"/>
  <c r="H3288" i="16"/>
  <c r="H3289" i="16"/>
  <c r="H3290" i="16"/>
  <c r="H3291" i="16"/>
  <c r="H3292" i="16"/>
  <c r="H3293" i="16"/>
  <c r="H3294" i="16"/>
  <c r="H3295" i="16"/>
  <c r="H3296" i="16"/>
  <c r="H3297" i="16"/>
  <c r="H3298" i="16"/>
  <c r="H3299" i="16"/>
  <c r="H3300" i="16"/>
  <c r="H3301" i="16"/>
  <c r="H3302" i="16"/>
  <c r="H3303" i="16"/>
  <c r="H3304" i="16"/>
  <c r="H3305" i="16"/>
  <c r="H3306" i="16"/>
  <c r="H3307" i="16"/>
  <c r="H3308" i="16"/>
  <c r="H3309" i="16"/>
  <c r="H3310" i="16"/>
  <c r="H3311" i="16"/>
  <c r="H3312" i="16"/>
  <c r="G3211" i="16"/>
  <c r="B3212" i="16"/>
  <c r="C3211" i="16"/>
  <c r="F3211" i="16" s="1"/>
  <c r="E3211" i="16"/>
  <c r="A3209" i="16"/>
  <c r="B3209" i="16"/>
  <c r="J3209" i="16" s="1"/>
  <c r="E3208" i="16"/>
  <c r="H3211" i="16"/>
  <c r="H3212" i="16"/>
  <c r="H3213" i="16"/>
  <c r="H3214" i="16"/>
  <c r="H3218" i="16"/>
  <c r="H3220" i="16"/>
  <c r="H3224" i="16"/>
  <c r="H3227" i="16"/>
  <c r="H3228" i="16"/>
  <c r="H3229"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H3217" i="16"/>
  <c r="H3223" i="16"/>
  <c r="H3216" i="16"/>
  <c r="H3219" i="16"/>
  <c r="H3222" i="16"/>
  <c r="H3226" i="16"/>
  <c r="H3215" i="16"/>
  <c r="H3221" i="16"/>
  <c r="H3225" i="16"/>
  <c r="H3230" i="16"/>
  <c r="G3157" i="16"/>
  <c r="C3157" i="16"/>
  <c r="F3157" i="16" s="1"/>
  <c r="B3158" i="16"/>
  <c r="E3157" i="16"/>
  <c r="AL61" i="16"/>
  <c r="AK61" i="16"/>
  <c r="B3155" i="16"/>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G3103" i="16"/>
  <c r="E3103" i="16"/>
  <c r="B3104" i="16"/>
  <c r="C3103" i="16"/>
  <c r="F3103" i="16" s="1"/>
  <c r="AK60" i="16"/>
  <c r="AL60" i="16"/>
  <c r="A3101" i="16"/>
  <c r="B3101" i="16"/>
  <c r="J3101" i="16" s="1"/>
  <c r="E3100" i="16"/>
  <c r="H3108" i="16"/>
  <c r="H3112" i="16"/>
  <c r="H3103" i="16"/>
  <c r="H3115" i="16"/>
  <c r="H3105" i="16"/>
  <c r="H3111" i="16"/>
  <c r="H3104" i="16"/>
  <c r="H3106" i="16"/>
  <c r="H3107" i="16"/>
  <c r="H3109" i="16"/>
  <c r="H3113" i="16"/>
  <c r="H3110" i="16"/>
  <c r="H3114"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151" i="16"/>
  <c r="C60" i="16" s="1"/>
  <c r="L3103" i="16"/>
  <c r="L3104" i="16"/>
  <c r="K3103" i="16"/>
  <c r="I3103" i="16"/>
  <c r="A60" i="16"/>
  <c r="C3049" i="16"/>
  <c r="G3049" i="16"/>
  <c r="F3049" i="16"/>
  <c r="E3049" i="16"/>
  <c r="B3050" i="16"/>
  <c r="AK59" i="16"/>
  <c r="AL59" i="16"/>
  <c r="A3047" i="16"/>
  <c r="B3047" i="16"/>
  <c r="E3046" i="16"/>
  <c r="H3057" i="16"/>
  <c r="H3059" i="16"/>
  <c r="H3065" i="16"/>
  <c r="H3066" i="16"/>
  <c r="H3072" i="16"/>
  <c r="H3080" i="16"/>
  <c r="H3096" i="16"/>
  <c r="H3054" i="16"/>
  <c r="H3058" i="16"/>
  <c r="H3074" i="16"/>
  <c r="H3075" i="16"/>
  <c r="H3081" i="16"/>
  <c r="H3093" i="16"/>
  <c r="H3053" i="16"/>
  <c r="H3060" i="16"/>
  <c r="H3061" i="16"/>
  <c r="H3063" i="16"/>
  <c r="H3070" i="16"/>
  <c r="H3073" i="16"/>
  <c r="H3082" i="16"/>
  <c r="H3084" i="16"/>
  <c r="H3087" i="16"/>
  <c r="H3088" i="16"/>
  <c r="H3089" i="16"/>
  <c r="H3095" i="16"/>
  <c r="H3050" i="16"/>
  <c r="H3055" i="16"/>
  <c r="H3056" i="16"/>
  <c r="H3068" i="16"/>
  <c r="H3077" i="16"/>
  <c r="H3078" i="16"/>
  <c r="H3079" i="16"/>
  <c r="H3085" i="16"/>
  <c r="H3086" i="16"/>
  <c r="H3090" i="16"/>
  <c r="H3092" i="16"/>
  <c r="H3094" i="16"/>
  <c r="B3097" i="16"/>
  <c r="C59" i="16" s="1"/>
  <c r="L3050" i="16"/>
  <c r="A59" i="16"/>
  <c r="I3049" i="16"/>
  <c r="K3049" i="16"/>
  <c r="L3049" i="16"/>
  <c r="E2995" i="16"/>
  <c r="B2996" i="16"/>
  <c r="G2995" i="16"/>
  <c r="C2995" i="16"/>
  <c r="F2995" i="16" s="1"/>
  <c r="AL58" i="16"/>
  <c r="AK58" i="16"/>
  <c r="A2993" i="16"/>
  <c r="B2993" i="16"/>
  <c r="E2992" i="16"/>
  <c r="H2996" i="16" s="1"/>
  <c r="H3001" i="16"/>
  <c r="H3004" i="16"/>
  <c r="H3014" i="16"/>
  <c r="H3032" i="16"/>
  <c r="H3036" i="16"/>
  <c r="H3037" i="16"/>
  <c r="H3038" i="16"/>
  <c r="H2999" i="16"/>
  <c r="H3002" i="16"/>
  <c r="H3008" i="16"/>
  <c r="H3023" i="16"/>
  <c r="H3029" i="16"/>
  <c r="H3034" i="16"/>
  <c r="H3035" i="16"/>
  <c r="H3000" i="16"/>
  <c r="H3009" i="16"/>
  <c r="H3015" i="16"/>
  <c r="H3030" i="16"/>
  <c r="H3039" i="16"/>
  <c r="H3040" i="16"/>
  <c r="H3041" i="16"/>
  <c r="H2998" i="16"/>
  <c r="H3003" i="16"/>
  <c r="H3005" i="16"/>
  <c r="H3010" i="16"/>
  <c r="H3011" i="16"/>
  <c r="H3012" i="16"/>
  <c r="H3013" i="16"/>
  <c r="H3016" i="16"/>
  <c r="H3018" i="16"/>
  <c r="H3019" i="16"/>
  <c r="H3020" i="16"/>
  <c r="H3021" i="16"/>
  <c r="H3022" i="16"/>
  <c r="H3031" i="16"/>
  <c r="H3042" i="16"/>
  <c r="H2995" i="16"/>
  <c r="H2997" i="16"/>
  <c r="H3006" i="16"/>
  <c r="H3007" i="16"/>
  <c r="H3017" i="16"/>
  <c r="H3024" i="16"/>
  <c r="H3025" i="16"/>
  <c r="H3026" i="16"/>
  <c r="H3027" i="16"/>
  <c r="H3028" i="16"/>
  <c r="H3033" i="16"/>
  <c r="L2995" i="16"/>
  <c r="B3043" i="16"/>
  <c r="C58" i="16" s="1"/>
  <c r="L2996" i="16"/>
  <c r="K2995" i="16"/>
  <c r="A58" i="16"/>
  <c r="I2995" i="16"/>
  <c r="E2941" i="16"/>
  <c r="G2941" i="16"/>
  <c r="B2942" i="16"/>
  <c r="C2941" i="16"/>
  <c r="F2941" i="16" s="1"/>
  <c r="AK57" i="16"/>
  <c r="AL57" i="16"/>
  <c r="A2939" i="16"/>
  <c r="B2939" i="16"/>
  <c r="J2939" i="16" s="1"/>
  <c r="E2938" i="16"/>
  <c r="H2941" i="16"/>
  <c r="H2942" i="16"/>
  <c r="H2943" i="16"/>
  <c r="H2944" i="16"/>
  <c r="H2945" i="16"/>
  <c r="H2946" i="16"/>
  <c r="H2947" i="16"/>
  <c r="H2948" i="16"/>
  <c r="H2949" i="16"/>
  <c r="H2950" i="16"/>
  <c r="H2951" i="16"/>
  <c r="H2952" i="16"/>
  <c r="H2953" i="16"/>
  <c r="H2954" i="16"/>
  <c r="I2887" i="16"/>
  <c r="C2887" i="16"/>
  <c r="E2887" i="16"/>
  <c r="F2887" i="16"/>
  <c r="G2887" i="16"/>
  <c r="P2887" i="16" s="1"/>
  <c r="B2888" i="16"/>
  <c r="AK56" i="16"/>
  <c r="AL56" i="16"/>
  <c r="A2885" i="16"/>
  <c r="B2885" i="16"/>
  <c r="J2885" i="16" s="1"/>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L2888" i="16"/>
  <c r="L2887" i="16"/>
  <c r="K2887" i="16"/>
  <c r="A56" i="16"/>
  <c r="B2935" i="16"/>
  <c r="C56" i="16" s="1"/>
  <c r="B2834" i="16"/>
  <c r="E2833" i="16"/>
  <c r="C2833" i="16"/>
  <c r="F2833" i="16" s="1"/>
  <c r="G2833" i="16"/>
  <c r="AL55" i="16"/>
  <c r="AK55" i="16"/>
  <c r="A2831" i="16"/>
  <c r="B2831" i="16"/>
  <c r="J2831" i="16" s="1"/>
  <c r="E2830" i="16"/>
  <c r="H2839" i="16"/>
  <c r="H2840" i="16"/>
  <c r="H2843" i="16"/>
  <c r="H2846" i="16"/>
  <c r="H2852" i="16"/>
  <c r="H2853" i="16"/>
  <c r="H2858" i="16"/>
  <c r="H2861" i="16"/>
  <c r="H2863" i="16"/>
  <c r="H2864" i="16"/>
  <c r="H2866" i="16"/>
  <c r="H2867" i="16"/>
  <c r="H2868" i="16"/>
  <c r="H2869" i="16"/>
  <c r="H2870" i="16"/>
  <c r="H2871" i="16"/>
  <c r="H2872" i="16"/>
  <c r="H2873" i="16"/>
  <c r="H2874" i="16"/>
  <c r="H2875" i="16"/>
  <c r="H2876" i="16"/>
  <c r="H2877" i="16"/>
  <c r="H2878" i="16"/>
  <c r="H2879" i="16"/>
  <c r="H2880" i="16"/>
  <c r="H2838" i="16"/>
  <c r="H2857" i="16"/>
  <c r="H2854" i="16"/>
  <c r="H2860" i="16"/>
  <c r="H2865" i="16"/>
  <c r="L2833" i="16"/>
  <c r="L2834" i="16"/>
  <c r="A55" i="16"/>
  <c r="B2881" i="16"/>
  <c r="C55" i="16" s="1"/>
  <c r="K2833" i="16"/>
  <c r="C2779" i="16"/>
  <c r="E2779" i="16"/>
  <c r="G2779" i="16"/>
  <c r="F2779" i="16"/>
  <c r="B2780" i="16"/>
  <c r="AL54" i="16"/>
  <c r="AK54" i="16"/>
  <c r="L54" i="16"/>
  <c r="AI54" i="16" s="1"/>
  <c r="K54" i="16"/>
  <c r="AD54" i="16" s="1"/>
  <c r="B2777" i="16"/>
  <c r="J2777" i="16" s="1"/>
  <c r="A2777" i="16"/>
  <c r="E2776" i="16"/>
  <c r="H2779" i="16"/>
  <c r="H2783" i="16"/>
  <c r="H2785" i="16"/>
  <c r="H2788" i="16"/>
  <c r="H2808" i="16"/>
  <c r="H2790" i="16"/>
  <c r="H2798" i="16"/>
  <c r="H2799" i="16"/>
  <c r="H2812" i="16"/>
  <c r="H2815" i="16"/>
  <c r="H2816" i="16"/>
  <c r="H2820" i="16"/>
  <c r="H2782" i="16"/>
  <c r="H2784" i="16"/>
  <c r="H2796" i="16"/>
  <c r="H2811" i="16"/>
  <c r="H2819" i="16"/>
  <c r="H2823" i="16"/>
  <c r="H2824" i="16"/>
  <c r="H2792" i="16"/>
  <c r="H2793" i="16"/>
  <c r="H2794" i="16"/>
  <c r="H2795" i="16"/>
  <c r="H2804" i="16"/>
  <c r="H2810" i="16"/>
  <c r="H2818" i="16"/>
  <c r="H2822" i="16"/>
  <c r="H2825" i="16"/>
  <c r="H2781" i="16"/>
  <c r="H2789" i="16"/>
  <c r="H2797" i="16"/>
  <c r="H2801" i="16"/>
  <c r="H2817" i="16"/>
  <c r="H2780" i="16"/>
  <c r="H2786" i="16"/>
  <c r="H2787" i="16"/>
  <c r="H2791" i="16"/>
  <c r="H2800" i="16"/>
  <c r="H2802" i="16"/>
  <c r="H2803" i="16"/>
  <c r="H2805" i="16"/>
  <c r="H2806" i="16"/>
  <c r="H2807" i="16"/>
  <c r="H2809" i="16"/>
  <c r="H2813" i="16"/>
  <c r="H2814" i="16"/>
  <c r="H2821" i="16"/>
  <c r="H2826" i="16"/>
  <c r="K2779" i="16"/>
  <c r="A54" i="16"/>
  <c r="L2780" i="16"/>
  <c r="B2827" i="16"/>
  <c r="C54" i="16" s="1"/>
  <c r="I2779" i="16"/>
  <c r="L2779" i="16"/>
  <c r="C2725" i="16"/>
  <c r="B2726" i="16"/>
  <c r="E2725" i="16"/>
  <c r="G2725" i="16"/>
  <c r="F2725" i="16"/>
  <c r="AK53" i="16"/>
  <c r="AL53" i="16"/>
  <c r="B2723" i="16"/>
  <c r="A2723" i="16"/>
  <c r="E2722"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72" i="16"/>
  <c r="H2729" i="16"/>
  <c r="H2768" i="16"/>
  <c r="H2769" i="16"/>
  <c r="H2770" i="16"/>
  <c r="H2728" i="16"/>
  <c r="H2727" i="16"/>
  <c r="H2730" i="16"/>
  <c r="H2731" i="16"/>
  <c r="H2725" i="16"/>
  <c r="H2771" i="16"/>
  <c r="L2726" i="16"/>
  <c r="I2725" i="16"/>
  <c r="L2725" i="16"/>
  <c r="K2725" i="16"/>
  <c r="B2773" i="16"/>
  <c r="C53" i="16" s="1"/>
  <c r="A53" i="16"/>
  <c r="C2671" i="16"/>
  <c r="E2671" i="16"/>
  <c r="F2671" i="16"/>
  <c r="G2671" i="16"/>
  <c r="B2672" i="16"/>
  <c r="AL52" i="16"/>
  <c r="AK52" i="16"/>
  <c r="B2669" i="16"/>
  <c r="A2669" i="16"/>
  <c r="E2668" i="16"/>
  <c r="H2677" i="16"/>
  <c r="H2673" i="16"/>
  <c r="H2679" i="16"/>
  <c r="H2712" i="16"/>
  <c r="H2687" i="16"/>
  <c r="H2688" i="16"/>
  <c r="H2699" i="16"/>
  <c r="H2710" i="16"/>
  <c r="H2671" i="16"/>
  <c r="H2680" i="16"/>
  <c r="H2683" i="16"/>
  <c r="H2684" i="16"/>
  <c r="H2690" i="16"/>
  <c r="H2691" i="16"/>
  <c r="H2698" i="16"/>
  <c r="H2711" i="16"/>
  <c r="H2716" i="16"/>
  <c r="H2689" i="16"/>
  <c r="H2692" i="16"/>
  <c r="H2697" i="16"/>
  <c r="H2714" i="16"/>
  <c r="L2671" i="16"/>
  <c r="K2671" i="16"/>
  <c r="B2719" i="16"/>
  <c r="C52" i="16" s="1"/>
  <c r="L2672" i="16"/>
  <c r="A52" i="16"/>
  <c r="C2617" i="16"/>
  <c r="G2617" i="16"/>
  <c r="E2617" i="16"/>
  <c r="B2618" i="16"/>
  <c r="AL51" i="16"/>
  <c r="AK51" i="16"/>
  <c r="B2615" i="16"/>
  <c r="A2615" i="16"/>
  <c r="E2614" i="16"/>
  <c r="H2620" i="16"/>
  <c r="H2630" i="16"/>
  <c r="H2632" i="16"/>
  <c r="H2633" i="16"/>
  <c r="H2634" i="16"/>
  <c r="L2617" i="16"/>
  <c r="A51" i="16"/>
  <c r="B2665" i="16"/>
  <c r="C51" i="16" s="1"/>
  <c r="G2563" i="16"/>
  <c r="C2563" i="16"/>
  <c r="F2563" i="16" s="1"/>
  <c r="I2563" i="16"/>
  <c r="E2563" i="16"/>
  <c r="B2564" i="16"/>
  <c r="AK50" i="16"/>
  <c r="AL50" i="16"/>
  <c r="B2561" i="16"/>
  <c r="A2561" i="16"/>
  <c r="E2560" i="16"/>
  <c r="H2563" i="16"/>
  <c r="H2578" i="16"/>
  <c r="H2580" i="16"/>
  <c r="H2598" i="16"/>
  <c r="H2608" i="16"/>
  <c r="H2567" i="16"/>
  <c r="H2574" i="16"/>
  <c r="H2579" i="16"/>
  <c r="H2584" i="16"/>
  <c r="H2594" i="16"/>
  <c r="H2605" i="16"/>
  <c r="H2565" i="16"/>
  <c r="H2571" i="16"/>
  <c r="H2588" i="16"/>
  <c r="H2590" i="16"/>
  <c r="H2596" i="16"/>
  <c r="H2600" i="16"/>
  <c r="H2601" i="16"/>
  <c r="H2604" i="16"/>
  <c r="H2569" i="16"/>
  <c r="H2582" i="16"/>
  <c r="H2587" i="16"/>
  <c r="H2595" i="16"/>
  <c r="H2607" i="16"/>
  <c r="H2568" i="16"/>
  <c r="H2589" i="16"/>
  <c r="H2591" i="16"/>
  <c r="H2597" i="16"/>
  <c r="H2603" i="16"/>
  <c r="H2566" i="16"/>
  <c r="H2586" i="16"/>
  <c r="H2583" i="16"/>
  <c r="L2564" i="16"/>
  <c r="B2611" i="16"/>
  <c r="C50" i="16" s="1"/>
  <c r="K2563" i="16"/>
  <c r="A50" i="16"/>
  <c r="L2563" i="16"/>
  <c r="C2509" i="16"/>
  <c r="E2509" i="16"/>
  <c r="F2509" i="16"/>
  <c r="G2509" i="16"/>
  <c r="B2510" i="16"/>
  <c r="A2507" i="16"/>
  <c r="B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7" i="16"/>
  <c r="H2555" i="16"/>
  <c r="H2545" i="16"/>
  <c r="H2553" i="16"/>
  <c r="H2548" i="16"/>
  <c r="H2554" i="16"/>
  <c r="H2551" i="16"/>
  <c r="H2552" i="16"/>
  <c r="H2546" i="16"/>
  <c r="H2549" i="16"/>
  <c r="I2455" i="16"/>
  <c r="G2455" i="16"/>
  <c r="E2455" i="16"/>
  <c r="C2455" i="16"/>
  <c r="B2456" i="16"/>
  <c r="F2455" i="16"/>
  <c r="AK48" i="16"/>
  <c r="AL48" i="16"/>
  <c r="B2453" i="16"/>
  <c r="J2453" i="16" s="1"/>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K2455" i="16"/>
  <c r="L2455" i="16"/>
  <c r="L2456" i="16"/>
  <c r="B2503" i="16"/>
  <c r="C48" i="16" s="1"/>
  <c r="A48" i="16"/>
  <c r="C2401" i="16"/>
  <c r="F2401" i="16" s="1"/>
  <c r="E2401" i="16"/>
  <c r="B2402" i="16"/>
  <c r="I2401" i="16"/>
  <c r="G2401" i="16"/>
  <c r="AK47" i="16"/>
  <c r="AL47" i="16"/>
  <c r="B2399" i="16"/>
  <c r="J2399" i="16" s="1"/>
  <c r="A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A47" i="16"/>
  <c r="B2449" i="16"/>
  <c r="C47" i="16" s="1"/>
  <c r="K2401" i="16"/>
  <c r="L2401" i="16"/>
  <c r="L2402" i="16"/>
  <c r="C2347" i="16"/>
  <c r="G2347" i="16"/>
  <c r="E2347" i="16"/>
  <c r="F2347" i="16"/>
  <c r="B2348" i="16"/>
  <c r="AK46" i="16"/>
  <c r="AL46" i="16"/>
  <c r="B2345" i="16"/>
  <c r="A2345" i="16"/>
  <c r="E2344" i="16"/>
  <c r="H2347" i="16"/>
  <c r="H2348" i="16"/>
  <c r="H2350" i="16"/>
  <c r="H2355" i="16"/>
  <c r="H2349" i="16"/>
  <c r="H2354" i="16"/>
  <c r="H2351" i="16"/>
  <c r="H2358" i="16"/>
  <c r="H2352"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A46" i="16"/>
  <c r="K2347" i="16"/>
  <c r="B2395" i="16"/>
  <c r="C46" i="16" s="1"/>
  <c r="L2347" i="16"/>
  <c r="L2348" i="16"/>
  <c r="E2293" i="16"/>
  <c r="C2293" i="16"/>
  <c r="F2293" i="16" s="1"/>
  <c r="B2294" i="16"/>
  <c r="G2293" i="16"/>
  <c r="A2291" i="16"/>
  <c r="B2291" i="16"/>
  <c r="E2290" i="16"/>
  <c r="H2294" i="16" s="1"/>
  <c r="H2293"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36" i="16"/>
  <c r="H2324" i="16"/>
  <c r="H2334" i="16"/>
  <c r="H2338" i="16"/>
  <c r="H2329" i="16"/>
  <c r="H2333" i="16"/>
  <c r="H2327" i="16"/>
  <c r="H2337" i="16"/>
  <c r="H2326" i="16"/>
  <c r="H2339" i="16"/>
  <c r="H2325" i="16"/>
  <c r="H2332" i="16"/>
  <c r="H2331" i="16"/>
  <c r="H2328" i="16"/>
  <c r="H2335" i="16"/>
  <c r="H2340" i="16"/>
  <c r="H2330" i="16"/>
  <c r="E2239" i="16"/>
  <c r="C2239" i="16"/>
  <c r="G2239" i="16"/>
  <c r="B2240" i="16"/>
  <c r="I2239" i="16"/>
  <c r="AK44" i="16"/>
  <c r="AL44" i="16"/>
  <c r="A2237" i="16"/>
  <c r="B2237" i="16"/>
  <c r="E2236" i="16"/>
  <c r="H2239" i="16" s="1"/>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L2239" i="16"/>
  <c r="A44" i="16"/>
  <c r="B2186" i="16"/>
  <c r="I2185" i="16"/>
  <c r="G2185" i="16"/>
  <c r="E2185" i="16"/>
  <c r="C2185" i="16"/>
  <c r="F2185" i="16" s="1"/>
  <c r="AL43" i="16"/>
  <c r="AK43" i="16"/>
  <c r="B2183" i="16"/>
  <c r="J2183" i="16" s="1"/>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233" i="16"/>
  <c r="C43" i="16" s="1"/>
  <c r="L2186" i="16"/>
  <c r="L2185" i="16"/>
  <c r="K2185" i="16"/>
  <c r="A43" i="16"/>
  <c r="B2132" i="16"/>
  <c r="I2131" i="16"/>
  <c r="G2131" i="16"/>
  <c r="E2131" i="16"/>
  <c r="C2131" i="16"/>
  <c r="F2131" i="16" s="1"/>
  <c r="AL42" i="16"/>
  <c r="AK42" i="16"/>
  <c r="B2129" i="16"/>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L2132" i="16"/>
  <c r="L2131" i="16"/>
  <c r="K2131" i="16"/>
  <c r="A42" i="16"/>
  <c r="B2179" i="16"/>
  <c r="C42" i="16" s="1"/>
  <c r="C2077" i="16"/>
  <c r="F2077" i="16" s="1"/>
  <c r="E2077" i="16"/>
  <c r="G2077" i="16"/>
  <c r="B2078" i="16"/>
  <c r="B2075" i="16"/>
  <c r="J2075" i="16" s="1"/>
  <c r="A2075" i="16"/>
  <c r="E2074" i="16"/>
  <c r="H2077" i="16"/>
  <c r="H2078" i="16"/>
  <c r="G2023" i="16"/>
  <c r="I2023" i="16"/>
  <c r="B2024" i="16"/>
  <c r="E2023" i="16"/>
  <c r="C2023" i="16"/>
  <c r="F2023" i="16" s="1"/>
  <c r="AK40" i="16"/>
  <c r="AL40" i="16"/>
  <c r="B2021" i="16"/>
  <c r="J2021" i="16" s="1"/>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L2024" i="16"/>
  <c r="L2023" i="16"/>
  <c r="K2023" i="16"/>
  <c r="A40" i="16"/>
  <c r="B1970" i="16"/>
  <c r="E1969" i="16"/>
  <c r="G1969" i="16"/>
  <c r="I1969" i="16"/>
  <c r="C1969" i="16"/>
  <c r="F1969" i="16" s="1"/>
  <c r="AK39" i="16"/>
  <c r="AL39" i="16"/>
  <c r="A1967" i="16"/>
  <c r="B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L1970" i="16"/>
  <c r="B2017" i="16"/>
  <c r="C39" i="16" s="1"/>
  <c r="A39" i="16"/>
  <c r="L1969" i="16"/>
  <c r="K1969" i="16"/>
  <c r="B1916" i="16"/>
  <c r="G1915" i="16"/>
  <c r="I1915" i="16"/>
  <c r="C1915" i="16"/>
  <c r="F1915" i="16" s="1"/>
  <c r="E1915" i="16"/>
  <c r="AL38" i="16"/>
  <c r="AK38" i="16"/>
  <c r="A1913" i="16"/>
  <c r="B1913" i="16"/>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B1963" i="16"/>
  <c r="C38" i="16" s="1"/>
  <c r="L1916" i="16"/>
  <c r="L1915" i="16"/>
  <c r="K1915" i="16"/>
  <c r="A38" i="16"/>
  <c r="B1862" i="16"/>
  <c r="G1861" i="16"/>
  <c r="E1861" i="16"/>
  <c r="C1861" i="16"/>
  <c r="F1861" i="16" s="1"/>
  <c r="B1859" i="16"/>
  <c r="A1859" i="16"/>
  <c r="E1858" i="16"/>
  <c r="H1861" i="16"/>
  <c r="H1862" i="16"/>
  <c r="H1863" i="16"/>
  <c r="H1864" i="16"/>
  <c r="H1865" i="16"/>
  <c r="H1866" i="16"/>
  <c r="H1867" i="16"/>
  <c r="H1868" i="16"/>
  <c r="H1869" i="16"/>
  <c r="H1870" i="16"/>
  <c r="H1871" i="16"/>
  <c r="G1807" i="16"/>
  <c r="Q1807" i="16" s="1"/>
  <c r="B1808" i="16"/>
  <c r="E1807" i="16"/>
  <c r="C1807" i="16"/>
  <c r="F1807" i="16" s="1"/>
  <c r="AL36" i="16"/>
  <c r="AK36" i="16"/>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E1753" i="16"/>
  <c r="B1754" i="16"/>
  <c r="I1753" i="16"/>
  <c r="G1753" i="16"/>
  <c r="C1753" i="16"/>
  <c r="F1753" i="16" s="1"/>
  <c r="AL35" i="16"/>
  <c r="AK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B1801" i="16"/>
  <c r="C35" i="16" s="1"/>
  <c r="A35" i="16"/>
  <c r="L1754" i="16"/>
  <c r="L1753" i="16"/>
  <c r="K1753" i="16"/>
  <c r="E1699" i="16"/>
  <c r="C1699" i="16"/>
  <c r="F1699" i="16" s="1"/>
  <c r="B1700" i="16"/>
  <c r="G1699" i="16"/>
  <c r="I1699" i="16"/>
  <c r="AK34" i="16"/>
  <c r="AL34" i="16"/>
  <c r="A1697" i="16"/>
  <c r="B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A34" i="16"/>
  <c r="L1700" i="16"/>
  <c r="L1699" i="16"/>
  <c r="B1747" i="16"/>
  <c r="C34" i="16" s="1"/>
  <c r="K1699" i="16"/>
  <c r="C1645" i="16"/>
  <c r="F1645" i="16" s="1"/>
  <c r="B1646" i="16"/>
  <c r="E1645" i="16"/>
  <c r="G1645" i="16"/>
  <c r="A1643" i="16"/>
  <c r="B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C1591" i="16"/>
  <c r="B1592" i="16"/>
  <c r="I1591" i="16"/>
  <c r="G1591" i="16"/>
  <c r="F1591" i="16"/>
  <c r="E1591" i="16"/>
  <c r="AK32" i="16"/>
  <c r="AL32" i="16"/>
  <c r="B1589" i="16"/>
  <c r="A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L1592" i="16"/>
  <c r="L1591" i="16"/>
  <c r="K1591" i="16"/>
  <c r="A32" i="16"/>
  <c r="E1537" i="16"/>
  <c r="B1538" i="16"/>
  <c r="C1537" i="16"/>
  <c r="F1537" i="16" s="1"/>
  <c r="G1537" i="16"/>
  <c r="I1537" i="16"/>
  <c r="AL31" i="16"/>
  <c r="AK31" i="16"/>
  <c r="A1535" i="16"/>
  <c r="B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K1537" i="16"/>
  <c r="L1537" i="16"/>
  <c r="L1538" i="16"/>
  <c r="A31" i="16"/>
  <c r="B1585" i="16"/>
  <c r="C31" i="16" s="1"/>
  <c r="C1483" i="16"/>
  <c r="F1483" i="16" s="1"/>
  <c r="G1483" i="16"/>
  <c r="E1483" i="16"/>
  <c r="I1483" i="16"/>
  <c r="B1484" i="16"/>
  <c r="AK30" i="16"/>
  <c r="AL30" i="16"/>
  <c r="B1481" i="16"/>
  <c r="A1481" i="16"/>
  <c r="E1480" i="16"/>
  <c r="H1486" i="16"/>
  <c r="H1493" i="16"/>
  <c r="H1504" i="16"/>
  <c r="H1484" i="16"/>
  <c r="H1496" i="16"/>
  <c r="H1502" i="16"/>
  <c r="H1489" i="16"/>
  <c r="H1490" i="16"/>
  <c r="H1483" i="16"/>
  <c r="H1487" i="16"/>
  <c r="H1488" i="16"/>
  <c r="H1492" i="16"/>
  <c r="H1508" i="16"/>
  <c r="H1509" i="16"/>
  <c r="H1510" i="16"/>
  <c r="H1511" i="16"/>
  <c r="H1512" i="16"/>
  <c r="H1513" i="16"/>
  <c r="H1514" i="16"/>
  <c r="H1515" i="16"/>
  <c r="H1516" i="16"/>
  <c r="H1517" i="16"/>
  <c r="H1518" i="16"/>
  <c r="H1519" i="16"/>
  <c r="H1520" i="16"/>
  <c r="H1521" i="16"/>
  <c r="H1522" i="16"/>
  <c r="H1523" i="16"/>
  <c r="H1524" i="16"/>
  <c r="H1525" i="16"/>
  <c r="H1526" i="16"/>
  <c r="H1527" i="16"/>
  <c r="H1528" i="16"/>
  <c r="H1529" i="16"/>
  <c r="H1530" i="16"/>
  <c r="H1500" i="16"/>
  <c r="H1499" i="16"/>
  <c r="H1495" i="16"/>
  <c r="H1506" i="16"/>
  <c r="H1497" i="16"/>
  <c r="H1505" i="16"/>
  <c r="H1501" i="16"/>
  <c r="H1503" i="16"/>
  <c r="H1507" i="16"/>
  <c r="H1485" i="16"/>
  <c r="H1498" i="16"/>
  <c r="B1531" i="16"/>
  <c r="C30" i="16" s="1"/>
  <c r="L1483" i="16"/>
  <c r="A30" i="16"/>
  <c r="L1484" i="16"/>
  <c r="K1483" i="16"/>
  <c r="I1429" i="16"/>
  <c r="C1429" i="16"/>
  <c r="B1430" i="16"/>
  <c r="G1429" i="16"/>
  <c r="F1429" i="16"/>
  <c r="E1429" i="16"/>
  <c r="B1427" i="16"/>
  <c r="A1427" i="16"/>
  <c r="E1426" i="16"/>
  <c r="H1448" i="16"/>
  <c r="H1465" i="16"/>
  <c r="H1473" i="16"/>
  <c r="H1474" i="16"/>
  <c r="H1441" i="16"/>
  <c r="H1447" i="16"/>
  <c r="H1451" i="16"/>
  <c r="H1464" i="16"/>
  <c r="H1470" i="16"/>
  <c r="H1458" i="16"/>
  <c r="H1460" i="16"/>
  <c r="H1462" i="16"/>
  <c r="H1466" i="16"/>
  <c r="H1459" i="16"/>
  <c r="H1467" i="16"/>
  <c r="H1444" i="16"/>
  <c r="H1446" i="16"/>
  <c r="H1437" i="16"/>
  <c r="H1438" i="16"/>
  <c r="H1452" i="16"/>
  <c r="H1453" i="16"/>
  <c r="H1457" i="16"/>
  <c r="H1455" i="16"/>
  <c r="H1475" i="16"/>
  <c r="H1439" i="16"/>
  <c r="H1440" i="16"/>
  <c r="H1469" i="16"/>
  <c r="H1461" i="16"/>
  <c r="H1463" i="16"/>
  <c r="H1472" i="16"/>
  <c r="H1476" i="16"/>
  <c r="H1449" i="16"/>
  <c r="B1477" i="16"/>
  <c r="C29" i="16" s="1"/>
  <c r="L1430" i="16"/>
  <c r="L1429" i="16"/>
  <c r="K1429" i="16"/>
  <c r="A29" i="16"/>
  <c r="C1375" i="16"/>
  <c r="E1375" i="16"/>
  <c r="F1375" i="16"/>
  <c r="G1375" i="16"/>
  <c r="B1376" i="16"/>
  <c r="AK28" i="16"/>
  <c r="AL28" i="16"/>
  <c r="B1373" i="16"/>
  <c r="A1373" i="16"/>
  <c r="E1372" i="16"/>
  <c r="H1391" i="16"/>
  <c r="H1392" i="16"/>
  <c r="H1395" i="16"/>
  <c r="H1399" i="16"/>
  <c r="H1422" i="16"/>
  <c r="H1384" i="16"/>
  <c r="H1401" i="16"/>
  <c r="H1408" i="16"/>
  <c r="H1417" i="16"/>
  <c r="H1418" i="16"/>
  <c r="H1377" i="16"/>
  <c r="H1378" i="16"/>
  <c r="H1381" i="16"/>
  <c r="H1382" i="16"/>
  <c r="H1386" i="16"/>
  <c r="H1410" i="16"/>
  <c r="H1414" i="16"/>
  <c r="H1419" i="16"/>
  <c r="H1387" i="16"/>
  <c r="H1412" i="16"/>
  <c r="H1413" i="16"/>
  <c r="H1389" i="16"/>
  <c r="H1398" i="16"/>
  <c r="H1406" i="16"/>
  <c r="H1421" i="16"/>
  <c r="L1376" i="16"/>
  <c r="L1375" i="16"/>
  <c r="A28" i="16"/>
  <c r="K1375" i="16"/>
  <c r="B1423" i="16"/>
  <c r="C28" i="16" s="1"/>
  <c r="G1321" i="16"/>
  <c r="Q1321" i="16" s="1"/>
  <c r="I1321" i="16"/>
  <c r="B1322" i="16"/>
  <c r="E1321" i="16"/>
  <c r="C1321" i="16"/>
  <c r="F1321" i="16" s="1"/>
  <c r="AL27" i="16"/>
  <c r="AK27" i="16"/>
  <c r="A1319" i="16"/>
  <c r="B1319" i="16"/>
  <c r="E1318" i="16"/>
  <c r="H1326" i="16"/>
  <c r="H1340" i="16"/>
  <c r="H1332" i="16"/>
  <c r="H1338" i="16"/>
  <c r="H1333" i="16"/>
  <c r="H1347" i="16"/>
  <c r="H1355" i="16"/>
  <c r="H1356" i="16"/>
  <c r="H1366" i="16"/>
  <c r="H1346" i="16"/>
  <c r="H1344" i="16"/>
  <c r="H1360" i="16"/>
  <c r="H1321" i="16"/>
  <c r="H1351" i="16"/>
  <c r="H1352" i="16"/>
  <c r="H1327" i="16"/>
  <c r="H1361" i="16"/>
  <c r="H1359" i="16"/>
  <c r="H1362" i="16"/>
  <c r="H1323" i="16"/>
  <c r="H1341" i="16"/>
  <c r="H1328" i="16"/>
  <c r="H1330" i="16"/>
  <c r="H1336" i="16"/>
  <c r="H1364" i="16"/>
  <c r="H1367" i="16"/>
  <c r="H1348" i="16"/>
  <c r="H1354" i="16"/>
  <c r="H1335" i="16"/>
  <c r="H1339" i="16"/>
  <c r="H1358" i="16"/>
  <c r="H1365" i="16"/>
  <c r="H1322" i="16"/>
  <c r="H1334" i="16"/>
  <c r="H1353" i="16"/>
  <c r="H1363" i="16"/>
  <c r="H1324" i="16"/>
  <c r="H1325" i="16"/>
  <c r="H1329" i="16"/>
  <c r="H1349" i="16"/>
  <c r="H1357" i="16"/>
  <c r="H1368" i="16"/>
  <c r="B1369" i="16"/>
  <c r="C27" i="16" s="1"/>
  <c r="L1322" i="16"/>
  <c r="K1321" i="16"/>
  <c r="A27" i="16"/>
  <c r="L1321" i="16"/>
  <c r="C1267" i="16"/>
  <c r="F1267" i="16" s="1"/>
  <c r="B1268" i="16"/>
  <c r="I1267" i="16"/>
  <c r="G1267" i="16"/>
  <c r="E1267" i="16"/>
  <c r="AL26" i="16"/>
  <c r="AK26" i="16"/>
  <c r="B1265" i="16"/>
  <c r="A1265" i="16"/>
  <c r="E1264" i="16"/>
  <c r="H1286" i="16"/>
  <c r="H1297" i="16"/>
  <c r="H1302" i="16"/>
  <c r="H1305" i="16"/>
  <c r="H1310" i="16"/>
  <c r="H1273" i="16"/>
  <c r="H1277" i="16"/>
  <c r="H1289" i="16"/>
  <c r="H1295" i="16"/>
  <c r="B1315" i="16"/>
  <c r="C26" i="16" s="1"/>
  <c r="L1268" i="16"/>
  <c r="A26" i="16"/>
  <c r="K1267" i="16"/>
  <c r="L1267" i="16"/>
  <c r="B1214" i="16"/>
  <c r="I1213" i="16"/>
  <c r="G1213" i="16"/>
  <c r="E1213" i="16"/>
  <c r="C1213" i="16"/>
  <c r="F1213" i="16" s="1"/>
  <c r="B1211" i="16"/>
  <c r="A1211" i="16"/>
  <c r="E1210" i="16"/>
  <c r="H1213" i="16"/>
  <c r="H1214" i="16"/>
  <c r="H1215" i="16"/>
  <c r="H1222" i="16"/>
  <c r="H1234" i="16"/>
  <c r="H1257" i="16"/>
  <c r="H1256" i="16"/>
  <c r="H1258" i="16"/>
  <c r="H1216" i="16"/>
  <c r="H1231" i="16"/>
  <c r="H1240" i="16"/>
  <c r="H1259" i="16"/>
  <c r="H1227" i="16"/>
  <c r="H1255" i="16"/>
  <c r="H1260" i="16"/>
  <c r="H1244" i="16"/>
  <c r="H1242" i="16"/>
  <c r="H1245" i="16"/>
  <c r="H1246" i="16"/>
  <c r="H1252" i="16"/>
  <c r="H1224" i="16"/>
  <c r="H1249" i="16"/>
  <c r="H1243" i="16"/>
  <c r="H1225" i="16"/>
  <c r="H1228" i="16"/>
  <c r="H1241" i="16"/>
  <c r="H1247" i="16"/>
  <c r="H1250" i="16"/>
  <c r="H1218" i="16"/>
  <c r="H1220" i="16"/>
  <c r="H1229" i="16"/>
  <c r="H1237" i="16"/>
  <c r="H1254" i="16"/>
  <c r="H1217" i="16"/>
  <c r="H1233" i="16"/>
  <c r="H1235" i="16"/>
  <c r="H1238" i="16"/>
  <c r="H1219" i="16"/>
  <c r="H1232" i="16"/>
  <c r="H1239" i="16"/>
  <c r="H1251" i="16"/>
  <c r="H1253" i="16"/>
  <c r="H1236" i="16"/>
  <c r="H1248" i="16"/>
  <c r="H1221" i="16"/>
  <c r="H1223" i="16"/>
  <c r="H1226" i="16"/>
  <c r="H1230" i="16"/>
  <c r="L1213" i="16"/>
  <c r="K1213" i="16"/>
  <c r="L1214" i="16"/>
  <c r="A25" i="16"/>
  <c r="G1159" i="16"/>
  <c r="I1159" i="16"/>
  <c r="B1160" i="16"/>
  <c r="C1159" i="16"/>
  <c r="F1159" i="16" s="1"/>
  <c r="E1159" i="16"/>
  <c r="AK24" i="16"/>
  <c r="AL24" i="16"/>
  <c r="A1157" i="16"/>
  <c r="B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B1207" i="16"/>
  <c r="C24" i="16" s="1"/>
  <c r="K1159" i="16"/>
  <c r="L1159" i="16"/>
  <c r="L1160" i="16"/>
  <c r="A24" i="16"/>
  <c r="G1105" i="16"/>
  <c r="E1105" i="16"/>
  <c r="C1105" i="16"/>
  <c r="F1105" i="16" s="1"/>
  <c r="B1106" i="16"/>
  <c r="I1105" i="16"/>
  <c r="AK23" i="16"/>
  <c r="AL23" i="16"/>
  <c r="A1103" i="16"/>
  <c r="B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L1106" i="16"/>
  <c r="B1153" i="16"/>
  <c r="C23" i="16" s="1"/>
  <c r="K1105" i="16"/>
  <c r="L1105" i="16"/>
  <c r="A23" i="16"/>
  <c r="B1052" i="16"/>
  <c r="E1051" i="16"/>
  <c r="C1051" i="16"/>
  <c r="F1051" i="16" s="1"/>
  <c r="I1051" i="16"/>
  <c r="G1051" i="16"/>
  <c r="AK22" i="16"/>
  <c r="AL22" i="16"/>
  <c r="A1049" i="16"/>
  <c r="B1049" i="16"/>
  <c r="E1048"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L1052" i="16"/>
  <c r="L1051" i="16"/>
  <c r="K1051" i="16"/>
  <c r="B1099" i="16"/>
  <c r="C22" i="16" s="1"/>
  <c r="A22" i="16"/>
  <c r="C997" i="16"/>
  <c r="F997" i="16" s="1"/>
  <c r="B998" i="16"/>
  <c r="E997" i="16"/>
  <c r="G997" i="16"/>
  <c r="AL21" i="16"/>
  <c r="AK21" i="16"/>
  <c r="A995" i="16"/>
  <c r="B995" i="16"/>
  <c r="E994" i="16"/>
  <c r="H1000" i="16"/>
  <c r="H1015" i="16"/>
  <c r="H1007" i="16"/>
  <c r="H1021" i="16"/>
  <c r="H1016" i="16"/>
  <c r="H1022" i="16"/>
  <c r="H1001" i="16"/>
  <c r="A21" i="16"/>
  <c r="B1045" i="16"/>
  <c r="C21" i="16" s="1"/>
  <c r="L998" i="16"/>
  <c r="L997" i="16"/>
  <c r="K997" i="16"/>
  <c r="C943" i="16"/>
  <c r="G943" i="16"/>
  <c r="F943" i="16"/>
  <c r="E943" i="16"/>
  <c r="B944" i="16"/>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E889" i="16"/>
  <c r="C889" i="16"/>
  <c r="F889" i="16" s="1"/>
  <c r="G889" i="16"/>
  <c r="B890" i="16"/>
  <c r="B887" i="16"/>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C835" i="16"/>
  <c r="F835" i="16" s="1"/>
  <c r="E835" i="16"/>
  <c r="G835" i="16"/>
  <c r="B836" i="16"/>
  <c r="B833" i="16"/>
  <c r="A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782" i="16"/>
  <c r="I781" i="16"/>
  <c r="G781" i="16"/>
  <c r="E781" i="16"/>
  <c r="C781" i="16"/>
  <c r="F781" i="16" s="1"/>
  <c r="AK17" i="16"/>
  <c r="AL17" i="16"/>
  <c r="B779" i="16"/>
  <c r="A779" i="16"/>
  <c r="E778" i="16"/>
  <c r="H781" i="16"/>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L782" i="16"/>
  <c r="L781" i="16"/>
  <c r="K781" i="16"/>
  <c r="A17" i="16"/>
  <c r="B829" i="16"/>
  <c r="C17" i="16" s="1"/>
  <c r="C727" i="16"/>
  <c r="F727" i="16" s="1"/>
  <c r="G727" i="16"/>
  <c r="B728" i="16"/>
  <c r="E727" i="16"/>
  <c r="B725" i="16"/>
  <c r="A725" i="16"/>
  <c r="E724" i="16"/>
  <c r="H727" i="16" s="1"/>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E673" i="16"/>
  <c r="G673" i="16"/>
  <c r="B674" i="16"/>
  <c r="C673" i="16"/>
  <c r="F673" i="16" s="1"/>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G619" i="16"/>
  <c r="E619" i="16"/>
  <c r="C619" i="16"/>
  <c r="B620" i="16"/>
  <c r="I619" i="16"/>
  <c r="A617" i="16"/>
  <c r="B617" i="16"/>
  <c r="E616" i="16"/>
  <c r="H619" i="16" s="1"/>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L619" i="16"/>
  <c r="B667" i="16"/>
  <c r="C14" i="16" s="1"/>
  <c r="C565" i="16"/>
  <c r="F565" i="16" s="1"/>
  <c r="E565" i="16"/>
  <c r="I565" i="16"/>
  <c r="G565" i="16"/>
  <c r="B566" i="16"/>
  <c r="AL13" i="16"/>
  <c r="AK13" i="16"/>
  <c r="B563" i="16"/>
  <c r="A563" i="16"/>
  <c r="E562" i="16"/>
  <c r="H571" i="16"/>
  <c r="H572" i="16"/>
  <c r="H573" i="16"/>
  <c r="H574" i="16"/>
  <c r="H575" i="16"/>
  <c r="H576"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L566" i="16"/>
  <c r="L565" i="16"/>
  <c r="K565" i="16"/>
  <c r="B613" i="16"/>
  <c r="C13" i="16" s="1"/>
  <c r="A13" i="16"/>
  <c r="G511" i="16"/>
  <c r="E511" i="16"/>
  <c r="B512" i="16"/>
  <c r="C511" i="16"/>
  <c r="F511" i="16" s="1"/>
  <c r="B509" i="16"/>
  <c r="J509" i="16" s="1"/>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7" i="16"/>
  <c r="H550" i="16"/>
  <c r="H551" i="16"/>
  <c r="H554" i="16"/>
  <c r="H555" i="16"/>
  <c r="H546" i="16"/>
  <c r="H548" i="16"/>
  <c r="H549" i="16"/>
  <c r="H552" i="16"/>
  <c r="H553" i="16"/>
  <c r="H556" i="16"/>
  <c r="H557" i="16"/>
  <c r="H558" i="16"/>
  <c r="B458" i="16"/>
  <c r="G457" i="16"/>
  <c r="C457" i="16"/>
  <c r="F457" i="16" s="1"/>
  <c r="E457" i="16"/>
  <c r="B455" i="16"/>
  <c r="J455" i="16" s="1"/>
  <c r="A455" i="16"/>
  <c r="E454"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404" i="16"/>
  <c r="C403" i="16"/>
  <c r="F403" i="16" s="1"/>
  <c r="G403" i="16"/>
  <c r="E403" i="16"/>
  <c r="B401" i="16"/>
  <c r="J401" i="16" s="1"/>
  <c r="A401" i="16"/>
  <c r="E400"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I349" i="16"/>
  <c r="G349" i="16"/>
  <c r="C349" i="16"/>
  <c r="E349" i="16"/>
  <c r="B350" i="16"/>
  <c r="L350" i="16" s="1"/>
  <c r="B347" i="16"/>
  <c r="A347" i="16"/>
  <c r="E346"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L349" i="16"/>
  <c r="B397" i="16"/>
  <c r="C9" i="16" s="1"/>
  <c r="E295" i="16"/>
  <c r="C295" i="16"/>
  <c r="F295" i="16"/>
  <c r="G295" i="16"/>
  <c r="B296" i="16"/>
  <c r="A293" i="16"/>
  <c r="B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C241" i="16"/>
  <c r="E241" i="16"/>
  <c r="F241" i="16"/>
  <c r="G241" i="16"/>
  <c r="I241" i="16"/>
  <c r="B242"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L242" i="16"/>
  <c r="L241" i="16"/>
  <c r="K241" i="16"/>
  <c r="C187" i="16"/>
  <c r="G187" i="16"/>
  <c r="B188" i="16"/>
  <c r="L188" i="16" s="1"/>
  <c r="E187" i="16"/>
  <c r="F187" i="16"/>
  <c r="AL6" i="16"/>
  <c r="AK6" i="16"/>
  <c r="A185" i="16"/>
  <c r="B185" i="16"/>
  <c r="E184" i="16"/>
  <c r="H187" i="16"/>
  <c r="H191" i="16"/>
  <c r="H201" i="16"/>
  <c r="H204" i="16"/>
  <c r="H205" i="16"/>
  <c r="H217" i="16"/>
  <c r="H225" i="16"/>
  <c r="H226" i="16"/>
  <c r="H227" i="16"/>
  <c r="H228" i="16"/>
  <c r="H229" i="16"/>
  <c r="H230" i="16"/>
  <c r="H231" i="16"/>
  <c r="H232" i="16"/>
  <c r="H233" i="16"/>
  <c r="H234" i="16"/>
  <c r="H190" i="16"/>
  <c r="H192" i="16"/>
  <c r="H196" i="16"/>
  <c r="H197" i="16"/>
  <c r="H198" i="16"/>
  <c r="H199" i="16"/>
  <c r="H200" i="16"/>
  <c r="H202" i="16"/>
  <c r="H203" i="16"/>
  <c r="H206" i="16"/>
  <c r="H207" i="16"/>
  <c r="H208" i="16"/>
  <c r="H209" i="16"/>
  <c r="H210" i="16"/>
  <c r="H211" i="16"/>
  <c r="H212" i="16"/>
  <c r="H213" i="16"/>
  <c r="H214" i="16"/>
  <c r="H215" i="16"/>
  <c r="H216" i="16"/>
  <c r="H218" i="16"/>
  <c r="H219" i="16"/>
  <c r="H220" i="16"/>
  <c r="H221" i="16"/>
  <c r="H222" i="16"/>
  <c r="H223" i="16"/>
  <c r="H224" i="16"/>
  <c r="L187" i="16"/>
  <c r="K187" i="16"/>
  <c r="I187" i="16"/>
  <c r="B235" i="16"/>
  <c r="C6" i="16" s="1"/>
  <c r="A6" i="16"/>
  <c r="B134" i="16"/>
  <c r="G133" i="16"/>
  <c r="C133" i="16"/>
  <c r="F133" i="16" s="1"/>
  <c r="E133" i="16"/>
  <c r="AL5" i="16"/>
  <c r="AK5" i="16"/>
  <c r="B131" i="16"/>
  <c r="J131" i="16" s="1"/>
  <c r="A131" i="16"/>
  <c r="E130" i="16"/>
  <c r="H138" i="16"/>
  <c r="H142" i="16"/>
  <c r="H143" i="16"/>
  <c r="H148" i="16"/>
  <c r="H157" i="16"/>
  <c r="H161" i="16"/>
  <c r="H167" i="16"/>
  <c r="H170" i="16"/>
  <c r="H171" i="16"/>
  <c r="H174" i="16"/>
  <c r="A5" i="16"/>
  <c r="K133" i="16"/>
  <c r="B181" i="16"/>
  <c r="C5" i="16" s="1"/>
  <c r="L134" i="16"/>
  <c r="L133" i="16"/>
  <c r="I133" i="16"/>
  <c r="G79" i="16"/>
  <c r="E79" i="16"/>
  <c r="B80" i="16"/>
  <c r="C79" i="16"/>
  <c r="F79" i="16" s="1"/>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9" i="16"/>
  <c r="H110" i="16"/>
  <c r="H111" i="16"/>
  <c r="H114" i="16"/>
  <c r="H121" i="16"/>
  <c r="H122" i="16"/>
  <c r="H107" i="16"/>
  <c r="H113" i="16"/>
  <c r="H117" i="16"/>
  <c r="H120" i="16"/>
  <c r="H123" i="16"/>
  <c r="H106" i="16"/>
  <c r="H108" i="16"/>
  <c r="H115" i="16"/>
  <c r="H116" i="16"/>
  <c r="H118" i="16"/>
  <c r="H125" i="16"/>
  <c r="H105" i="16"/>
  <c r="H112" i="16"/>
  <c r="H119" i="16"/>
  <c r="H124" i="16"/>
  <c r="H126" i="16"/>
  <c r="X72" i="16"/>
  <c r="Y72" i="16"/>
  <c r="W72" i="16"/>
  <c r="F74" i="8"/>
  <c r="AE72" i="16"/>
  <c r="Y71" i="16"/>
  <c r="X71" i="16"/>
  <c r="W71" i="16"/>
  <c r="F73" i="8"/>
  <c r="AE71" i="16"/>
  <c r="W70" i="16"/>
  <c r="Y70" i="16"/>
  <c r="X70" i="16"/>
  <c r="F72" i="8"/>
  <c r="AE70" i="16"/>
  <c r="X69" i="16"/>
  <c r="Y69" i="16"/>
  <c r="W69" i="16"/>
  <c r="F71" i="8"/>
  <c r="AE69" i="16"/>
  <c r="Y68" i="16"/>
  <c r="X68" i="16"/>
  <c r="W68" i="16"/>
  <c r="F70" i="8"/>
  <c r="AE68" i="16"/>
  <c r="W67" i="16"/>
  <c r="X67" i="16"/>
  <c r="Y67" i="16"/>
  <c r="AE67" i="16"/>
  <c r="F69" i="8"/>
  <c r="Y66" i="16"/>
  <c r="X66" i="16"/>
  <c r="W66" i="16"/>
  <c r="F68" i="8"/>
  <c r="AE66" i="16"/>
  <c r="Y65" i="16"/>
  <c r="X65" i="16"/>
  <c r="W65" i="16"/>
  <c r="F67" i="8"/>
  <c r="AE65" i="16"/>
  <c r="Y64" i="16"/>
  <c r="X64" i="16"/>
  <c r="W64" i="16"/>
  <c r="F66" i="8"/>
  <c r="AE64" i="16"/>
  <c r="Y63" i="16"/>
  <c r="W63" i="16"/>
  <c r="X63" i="16"/>
  <c r="F65" i="8"/>
  <c r="AE63" i="16"/>
  <c r="W62" i="16"/>
  <c r="X62" i="16"/>
  <c r="Y62" i="16"/>
  <c r="F64" i="8"/>
  <c r="AE62" i="16"/>
  <c r="X61" i="16"/>
  <c r="Y61" i="16"/>
  <c r="W61" i="16"/>
  <c r="AE61" i="16"/>
  <c r="F63" i="8"/>
  <c r="Y60" i="16"/>
  <c r="X60" i="16"/>
  <c r="W60" i="16"/>
  <c r="AE60" i="16"/>
  <c r="F62" i="8"/>
  <c r="Y59" i="16"/>
  <c r="X59" i="16"/>
  <c r="W59" i="16"/>
  <c r="AE59" i="16"/>
  <c r="F61" i="8"/>
  <c r="Y58" i="16"/>
  <c r="X58" i="16"/>
  <c r="W58" i="16"/>
  <c r="AE58" i="16"/>
  <c r="F60" i="8"/>
  <c r="Y57" i="16"/>
  <c r="X57" i="16"/>
  <c r="W57" i="16"/>
  <c r="AE57" i="16"/>
  <c r="F59" i="8"/>
  <c r="Y56" i="16"/>
  <c r="W56" i="16"/>
  <c r="X56" i="16"/>
  <c r="F58" i="8"/>
  <c r="AE56" i="16"/>
  <c r="Y55" i="16"/>
  <c r="W55" i="16"/>
  <c r="X55" i="16"/>
  <c r="AE55" i="16"/>
  <c r="F57" i="8"/>
  <c r="Y54" i="16"/>
  <c r="X54" i="16"/>
  <c r="W54" i="16"/>
  <c r="AE54" i="16"/>
  <c r="F56" i="8"/>
  <c r="W53" i="16"/>
  <c r="X53" i="16"/>
  <c r="Y53" i="16"/>
  <c r="F55" i="8"/>
  <c r="AE53" i="16"/>
  <c r="W52" i="16"/>
  <c r="X52" i="16"/>
  <c r="Y52" i="16"/>
  <c r="F54" i="8"/>
  <c r="AE52" i="16"/>
  <c r="W51" i="16"/>
  <c r="X51" i="16"/>
  <c r="Y51" i="16"/>
  <c r="AE51" i="16"/>
  <c r="F53" i="8"/>
  <c r="X50" i="16"/>
  <c r="W50" i="16"/>
  <c r="Y50" i="16"/>
  <c r="F52" i="8"/>
  <c r="AE50" i="16"/>
  <c r="Y49" i="16"/>
  <c r="W49" i="16"/>
  <c r="X49" i="16"/>
  <c r="F51" i="8"/>
  <c r="AE49" i="16"/>
  <c r="X48" i="16"/>
  <c r="W48" i="16"/>
  <c r="Y48" i="16"/>
  <c r="AE48" i="16"/>
  <c r="F50" i="8"/>
  <c r="Y47" i="16"/>
  <c r="X47" i="16"/>
  <c r="W47" i="16"/>
  <c r="F49" i="8"/>
  <c r="AE47" i="16"/>
  <c r="W46" i="16"/>
  <c r="Y46" i="16"/>
  <c r="X46" i="16"/>
  <c r="AE46" i="16"/>
  <c r="F48" i="8"/>
  <c r="W45" i="16"/>
  <c r="Y45" i="16"/>
  <c r="X45" i="16"/>
  <c r="AE45" i="16"/>
  <c r="F47" i="8"/>
  <c r="W44" i="16"/>
  <c r="Y44" i="16"/>
  <c r="X44" i="16"/>
  <c r="AE44" i="16"/>
  <c r="F46" i="8"/>
  <c r="W43" i="16"/>
  <c r="X43" i="16"/>
  <c r="Y43" i="16"/>
  <c r="AE43" i="16"/>
  <c r="F45" i="8"/>
  <c r="Y42" i="16"/>
  <c r="W42" i="16"/>
  <c r="X42" i="16"/>
  <c r="AE42" i="16"/>
  <c r="F44" i="8"/>
  <c r="W41" i="16"/>
  <c r="X41" i="16"/>
  <c r="Y41" i="16"/>
  <c r="AE41" i="16"/>
  <c r="F43" i="8"/>
  <c r="Y40" i="16"/>
  <c r="X40" i="16"/>
  <c r="W40" i="16"/>
  <c r="F42" i="8"/>
  <c r="AE40" i="16"/>
  <c r="Y39" i="16"/>
  <c r="W39" i="16"/>
  <c r="X39" i="16"/>
  <c r="F41" i="8"/>
  <c r="F76" i="8" s="1"/>
  <c r="AE39" i="16"/>
  <c r="Y38" i="16"/>
  <c r="E33" i="9" s="1"/>
  <c r="X38" i="16"/>
  <c r="D33" i="9" s="1"/>
  <c r="W38" i="16"/>
  <c r="C33" i="9" s="1"/>
  <c r="AE38" i="16"/>
  <c r="T33" i="9" s="1"/>
  <c r="F40" i="8"/>
  <c r="Y37" i="16"/>
  <c r="X37" i="16"/>
  <c r="W37" i="16"/>
  <c r="AE37" i="16"/>
  <c r="F39" i="8"/>
  <c r="Y36" i="16"/>
  <c r="X36" i="16"/>
  <c r="W36" i="16"/>
  <c r="AE36" i="16"/>
  <c r="F38" i="8"/>
  <c r="X35" i="16"/>
  <c r="W35" i="16"/>
  <c r="Y35" i="16"/>
  <c r="AE35" i="16"/>
  <c r="F37" i="8"/>
  <c r="Y34" i="16"/>
  <c r="X34" i="16"/>
  <c r="W34" i="16"/>
  <c r="AE34" i="16"/>
  <c r="F36" i="8"/>
  <c r="Y33" i="16"/>
  <c r="X33" i="16"/>
  <c r="W33" i="16"/>
  <c r="AE33" i="16"/>
  <c r="F35" i="8"/>
  <c r="X32" i="16"/>
  <c r="W32" i="16"/>
  <c r="Y32" i="16"/>
  <c r="AE32" i="16"/>
  <c r="F34" i="8"/>
  <c r="Y31" i="16"/>
  <c r="X31" i="16"/>
  <c r="W31" i="16"/>
  <c r="F33" i="8"/>
  <c r="AE31" i="16"/>
  <c r="Y30" i="16"/>
  <c r="X30" i="16"/>
  <c r="W30" i="16"/>
  <c r="AE30" i="16"/>
  <c r="F32" i="8"/>
  <c r="X29" i="16"/>
  <c r="W29" i="16"/>
  <c r="Y29" i="16"/>
  <c r="AE29" i="16"/>
  <c r="F31" i="8"/>
  <c r="Y28" i="16"/>
  <c r="X28" i="16"/>
  <c r="W28" i="16"/>
  <c r="F30" i="8"/>
  <c r="AE28" i="16"/>
  <c r="Y27" i="16"/>
  <c r="W27" i="16"/>
  <c r="X27" i="16"/>
  <c r="AE27" i="16"/>
  <c r="F29" i="8"/>
  <c r="W26" i="16"/>
  <c r="X26" i="16"/>
  <c r="Y26" i="16"/>
  <c r="AE26" i="16"/>
  <c r="F28" i="8"/>
  <c r="W25" i="16"/>
  <c r="X25" i="16"/>
  <c r="Y25" i="16"/>
  <c r="AE25" i="16"/>
  <c r="F27" i="8"/>
  <c r="W24" i="16"/>
  <c r="X24" i="16"/>
  <c r="Y24" i="16"/>
  <c r="AE24" i="16"/>
  <c r="F26" i="8"/>
  <c r="W23" i="16"/>
  <c r="X23" i="16"/>
  <c r="Y23" i="16"/>
  <c r="AE23" i="16"/>
  <c r="F25" i="8"/>
  <c r="W22" i="16"/>
  <c r="X22" i="16"/>
  <c r="Y22" i="16"/>
  <c r="AE22" i="16"/>
  <c r="F24" i="8"/>
  <c r="Y21" i="16"/>
  <c r="X21" i="16"/>
  <c r="W21" i="16"/>
  <c r="F23" i="8"/>
  <c r="AE21" i="16"/>
  <c r="X20" i="16"/>
  <c r="W20" i="16"/>
  <c r="Y20" i="16"/>
  <c r="AE20" i="16"/>
  <c r="F22" i="8"/>
  <c r="Y19" i="16"/>
  <c r="X19" i="16"/>
  <c r="W19" i="16"/>
  <c r="F21" i="8"/>
  <c r="AE19" i="16"/>
  <c r="Y18" i="16"/>
  <c r="X18" i="16"/>
  <c r="W18" i="16"/>
  <c r="F20" i="8"/>
  <c r="AE18" i="16"/>
  <c r="Y17" i="16"/>
  <c r="X17" i="16"/>
  <c r="W17" i="16"/>
  <c r="AE17" i="16"/>
  <c r="F19" i="8"/>
  <c r="X16" i="16"/>
  <c r="Y16" i="16"/>
  <c r="W16" i="16"/>
  <c r="F18" i="8"/>
  <c r="AE16" i="16"/>
  <c r="X15" i="16"/>
  <c r="Y15" i="16"/>
  <c r="W15" i="16"/>
  <c r="AE15" i="16"/>
  <c r="F17" i="8"/>
  <c r="W14" i="16"/>
  <c r="Y14" i="16"/>
  <c r="X14" i="16"/>
  <c r="F16" i="8"/>
  <c r="AE14" i="16"/>
  <c r="Y13" i="16"/>
  <c r="X13" i="16"/>
  <c r="W13" i="16"/>
  <c r="AE13" i="16"/>
  <c r="F15" i="8"/>
  <c r="Y12" i="16"/>
  <c r="X12" i="16"/>
  <c r="W12" i="16"/>
  <c r="AE12" i="16"/>
  <c r="F14" i="8"/>
  <c r="W11" i="16"/>
  <c r="X11" i="16"/>
  <c r="Y11" i="16"/>
  <c r="F13" i="8"/>
  <c r="AE11" i="16"/>
  <c r="Y10" i="16"/>
  <c r="X10" i="16"/>
  <c r="W10" i="16"/>
  <c r="F12" i="8"/>
  <c r="AE10" i="16"/>
  <c r="Y9" i="16"/>
  <c r="X9" i="16"/>
  <c r="W9" i="16"/>
  <c r="F11" i="8"/>
  <c r="AE9" i="16"/>
  <c r="X8" i="16"/>
  <c r="W8" i="16"/>
  <c r="Y8" i="16"/>
  <c r="AE8" i="16"/>
  <c r="F10" i="8"/>
  <c r="Y7" i="16"/>
  <c r="X7" i="16"/>
  <c r="W7" i="16"/>
  <c r="AE7" i="16"/>
  <c r="F9" i="8"/>
  <c r="X6" i="16"/>
  <c r="Y6" i="16"/>
  <c r="W6" i="16"/>
  <c r="AE6" i="16"/>
  <c r="F8" i="8"/>
  <c r="Y5" i="16"/>
  <c r="X5" i="16"/>
  <c r="W5" i="16"/>
  <c r="F7" i="8"/>
  <c r="AE5" i="16"/>
  <c r="W4" i="16"/>
  <c r="Y4" i="16"/>
  <c r="X4" i="16"/>
  <c r="F6" i="8"/>
  <c r="AE4" i="16"/>
  <c r="B71" i="15"/>
  <c r="B70" i="15"/>
  <c r="B3" i="15"/>
  <c r="A8" i="9" s="1"/>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A31" i="9" s="1"/>
  <c r="B25" i="15"/>
  <c r="A30" i="9" s="1"/>
  <c r="B24" i="15"/>
  <c r="A29" i="9" s="1"/>
  <c r="B8" i="15"/>
  <c r="A13" i="9" s="1"/>
  <c r="B7" i="15"/>
  <c r="A12" i="9" s="1"/>
  <c r="A30" i="15"/>
  <c r="I31" i="15" s="1"/>
  <c r="A64" i="15"/>
  <c r="I65" i="15" s="1"/>
  <c r="A71" i="15"/>
  <c r="I72" i="15" s="1"/>
  <c r="A70" i="15"/>
  <c r="I71" i="15" s="1"/>
  <c r="A19" i="15"/>
  <c r="I20" i="15" s="1"/>
  <c r="A15" i="15"/>
  <c r="I16" i="15" s="1"/>
  <c r="A10" i="15"/>
  <c r="I11" i="15" s="1"/>
  <c r="A20" i="15"/>
  <c r="I21" i="15" s="1"/>
  <c r="A21" i="15"/>
  <c r="I22" i="15" s="1"/>
  <c r="A13" i="15"/>
  <c r="I14" i="15" s="1"/>
  <c r="A9" i="15"/>
  <c r="I10" i="15" s="1"/>
  <c r="A22" i="15"/>
  <c r="I23" i="15" s="1"/>
  <c r="A23" i="15"/>
  <c r="I24" i="15" s="1"/>
  <c r="A12" i="15"/>
  <c r="I13" i="15" s="1"/>
  <c r="A8" i="15"/>
  <c r="I9" i="15" s="1"/>
  <c r="A24" i="15"/>
  <c r="I25" i="15" s="1"/>
  <c r="A25" i="15"/>
  <c r="I26" i="15" s="1"/>
  <c r="A16" i="15"/>
  <c r="I17" i="15" s="1"/>
  <c r="A7" i="15"/>
  <c r="I8" i="15" s="1"/>
  <c r="A26" i="15"/>
  <c r="I27" i="15" s="1"/>
  <c r="A27" i="15"/>
  <c r="I28" i="15" s="1"/>
  <c r="A17" i="15"/>
  <c r="I18" i="15" s="1"/>
  <c r="A6" i="15"/>
  <c r="I7" i="15" s="1"/>
  <c r="A28" i="15"/>
  <c r="I29" i="15" s="1"/>
  <c r="A29" i="15"/>
  <c r="I30" i="15" s="1"/>
  <c r="A14" i="15"/>
  <c r="I15" i="15" s="1"/>
  <c r="A5" i="15"/>
  <c r="I6" i="15" s="1"/>
  <c r="A56" i="15"/>
  <c r="I57" i="15" s="1"/>
  <c r="A31" i="15"/>
  <c r="I32" i="15" s="1"/>
  <c r="A11" i="15"/>
  <c r="I12" i="15" s="1"/>
  <c r="A4" i="15"/>
  <c r="I5" i="15" s="1"/>
  <c r="A32" i="15"/>
  <c r="I33" i="15" s="1"/>
  <c r="A33" i="15"/>
  <c r="I34" i="15" s="1"/>
  <c r="A18" i="15"/>
  <c r="I19" i="15" s="1"/>
  <c r="A3" i="15"/>
  <c r="I4" i="15" s="1"/>
  <c r="A55" i="15"/>
  <c r="I56" i="15" s="1"/>
  <c r="A54" i="15"/>
  <c r="I55" i="15" s="1"/>
  <c r="A53" i="15"/>
  <c r="I54" i="15" s="1"/>
  <c r="A52" i="15"/>
  <c r="I53" i="15" s="1"/>
  <c r="A51" i="15"/>
  <c r="I52" i="15" s="1"/>
  <c r="A49" i="15"/>
  <c r="I50" i="15" s="1"/>
  <c r="A48" i="15"/>
  <c r="I49" i="15" s="1"/>
  <c r="A47" i="15"/>
  <c r="I48" i="15" s="1"/>
  <c r="A46" i="15"/>
  <c r="I47" i="15" s="1"/>
  <c r="A45" i="15"/>
  <c r="I46" i="15" s="1"/>
  <c r="A44" i="15"/>
  <c r="I45" i="15" s="1"/>
  <c r="A43" i="15"/>
  <c r="I44" i="15" s="1"/>
  <c r="A65" i="15"/>
  <c r="I66" i="15" s="1"/>
  <c r="A42" i="15"/>
  <c r="I43" i="15" s="1"/>
  <c r="A41" i="15"/>
  <c r="I42" i="15" s="1"/>
  <c r="A40" i="15"/>
  <c r="I41" i="15" s="1"/>
  <c r="A66" i="15"/>
  <c r="I67" i="15" s="1"/>
  <c r="A39" i="15"/>
  <c r="I40" i="15" s="1"/>
  <c r="A38" i="15"/>
  <c r="I39" i="15" s="1"/>
  <c r="A37" i="15"/>
  <c r="I38" i="15" s="1"/>
  <c r="A36" i="15"/>
  <c r="I37" i="15" s="1"/>
  <c r="A67" i="15"/>
  <c r="I68" i="15" s="1"/>
  <c r="A35" i="15"/>
  <c r="I36" i="15" s="1"/>
  <c r="A63" i="15"/>
  <c r="I64" i="15" s="1"/>
  <c r="A60" i="15"/>
  <c r="I61" i="15" s="1"/>
  <c r="A68" i="15"/>
  <c r="I69" i="15" s="1"/>
  <c r="A34" i="15"/>
  <c r="I35" i="15" s="1"/>
  <c r="A69" i="15"/>
  <c r="I70" i="15" s="1"/>
  <c r="A62" i="15"/>
  <c r="I63" i="15" s="1"/>
  <c r="A61" i="15"/>
  <c r="I62" i="15" s="1"/>
  <c r="A50" i="15"/>
  <c r="I51" i="15" s="1"/>
  <c r="A59" i="15"/>
  <c r="I60" i="15" s="1"/>
  <c r="A58" i="15"/>
  <c r="I59" i="15" s="1"/>
  <c r="A57" i="15"/>
  <c r="I58" i="15" s="1"/>
  <c r="G11" i="11"/>
  <c r="G10" i="11"/>
  <c r="G12" i="11"/>
  <c r="G13" i="11"/>
  <c r="V33" i="9"/>
  <c r="O59" i="8"/>
  <c r="N76" i="8"/>
  <c r="O74" i="8"/>
  <c r="O12" i="8"/>
  <c r="O65" i="8"/>
  <c r="O14" i="8"/>
  <c r="O73" i="8"/>
  <c r="O13" i="8"/>
  <c r="O11" i="8"/>
  <c r="O72" i="8"/>
  <c r="O71" i="8"/>
  <c r="O55" i="8"/>
  <c r="O6" i="8"/>
  <c r="O54" i="8"/>
  <c r="O57" i="8"/>
  <c r="O58" i="8"/>
  <c r="O60" i="8"/>
  <c r="O53" i="8"/>
  <c r="O51" i="8"/>
  <c r="O50" i="8"/>
  <c r="O49" i="8"/>
  <c r="O48" i="8"/>
  <c r="O47" i="8"/>
  <c r="O46" i="8"/>
  <c r="O45" i="8"/>
  <c r="O44" i="8"/>
  <c r="O43" i="8"/>
  <c r="O56" i="8"/>
  <c r="O7" i="8"/>
  <c r="O42" i="8"/>
  <c r="O41" i="8"/>
  <c r="O61" i="8"/>
  <c r="O40" i="8"/>
  <c r="O62" i="8"/>
  <c r="O39" i="8"/>
  <c r="O63" i="8"/>
  <c r="O38" i="8"/>
  <c r="O64" i="8"/>
  <c r="O37" i="8"/>
  <c r="O8" i="8"/>
  <c r="O36" i="8"/>
  <c r="O70" i="8"/>
  <c r="O35" i="8"/>
  <c r="O9" i="8"/>
  <c r="O34" i="8"/>
  <c r="O33" i="8"/>
  <c r="O32" i="8"/>
  <c r="O31" i="8"/>
  <c r="O30" i="8"/>
  <c r="O66" i="8"/>
  <c r="O29" i="8"/>
  <c r="O28" i="8"/>
  <c r="O27" i="8"/>
  <c r="O10" i="8"/>
  <c r="O26" i="8"/>
  <c r="O67" i="8"/>
  <c r="O25" i="8"/>
  <c r="O24" i="8"/>
  <c r="O23" i="8"/>
  <c r="O68" i="8"/>
  <c r="O22" i="8"/>
  <c r="O21" i="8"/>
  <c r="O20" i="8"/>
  <c r="O19" i="8"/>
  <c r="O69" i="8"/>
  <c r="O52" i="8"/>
  <c r="O18" i="8"/>
  <c r="O17" i="8"/>
  <c r="O16" i="8"/>
  <c r="O15" i="8"/>
  <c r="C17" i="4"/>
  <c r="B18" i="4"/>
  <c r="E17" i="4"/>
  <c r="G17" i="4"/>
  <c r="I17" i="4"/>
  <c r="B64" i="7"/>
  <c r="I64" i="7" s="1"/>
  <c r="W16" i="4"/>
  <c r="W15" i="4"/>
  <c r="V17" i="4"/>
  <c r="R17" i="4"/>
  <c r="H17" i="5" s="1"/>
  <c r="R2887" i="16"/>
  <c r="Q2887" i="16"/>
  <c r="Q3319" i="16"/>
  <c r="P3319" i="16"/>
  <c r="F7" i="4"/>
  <c r="H25" i="4"/>
  <c r="D25" i="5" s="1"/>
  <c r="H4096" i="16"/>
  <c r="H24" i="4"/>
  <c r="D24" i="5" s="1"/>
  <c r="H4095" i="16"/>
  <c r="H23" i="4"/>
  <c r="D23" i="5" s="1"/>
  <c r="H4097" i="16"/>
  <c r="H22" i="4"/>
  <c r="D22" i="5" s="1"/>
  <c r="H4094" i="16"/>
  <c r="H21" i="4"/>
  <c r="D21" i="5" s="1"/>
  <c r="H4093" i="16"/>
  <c r="H20" i="4"/>
  <c r="D20" i="5" s="1"/>
  <c r="O143" i="3"/>
  <c r="P143" i="3"/>
  <c r="A4331" i="16"/>
  <c r="S143" i="3"/>
  <c r="R143" i="3"/>
  <c r="S142" i="3"/>
  <c r="A4330" i="16"/>
  <c r="R142" i="3"/>
  <c r="P142" i="3"/>
  <c r="O142" i="3"/>
  <c r="Q142" i="3" s="1"/>
  <c r="A4329" i="16"/>
  <c r="R141" i="3"/>
  <c r="P141" i="3"/>
  <c r="O141" i="3"/>
  <c r="Q141" i="3" s="1"/>
  <c r="S141" i="3"/>
  <c r="A4328" i="16"/>
  <c r="S140" i="3"/>
  <c r="R140" i="3"/>
  <c r="P140" i="3"/>
  <c r="O140" i="3"/>
  <c r="Q140" i="3" s="1"/>
  <c r="S139" i="3"/>
  <c r="R139" i="3"/>
  <c r="A4327" i="16"/>
  <c r="P139" i="3"/>
  <c r="O139" i="3"/>
  <c r="Q139" i="3" s="1"/>
  <c r="R138" i="3"/>
  <c r="A4326" i="16"/>
  <c r="S138" i="3"/>
  <c r="P138" i="3"/>
  <c r="O138" i="3"/>
  <c r="Q138" i="3" s="1"/>
  <c r="P137" i="3"/>
  <c r="A4325" i="16"/>
  <c r="R137" i="3"/>
  <c r="S137" i="3"/>
  <c r="O137" i="3"/>
  <c r="Q137" i="3" s="1"/>
  <c r="A4324" i="16"/>
  <c r="O136" i="3"/>
  <c r="S136" i="3"/>
  <c r="P136" i="3"/>
  <c r="R136" i="3"/>
  <c r="A4323" i="16"/>
  <c r="O135" i="3"/>
  <c r="Q135" i="3" s="1"/>
  <c r="P135" i="3"/>
  <c r="S135" i="3"/>
  <c r="R135" i="3"/>
  <c r="O134" i="3"/>
  <c r="Q134" i="3" s="1"/>
  <c r="P134" i="3"/>
  <c r="R134" i="3"/>
  <c r="A4322" i="16"/>
  <c r="S134" i="3"/>
  <c r="S133" i="3"/>
  <c r="R133" i="3"/>
  <c r="P133" i="3"/>
  <c r="O133" i="3"/>
  <c r="Q133" i="3" s="1"/>
  <c r="A4321" i="16"/>
  <c r="O132" i="3"/>
  <c r="R132" i="3"/>
  <c r="S132" i="3"/>
  <c r="P132" i="3"/>
  <c r="A4320" i="16"/>
  <c r="O131" i="3"/>
  <c r="P131" i="3"/>
  <c r="R131" i="3"/>
  <c r="S131" i="3"/>
  <c r="A4319" i="16"/>
  <c r="A4318" i="16"/>
  <c r="S130" i="3"/>
  <c r="R130" i="3"/>
  <c r="P130" i="3"/>
  <c r="O130" i="3"/>
  <c r="Q130" i="3" s="1"/>
  <c r="A4317" i="16"/>
  <c r="S129" i="3"/>
  <c r="R129" i="3"/>
  <c r="P129" i="3"/>
  <c r="O129" i="3"/>
  <c r="Q129" i="3" s="1"/>
  <c r="A4316" i="16"/>
  <c r="P128" i="3"/>
  <c r="O128" i="3"/>
  <c r="Q128" i="3" s="1"/>
  <c r="S128" i="3"/>
  <c r="R128" i="3"/>
  <c r="O127" i="3"/>
  <c r="P127" i="3"/>
  <c r="R127" i="3"/>
  <c r="S127" i="3"/>
  <c r="A4315" i="16"/>
  <c r="P126" i="3"/>
  <c r="R126" i="3"/>
  <c r="S126" i="3"/>
  <c r="O126" i="3"/>
  <c r="Q126" i="3" s="1"/>
  <c r="A4314" i="16"/>
  <c r="O125" i="3"/>
  <c r="S125" i="3"/>
  <c r="R125" i="3"/>
  <c r="P125" i="3"/>
  <c r="A4313" i="16"/>
  <c r="R124" i="3"/>
  <c r="S124" i="3"/>
  <c r="A4312" i="16"/>
  <c r="O124" i="3"/>
  <c r="P124" i="3"/>
  <c r="O123" i="3"/>
  <c r="P123" i="3"/>
  <c r="R123" i="3"/>
  <c r="A4311" i="16"/>
  <c r="S123" i="3"/>
  <c r="P122" i="3"/>
  <c r="O122" i="3"/>
  <c r="Q122" i="3" s="1"/>
  <c r="A4310" i="16"/>
  <c r="S122" i="3"/>
  <c r="R122" i="3"/>
  <c r="O121" i="3"/>
  <c r="P121" i="3"/>
  <c r="R121" i="3"/>
  <c r="S121" i="3"/>
  <c r="A4309" i="16"/>
  <c r="P120" i="3"/>
  <c r="O120" i="3"/>
  <c r="Q120" i="3" s="1"/>
  <c r="R120" i="3"/>
  <c r="S120" i="3"/>
  <c r="A4308" i="16"/>
  <c r="O119" i="3"/>
  <c r="S119" i="3"/>
  <c r="R119" i="3"/>
  <c r="P119" i="3"/>
  <c r="A4307" i="16"/>
  <c r="O118" i="3"/>
  <c r="A4306" i="16"/>
  <c r="S118" i="3"/>
  <c r="R118" i="3"/>
  <c r="P118" i="3"/>
  <c r="A4305" i="16"/>
  <c r="P117" i="3"/>
  <c r="O117" i="3"/>
  <c r="Q117" i="3" s="1"/>
  <c r="R117" i="3"/>
  <c r="S117" i="3"/>
  <c r="S116" i="3"/>
  <c r="O116" i="3"/>
  <c r="Q116" i="3" s="1"/>
  <c r="P116" i="3"/>
  <c r="A4304" i="16"/>
  <c r="R116" i="3"/>
  <c r="S115" i="3"/>
  <c r="R115" i="3"/>
  <c r="P115" i="3"/>
  <c r="A4303" i="16"/>
  <c r="O115" i="3"/>
  <c r="Q115" i="3" s="1"/>
  <c r="R114" i="3"/>
  <c r="P114" i="3"/>
  <c r="O114" i="3"/>
  <c r="Q114" i="3" s="1"/>
  <c r="S114" i="3"/>
  <c r="A4302" i="16"/>
  <c r="A4301" i="16"/>
  <c r="S113" i="3"/>
  <c r="P113" i="3"/>
  <c r="R113" i="3"/>
  <c r="O113" i="3"/>
  <c r="Q113" i="3" s="1"/>
  <c r="O112" i="3"/>
  <c r="Q112" i="3" s="1"/>
  <c r="P112" i="3"/>
  <c r="A4300" i="16"/>
  <c r="S112" i="3"/>
  <c r="R112" i="3"/>
  <c r="A4299" i="16"/>
  <c r="S111" i="3"/>
  <c r="O111" i="3"/>
  <c r="Q111" i="3" s="1"/>
  <c r="P111" i="3"/>
  <c r="R111" i="3"/>
  <c r="O110" i="3"/>
  <c r="Q110" i="3" s="1"/>
  <c r="A4298" i="16"/>
  <c r="P110" i="3"/>
  <c r="S110" i="3"/>
  <c r="R110" i="3"/>
  <c r="A4297" i="16"/>
  <c r="O109" i="3"/>
  <c r="Q109" i="3" s="1"/>
  <c r="P109" i="3"/>
  <c r="S109" i="3"/>
  <c r="R109" i="3"/>
  <c r="P108" i="3"/>
  <c r="O108" i="3"/>
  <c r="Q108" i="3" s="1"/>
  <c r="R108" i="3"/>
  <c r="A4296" i="16"/>
  <c r="S108" i="3"/>
  <c r="O107" i="3"/>
  <c r="Q107" i="3" s="1"/>
  <c r="P107" i="3"/>
  <c r="S107" i="3"/>
  <c r="R107" i="3"/>
  <c r="A4295" i="16"/>
  <c r="O106" i="3"/>
  <c r="Q106" i="3" s="1"/>
  <c r="P106" i="3"/>
  <c r="A4294" i="16"/>
  <c r="S106" i="3"/>
  <c r="R106" i="3"/>
  <c r="S105" i="3"/>
  <c r="A4293" i="16"/>
  <c r="R105" i="3"/>
  <c r="P105" i="3"/>
  <c r="O105" i="3"/>
  <c r="Q105" i="3" s="1"/>
  <c r="S104" i="3"/>
  <c r="R104" i="3"/>
  <c r="P104" i="3"/>
  <c r="A4292" i="16"/>
  <c r="O104" i="3"/>
  <c r="Q104" i="3" s="1"/>
  <c r="S103" i="3"/>
  <c r="R103" i="3"/>
  <c r="O103" i="3"/>
  <c r="Q103" i="3" s="1"/>
  <c r="A4291" i="16"/>
  <c r="P103" i="3"/>
  <c r="A4290" i="16"/>
  <c r="S102" i="3"/>
  <c r="R102" i="3"/>
  <c r="O102" i="3"/>
  <c r="Q102" i="3" s="1"/>
  <c r="P102" i="3"/>
  <c r="A4289" i="16"/>
  <c r="S101" i="3"/>
  <c r="R101" i="3"/>
  <c r="O101" i="3"/>
  <c r="Q101" i="3" s="1"/>
  <c r="P101" i="3"/>
  <c r="A4288" i="16"/>
  <c r="S100" i="3"/>
  <c r="R100" i="3"/>
  <c r="P100" i="3"/>
  <c r="O100" i="3"/>
  <c r="Q100" i="3" s="1"/>
  <c r="A4287" i="16"/>
  <c r="S99" i="3"/>
  <c r="P99" i="3"/>
  <c r="O99" i="3"/>
  <c r="Q99" i="3" s="1"/>
  <c r="R99" i="3"/>
  <c r="A4286" i="16"/>
  <c r="S98" i="3"/>
  <c r="R98" i="3"/>
  <c r="P98" i="3"/>
  <c r="O98" i="3"/>
  <c r="Q98" i="3" s="1"/>
  <c r="R97" i="3"/>
  <c r="O97" i="3"/>
  <c r="Q97" i="3" s="1"/>
  <c r="P97" i="3"/>
  <c r="S97" i="3"/>
  <c r="A4285" i="16"/>
  <c r="A4284" i="16"/>
  <c r="O96" i="3"/>
  <c r="Q96" i="3" s="1"/>
  <c r="S96" i="3"/>
  <c r="P96" i="3"/>
  <c r="R96" i="3"/>
  <c r="A4283" i="16"/>
  <c r="O95" i="3"/>
  <c r="Q95" i="3" s="1"/>
  <c r="R95" i="3"/>
  <c r="P95" i="3"/>
  <c r="S95" i="3"/>
  <c r="A4282" i="16"/>
  <c r="P94" i="3"/>
  <c r="R94" i="3"/>
  <c r="S94" i="3"/>
  <c r="O94" i="3"/>
  <c r="Q94" i="3" s="1"/>
  <c r="A4281" i="16"/>
  <c r="S93" i="3"/>
  <c r="P93" i="3"/>
  <c r="R93" i="3"/>
  <c r="O93" i="3"/>
  <c r="Q93" i="3" s="1"/>
  <c r="A4280" i="16"/>
  <c r="P92" i="3"/>
  <c r="R92" i="3"/>
  <c r="S92" i="3"/>
  <c r="O92" i="3"/>
  <c r="Q92" i="3" s="1"/>
  <c r="P91" i="3"/>
  <c r="R91" i="3"/>
  <c r="S91" i="3"/>
  <c r="A4279" i="16"/>
  <c r="O91" i="3"/>
  <c r="Q91" i="3" s="1"/>
  <c r="A4278" i="16"/>
  <c r="S90" i="3"/>
  <c r="O90" i="3"/>
  <c r="Q90" i="3" s="1"/>
  <c r="R90" i="3"/>
  <c r="P90" i="3"/>
  <c r="S89" i="3"/>
  <c r="P89" i="3"/>
  <c r="A4277" i="16"/>
  <c r="R89" i="3"/>
  <c r="O89" i="3"/>
  <c r="Q89" i="3" s="1"/>
  <c r="A4276" i="16"/>
  <c r="S88" i="3"/>
  <c r="R88" i="3"/>
  <c r="O88" i="3"/>
  <c r="Q88" i="3" s="1"/>
  <c r="P88" i="3"/>
  <c r="R87" i="3"/>
  <c r="O87" i="3"/>
  <c r="Q87" i="3" s="1"/>
  <c r="A4275" i="16"/>
  <c r="S87" i="3"/>
  <c r="P87" i="3"/>
  <c r="O86" i="3"/>
  <c r="Q86" i="3" s="1"/>
  <c r="P86" i="3"/>
  <c r="R86" i="3"/>
  <c r="S86" i="3"/>
  <c r="A4274" i="16"/>
  <c r="S85" i="3"/>
  <c r="R85" i="3"/>
  <c r="P85" i="3"/>
  <c r="A4273" i="16"/>
  <c r="O85" i="3"/>
  <c r="Q85" i="3" s="1"/>
  <c r="S84" i="3"/>
  <c r="R84" i="3"/>
  <c r="P84" i="3"/>
  <c r="A4272" i="16"/>
  <c r="O84" i="3"/>
  <c r="Q84" i="3" s="1"/>
  <c r="S83" i="3"/>
  <c r="R83" i="3"/>
  <c r="O83" i="3"/>
  <c r="Q83" i="3" s="1"/>
  <c r="A4271" i="16"/>
  <c r="P83" i="3"/>
  <c r="A4270" i="16"/>
  <c r="O82" i="3"/>
  <c r="Q82" i="3" s="1"/>
  <c r="P82" i="3"/>
  <c r="R82" i="3"/>
  <c r="S82" i="3"/>
  <c r="S81" i="3"/>
  <c r="R81" i="3"/>
  <c r="P81" i="3"/>
  <c r="A4269" i="16"/>
  <c r="O81" i="3"/>
  <c r="Q81" i="3" s="1"/>
  <c r="I2617" i="16"/>
  <c r="I1375" i="16"/>
  <c r="B1261" i="16"/>
  <c r="C25" i="16" s="1"/>
  <c r="I2347" i="16"/>
  <c r="I997" i="16"/>
  <c r="I2671" i="16"/>
  <c r="I2833" i="16"/>
  <c r="C5" i="4"/>
  <c r="C40" i="17"/>
  <c r="D40" i="17" s="1"/>
  <c r="B1639" i="16"/>
  <c r="C32" i="16" s="1"/>
  <c r="B289" i="16"/>
  <c r="C7" i="16" s="1"/>
  <c r="S80" i="3"/>
  <c r="R80" i="3"/>
  <c r="P80" i="3"/>
  <c r="O80" i="3"/>
  <c r="Q80" i="3" s="1"/>
  <c r="A4268" i="16"/>
  <c r="C39" i="17"/>
  <c r="D39" i="17" s="1"/>
  <c r="C41" i="17"/>
  <c r="D41" i="17" s="1"/>
  <c r="C42" i="17"/>
  <c r="D42" i="17" s="1"/>
  <c r="C43" i="17"/>
  <c r="D43" i="17" s="1"/>
  <c r="B2071" i="16"/>
  <c r="C40" i="16" s="1"/>
  <c r="C44" i="17"/>
  <c r="D44" i="17" s="1"/>
  <c r="B2287" i="16"/>
  <c r="C44" i="16" s="1"/>
  <c r="C74" i="8"/>
  <c r="B74" i="8"/>
  <c r="A74" i="8"/>
  <c r="A3748" i="16"/>
  <c r="C73" i="8"/>
  <c r="B73" i="8"/>
  <c r="A73" i="8"/>
  <c r="A3694" i="16"/>
  <c r="I3697" i="16" s="1"/>
  <c r="C72" i="8"/>
  <c r="B72" i="8"/>
  <c r="A72" i="8"/>
  <c r="A3640" i="16"/>
  <c r="I3643" i="16" s="1"/>
  <c r="C71" i="8"/>
  <c r="B71" i="8"/>
  <c r="A71" i="8"/>
  <c r="A3586" i="16"/>
  <c r="C70" i="8"/>
  <c r="B70" i="8"/>
  <c r="A70" i="8"/>
  <c r="A3532" i="16"/>
  <c r="B69" i="8"/>
  <c r="C69" i="8"/>
  <c r="A69" i="8"/>
  <c r="C68" i="8"/>
  <c r="B68" i="8"/>
  <c r="A68" i="8"/>
  <c r="A3424" i="16"/>
  <c r="I3427" i="16" s="1"/>
  <c r="C67" i="8"/>
  <c r="B67" i="8"/>
  <c r="A67" i="8"/>
  <c r="A3370" i="16"/>
  <c r="A3316" i="16"/>
  <c r="B66" i="8"/>
  <c r="C66" i="8"/>
  <c r="A66" i="8"/>
  <c r="A3262" i="16"/>
  <c r="I3265" i="16" s="1"/>
  <c r="C65" i="8"/>
  <c r="B65" i="8"/>
  <c r="A65" i="8"/>
  <c r="B64" i="8"/>
  <c r="A64" i="8"/>
  <c r="C64" i="8"/>
  <c r="A3208" i="16"/>
  <c r="I3211" i="16" s="1"/>
  <c r="C63" i="8"/>
  <c r="B63" i="8"/>
  <c r="A63" i="8"/>
  <c r="A3154" i="16"/>
  <c r="C62" i="8"/>
  <c r="B62" i="8"/>
  <c r="A62" i="8"/>
  <c r="C61" i="8"/>
  <c r="B61" i="8"/>
  <c r="A61" i="8"/>
  <c r="C60" i="8"/>
  <c r="A60" i="8"/>
  <c r="B60" i="8"/>
  <c r="A59" i="8"/>
  <c r="A2938" i="16"/>
  <c r="I2941" i="16" s="1"/>
  <c r="C59" i="8"/>
  <c r="B59" i="8"/>
  <c r="C58" i="8"/>
  <c r="B58" i="8"/>
  <c r="A58" i="8"/>
  <c r="A57" i="8"/>
  <c r="C57" i="8"/>
  <c r="B57" i="8"/>
  <c r="B56" i="8"/>
  <c r="A56" i="8"/>
  <c r="C56" i="8"/>
  <c r="B55" i="8"/>
  <c r="A55" i="8"/>
  <c r="C55" i="8"/>
  <c r="B54" i="8"/>
  <c r="A54" i="8"/>
  <c r="C54" i="8"/>
  <c r="B53" i="8"/>
  <c r="A53" i="8"/>
  <c r="C53" i="8"/>
  <c r="B52" i="8"/>
  <c r="C52" i="8"/>
  <c r="A52" i="8"/>
  <c r="C51" i="8"/>
  <c r="B51" i="8"/>
  <c r="A51" i="8"/>
  <c r="A2506" i="16"/>
  <c r="I2509" i="16" s="1"/>
  <c r="C50" i="8"/>
  <c r="B50" i="8"/>
  <c r="A50" i="8"/>
  <c r="C49" i="8"/>
  <c r="B49" i="8"/>
  <c r="A49" i="8"/>
  <c r="C48" i="8"/>
  <c r="A48" i="8"/>
  <c r="B48" i="8"/>
  <c r="A2290" i="16"/>
  <c r="I2293" i="16" s="1"/>
  <c r="C47" i="8"/>
  <c r="A47" i="8"/>
  <c r="B47" i="8"/>
  <c r="C46" i="8"/>
  <c r="B46" i="8"/>
  <c r="A46" i="8"/>
  <c r="C45" i="8"/>
  <c r="B45" i="8"/>
  <c r="A45" i="8"/>
  <c r="C44" i="8"/>
  <c r="A44" i="8"/>
  <c r="B44" i="8"/>
  <c r="A2074" i="16"/>
  <c r="I2077" i="16" s="1"/>
  <c r="C43" i="8"/>
  <c r="B43" i="8"/>
  <c r="A43" i="8"/>
  <c r="A42" i="8"/>
  <c r="B42" i="8"/>
  <c r="C42" i="8"/>
  <c r="B41" i="8"/>
  <c r="C41" i="8"/>
  <c r="A41" i="8"/>
  <c r="A40" i="8"/>
  <c r="C40" i="8"/>
  <c r="B40" i="8"/>
  <c r="C39" i="8"/>
  <c r="A39" i="8"/>
  <c r="B39" i="8"/>
  <c r="A1858" i="16"/>
  <c r="I1861" i="16" s="1"/>
  <c r="B38" i="8"/>
  <c r="A1804" i="16"/>
  <c r="A38" i="8"/>
  <c r="C38" i="8"/>
  <c r="A37" i="8"/>
  <c r="B37" i="8"/>
  <c r="C37" i="8"/>
  <c r="A36" i="8"/>
  <c r="B36" i="8"/>
  <c r="C36" i="8"/>
  <c r="A35" i="8"/>
  <c r="C35" i="8"/>
  <c r="A1642" i="16"/>
  <c r="I1645" i="16" s="1"/>
  <c r="B35" i="8"/>
  <c r="C34" i="8"/>
  <c r="A34" i="8"/>
  <c r="B34" i="8"/>
  <c r="C33" i="8"/>
  <c r="B33" i="8"/>
  <c r="A33" i="8"/>
  <c r="A32" i="8"/>
  <c r="B32" i="8"/>
  <c r="C32" i="8"/>
  <c r="A31" i="8"/>
  <c r="B31" i="8"/>
  <c r="C31" i="8"/>
  <c r="A30" i="8"/>
  <c r="B30" i="8"/>
  <c r="C30" i="8"/>
  <c r="A29" i="8"/>
  <c r="B29" i="8"/>
  <c r="C29" i="8"/>
  <c r="C28" i="8"/>
  <c r="A28" i="8"/>
  <c r="B28" i="8"/>
  <c r="B27" i="8"/>
  <c r="A27" i="8"/>
  <c r="C27" i="8"/>
  <c r="C26" i="8"/>
  <c r="B26" i="8"/>
  <c r="A26" i="8"/>
  <c r="A25" i="8"/>
  <c r="B25" i="8"/>
  <c r="C25" i="8"/>
  <c r="A24" i="8"/>
  <c r="B24" i="8"/>
  <c r="C24" i="8"/>
  <c r="C23" i="8"/>
  <c r="A23" i="8"/>
  <c r="B23" i="8"/>
  <c r="A22" i="8"/>
  <c r="C22" i="8"/>
  <c r="A940" i="16"/>
  <c r="I943" i="16" s="1"/>
  <c r="B22" i="8"/>
  <c r="A21" i="8"/>
  <c r="B21" i="8"/>
  <c r="C21" i="8"/>
  <c r="A886" i="16"/>
  <c r="A20" i="8"/>
  <c r="B20" i="8"/>
  <c r="C20" i="8"/>
  <c r="A832" i="16"/>
  <c r="I835" i="16" s="1"/>
  <c r="A19" i="8"/>
  <c r="B19" i="8"/>
  <c r="C19" i="8"/>
  <c r="A18" i="8"/>
  <c r="B18" i="8"/>
  <c r="C18" i="8"/>
  <c r="A724" i="16"/>
  <c r="I727" i="16" s="1"/>
  <c r="B17" i="8"/>
  <c r="C17" i="8"/>
  <c r="A17" i="8"/>
  <c r="A670" i="16"/>
  <c r="C16" i="8"/>
  <c r="A16" i="8"/>
  <c r="B16" i="8"/>
  <c r="A15" i="8"/>
  <c r="B15" i="8"/>
  <c r="C15" i="8"/>
  <c r="A508" i="16"/>
  <c r="I511" i="16" s="1"/>
  <c r="B14" i="8"/>
  <c r="A14" i="8"/>
  <c r="C14" i="8"/>
  <c r="B13" i="8"/>
  <c r="A13" i="8"/>
  <c r="A454" i="16"/>
  <c r="C13" i="8"/>
  <c r="A400" i="16"/>
  <c r="A12" i="8"/>
  <c r="B12" i="8"/>
  <c r="C12" i="8"/>
  <c r="A11" i="8"/>
  <c r="B11" i="8"/>
  <c r="C11" i="8"/>
  <c r="A292" i="16"/>
  <c r="I295" i="16" s="1"/>
  <c r="A10" i="8"/>
  <c r="C10" i="8"/>
  <c r="B10" i="8"/>
  <c r="C9" i="8"/>
  <c r="B9" i="8"/>
  <c r="A9" i="8"/>
  <c r="A8" i="8"/>
  <c r="C8" i="8"/>
  <c r="B8" i="8"/>
  <c r="A7" i="8"/>
  <c r="B7" i="8"/>
  <c r="C7" i="8"/>
  <c r="A6" i="8"/>
  <c r="B6" i="8"/>
  <c r="C6" i="8"/>
  <c r="A76" i="16"/>
  <c r="I79" i="16" s="1"/>
  <c r="C22" i="17"/>
  <c r="D22" i="17" s="1"/>
  <c r="K4051" i="16"/>
  <c r="F7" i="2"/>
  <c r="B3" i="5"/>
  <c r="J2" i="7"/>
  <c r="L4676" i="16"/>
  <c r="L4675" i="16"/>
  <c r="K4675" i="16"/>
  <c r="B3" i="4"/>
  <c r="L17" i="4"/>
  <c r="K3587" i="16"/>
  <c r="K3533" i="16"/>
  <c r="K3425" i="16"/>
  <c r="J3425" i="16"/>
  <c r="E3371" i="16"/>
  <c r="I3371" i="16" s="1"/>
  <c r="J3371" i="16"/>
  <c r="K2183" i="16"/>
  <c r="K1859" i="16"/>
  <c r="K293" i="16"/>
  <c r="E3155" i="16"/>
  <c r="I3155" i="16" s="1"/>
  <c r="E2075" i="16"/>
  <c r="I2075" i="16" s="1"/>
  <c r="J3155" i="16"/>
  <c r="K1967" i="16"/>
  <c r="K347" i="16"/>
  <c r="K3371" i="16"/>
  <c r="E3317" i="16"/>
  <c r="I3317" i="16" s="1"/>
  <c r="K509" i="16"/>
  <c r="K3317" i="16"/>
  <c r="K2777" i="16"/>
  <c r="E2453" i="16"/>
  <c r="I2453" i="16" s="1"/>
  <c r="E2129" i="16"/>
  <c r="I2129" i="16" s="1"/>
  <c r="E3425" i="16"/>
  <c r="I3425" i="16" s="1"/>
  <c r="E3263" i="16"/>
  <c r="I3263" i="16" s="1"/>
  <c r="E3209" i="16"/>
  <c r="I3209" i="16" s="1"/>
  <c r="E563" i="16"/>
  <c r="I563" i="16" s="1"/>
  <c r="E3101" i="16"/>
  <c r="I3101" i="16" s="1"/>
  <c r="E2831" i="16"/>
  <c r="I2831" i="16" s="1"/>
  <c r="E2777" i="16"/>
  <c r="I2777" i="16" s="1"/>
  <c r="J2723" i="16"/>
  <c r="K2669" i="16"/>
  <c r="K2615" i="16"/>
  <c r="K2561" i="16"/>
  <c r="E2561" i="16"/>
  <c r="I2561" i="16" s="1"/>
  <c r="J2561" i="16"/>
  <c r="K2507" i="16"/>
  <c r="E2507" i="16"/>
  <c r="I2507" i="16" s="1"/>
  <c r="J2507" i="16"/>
  <c r="E2183" i="16"/>
  <c r="I2183" i="16" s="1"/>
  <c r="K563" i="16"/>
  <c r="E131" i="16"/>
  <c r="I131" i="16" s="1"/>
  <c r="J77" i="16"/>
  <c r="K1805" i="16"/>
  <c r="E1805" i="16"/>
  <c r="I1805" i="16" s="1"/>
  <c r="J1805" i="16"/>
  <c r="K1751" i="16"/>
  <c r="E1751" i="16"/>
  <c r="I1751" i="16" s="1"/>
  <c r="J1751" i="16"/>
  <c r="K1697" i="16"/>
  <c r="E1697" i="16"/>
  <c r="I1697" i="16" s="1"/>
  <c r="J1697" i="16"/>
  <c r="K1643" i="16"/>
  <c r="E1643" i="16"/>
  <c r="I1643" i="16" s="1"/>
  <c r="J1643" i="16"/>
  <c r="K1589" i="16"/>
  <c r="E1589" i="16"/>
  <c r="I1589" i="16" s="1"/>
  <c r="J1589" i="16"/>
  <c r="K1535" i="16"/>
  <c r="K1481" i="16"/>
  <c r="K1427" i="16"/>
  <c r="E1427" i="16"/>
  <c r="I1427" i="16" s="1"/>
  <c r="J1427" i="16"/>
  <c r="K1373" i="16"/>
  <c r="E1373" i="16"/>
  <c r="I1373" i="16" s="1"/>
  <c r="J1373" i="16"/>
  <c r="K1319" i="16"/>
  <c r="E1319" i="16"/>
  <c r="I1319" i="16" s="1"/>
  <c r="J1319" i="16"/>
  <c r="K1265" i="16"/>
  <c r="E1265" i="16"/>
  <c r="I1265" i="16" s="1"/>
  <c r="J1265" i="16"/>
  <c r="K1211" i="16"/>
  <c r="E1211" i="16"/>
  <c r="I1211" i="16" s="1"/>
  <c r="J1211" i="16"/>
  <c r="K1157" i="16"/>
  <c r="K1103" i="16"/>
  <c r="K1049" i="16"/>
  <c r="E1049" i="16"/>
  <c r="I1049" i="16" s="1"/>
  <c r="J1049" i="16"/>
  <c r="K995" i="16"/>
  <c r="E995" i="16"/>
  <c r="I995" i="16" s="1"/>
  <c r="J995" i="16"/>
  <c r="K941" i="16"/>
  <c r="E941" i="16"/>
  <c r="I941" i="16" s="1"/>
  <c r="J941" i="16"/>
  <c r="K887" i="16"/>
  <c r="E887" i="16"/>
  <c r="I887" i="16" s="1"/>
  <c r="J887" i="16"/>
  <c r="K833" i="16"/>
  <c r="E833" i="16"/>
  <c r="I833" i="16" s="1"/>
  <c r="J833" i="16"/>
  <c r="K779" i="16"/>
  <c r="E779" i="16"/>
  <c r="I779" i="16" s="1"/>
  <c r="J779" i="16"/>
  <c r="K725" i="16"/>
  <c r="K671" i="16"/>
  <c r="E77" i="16"/>
  <c r="I77" i="16" s="1"/>
  <c r="E2399" i="16"/>
  <c r="I2399" i="16" s="1"/>
  <c r="J563" i="16"/>
  <c r="E455" i="16"/>
  <c r="I455" i="16" s="1"/>
  <c r="K2939" i="16"/>
  <c r="K401" i="16"/>
  <c r="K2993" i="16"/>
  <c r="E2885" i="16"/>
  <c r="I2885" i="16" s="1"/>
  <c r="K2885" i="16"/>
  <c r="E509" i="16"/>
  <c r="I509" i="16" s="1"/>
  <c r="E2939" i="16"/>
  <c r="I2939" i="16" s="1"/>
  <c r="E401" i="16"/>
  <c r="I401" i="16" s="1"/>
  <c r="E2021" i="16"/>
  <c r="I2021" i="16" s="1"/>
  <c r="J2129" i="16"/>
  <c r="AB3820" i="16" l="1"/>
  <c r="O2563" i="16"/>
  <c r="O2185" i="16"/>
  <c r="O1213" i="16"/>
  <c r="G3838" i="16"/>
  <c r="I3838" i="16" s="1"/>
  <c r="O2131" i="16"/>
  <c r="O1753" i="16"/>
  <c r="O781" i="16"/>
  <c r="O1807" i="16"/>
  <c r="O1321" i="16"/>
  <c r="AA3835" i="16"/>
  <c r="O2941" i="16"/>
  <c r="Q3835" i="16"/>
  <c r="AB3865" i="16"/>
  <c r="AC3865" i="16" s="1"/>
  <c r="AB3838" i="16"/>
  <c r="AL3835" i="16"/>
  <c r="AK3820" i="16"/>
  <c r="AB3845" i="16"/>
  <c r="AC3845" i="16" s="1"/>
  <c r="R3845" i="16"/>
  <c r="AM3844" i="16"/>
  <c r="O3319" i="16"/>
  <c r="O3211" i="16"/>
  <c r="O3157" i="16"/>
  <c r="O3103" i="16"/>
  <c r="O2833" i="16"/>
  <c r="O2023" i="16"/>
  <c r="O133" i="16"/>
  <c r="O79" i="16"/>
  <c r="Q136" i="3"/>
  <c r="Q119" i="3"/>
  <c r="Q132" i="3"/>
  <c r="Q118" i="3"/>
  <c r="E40" i="13"/>
  <c r="G40" i="13" s="1"/>
  <c r="B17" i="15"/>
  <c r="A22" i="9" s="1"/>
  <c r="B19" i="15"/>
  <c r="A24" i="9" s="1"/>
  <c r="B6" i="15"/>
  <c r="A11" i="9" s="1"/>
  <c r="B13" i="15"/>
  <c r="A18" i="9" s="1"/>
  <c r="B9" i="15"/>
  <c r="A14" i="9" s="1"/>
  <c r="B11" i="15"/>
  <c r="A16" i="9" s="1"/>
  <c r="B4" i="15"/>
  <c r="A9" i="9" s="1"/>
  <c r="B5" i="15"/>
  <c r="A10" i="9" s="1"/>
  <c r="B23" i="15"/>
  <c r="A28" i="9" s="1"/>
  <c r="B22" i="15"/>
  <c r="A27" i="9" s="1"/>
  <c r="B21" i="15"/>
  <c r="A26" i="9" s="1"/>
  <c r="B20" i="15"/>
  <c r="A25" i="9" s="1"/>
  <c r="B18" i="15"/>
  <c r="A23" i="9" s="1"/>
  <c r="B12" i="15"/>
  <c r="A17" i="9" s="1"/>
  <c r="B16" i="15"/>
  <c r="A21" i="9" s="1"/>
  <c r="B15" i="15"/>
  <c r="A20" i="9" s="1"/>
  <c r="B10" i="15"/>
  <c r="A15" i="9" s="1"/>
  <c r="B14" i="15"/>
  <c r="A19" i="9" s="1"/>
  <c r="P4675" i="16"/>
  <c r="Q4675" i="16"/>
  <c r="R4675" i="16"/>
  <c r="P4621" i="16"/>
  <c r="Q4621" i="16"/>
  <c r="R4621" i="16"/>
  <c r="R4567" i="16"/>
  <c r="Q4567" i="16"/>
  <c r="P4567" i="16"/>
  <c r="R4513" i="16"/>
  <c r="P4513" i="16"/>
  <c r="Q4513" i="16"/>
  <c r="G3861" i="16"/>
  <c r="H3861" i="16"/>
  <c r="AK3860" i="16"/>
  <c r="AL3860" i="16"/>
  <c r="AB3860" i="16"/>
  <c r="AA3860" i="16"/>
  <c r="AC3860" i="16" s="1"/>
  <c r="AA3859" i="16"/>
  <c r="AB3859" i="16"/>
  <c r="AC3859" i="16" s="1"/>
  <c r="H3859" i="16"/>
  <c r="G3859" i="16"/>
  <c r="I3859" i="16" s="1"/>
  <c r="R3857" i="16"/>
  <c r="Q3857" i="16"/>
  <c r="S3857" i="16" s="1"/>
  <c r="H3857" i="16"/>
  <c r="G3857" i="16"/>
  <c r="G3855" i="16"/>
  <c r="I3855" i="16" s="1"/>
  <c r="H3855" i="16"/>
  <c r="AK3854" i="16"/>
  <c r="AM3854" i="16" s="1"/>
  <c r="AL3854" i="16"/>
  <c r="Q3854" i="16"/>
  <c r="S3854" i="16" s="1"/>
  <c r="R3854" i="16"/>
  <c r="AL3853" i="16"/>
  <c r="AK3853" i="16"/>
  <c r="AM3853" i="16" s="1"/>
  <c r="H3853" i="16"/>
  <c r="G3853" i="16"/>
  <c r="I3853" i="16" s="1"/>
  <c r="G3852" i="16"/>
  <c r="I3852" i="16" s="1"/>
  <c r="H3852" i="16"/>
  <c r="AK3851" i="16"/>
  <c r="AL3851" i="16"/>
  <c r="AM3851" i="16" s="1"/>
  <c r="AA3851" i="16"/>
  <c r="AC3851" i="16" s="1"/>
  <c r="AB3851" i="16"/>
  <c r="R3851" i="16"/>
  <c r="Q3851" i="16"/>
  <c r="S3851" i="16" s="1"/>
  <c r="AK3848" i="16"/>
  <c r="AM3848" i="16" s="1"/>
  <c r="AL3848" i="16"/>
  <c r="H3848" i="16"/>
  <c r="G3848" i="16"/>
  <c r="I3848" i="16" s="1"/>
  <c r="Q3847" i="16"/>
  <c r="S3847" i="16" s="1"/>
  <c r="R3847" i="16"/>
  <c r="AK3843" i="16"/>
  <c r="AM3843" i="16" s="1"/>
  <c r="AL3843" i="16"/>
  <c r="AB3843" i="16"/>
  <c r="AA3843" i="16"/>
  <c r="AC3843" i="16" s="1"/>
  <c r="R3843" i="16"/>
  <c r="Q3843" i="16"/>
  <c r="S3843" i="16" s="1"/>
  <c r="H3843" i="16"/>
  <c r="G3843" i="16"/>
  <c r="AK3842" i="16"/>
  <c r="AL3842" i="16"/>
  <c r="AM3842" i="16" s="1"/>
  <c r="G3842" i="16"/>
  <c r="H3842" i="16"/>
  <c r="AK3841" i="16"/>
  <c r="AL3841" i="16"/>
  <c r="AB3841" i="16"/>
  <c r="AA3841" i="16"/>
  <c r="R3841" i="16"/>
  <c r="Q3841" i="16"/>
  <c r="S3841" i="16" s="1"/>
  <c r="G3839" i="16"/>
  <c r="H3839" i="16"/>
  <c r="R3838" i="16"/>
  <c r="R3837" i="16"/>
  <c r="Q3837" i="16"/>
  <c r="S3837" i="16" s="1"/>
  <c r="AK3836" i="16"/>
  <c r="AL3836" i="16"/>
  <c r="AM3836" i="16" s="1"/>
  <c r="H3834" i="16"/>
  <c r="G3834" i="16"/>
  <c r="I3834" i="16" s="1"/>
  <c r="AL3832" i="16"/>
  <c r="AK3832" i="16"/>
  <c r="AM3832" i="16" s="1"/>
  <c r="R3832" i="16"/>
  <c r="Q3832" i="16"/>
  <c r="S3832" i="16" s="1"/>
  <c r="G3832" i="16"/>
  <c r="H3832" i="16"/>
  <c r="AL3831" i="16"/>
  <c r="AK3831" i="16"/>
  <c r="AM3831" i="16" s="1"/>
  <c r="AB3831" i="16"/>
  <c r="AA3831" i="16"/>
  <c r="AC3831" i="16" s="1"/>
  <c r="H3831" i="16"/>
  <c r="G3831" i="16"/>
  <c r="I3831" i="16" s="1"/>
  <c r="Q3830" i="16"/>
  <c r="R3830" i="16"/>
  <c r="H3830" i="16"/>
  <c r="G3830" i="16"/>
  <c r="I3830" i="16" s="1"/>
  <c r="R3829" i="16"/>
  <c r="Q3829" i="16"/>
  <c r="S3829" i="16" s="1"/>
  <c r="H3829" i="16"/>
  <c r="G3829" i="16"/>
  <c r="I3829" i="16" s="1"/>
  <c r="AL3827" i="16"/>
  <c r="AK3827" i="16"/>
  <c r="AM3827" i="16" s="1"/>
  <c r="AB3827" i="16"/>
  <c r="AA3827" i="16"/>
  <c r="AC3827" i="16" s="1"/>
  <c r="AL3826" i="16"/>
  <c r="AK3826" i="16"/>
  <c r="AM3826" i="16" s="1"/>
  <c r="AA3826" i="16"/>
  <c r="AB3826" i="16"/>
  <c r="R3826" i="16"/>
  <c r="Q3826" i="16"/>
  <c r="H3826" i="16"/>
  <c r="G3826" i="16"/>
  <c r="I3826" i="16" s="1"/>
  <c r="Q3825" i="16"/>
  <c r="R3825" i="16"/>
  <c r="S3825" i="16" s="1"/>
  <c r="R3824" i="16"/>
  <c r="R3823" i="16"/>
  <c r="Q3823" i="16"/>
  <c r="S3823" i="16" s="1"/>
  <c r="AK3822" i="16"/>
  <c r="AL3822" i="16"/>
  <c r="H3822" i="16"/>
  <c r="G3822" i="16"/>
  <c r="I3822" i="16" s="1"/>
  <c r="AB3821" i="16"/>
  <c r="AA3821" i="16"/>
  <c r="AC3821" i="16" s="1"/>
  <c r="H3821" i="16"/>
  <c r="G3821" i="16"/>
  <c r="I3821" i="16" s="1"/>
  <c r="AL3819" i="16"/>
  <c r="AK3819" i="16"/>
  <c r="AM3819" i="16" s="1"/>
  <c r="AB3819" i="16"/>
  <c r="AA3819" i="16"/>
  <c r="G3819" i="16"/>
  <c r="I3819" i="16" s="1"/>
  <c r="H3819" i="16"/>
  <c r="H3814" i="16"/>
  <c r="G3814" i="16"/>
  <c r="I3814" i="16" s="1"/>
  <c r="R3812" i="16"/>
  <c r="Q3812" i="16"/>
  <c r="S3812" i="16" s="1"/>
  <c r="H3418" i="16"/>
  <c r="H3419" i="16"/>
  <c r="H3420" i="16"/>
  <c r="H3417" i="16"/>
  <c r="H3373" i="16"/>
  <c r="H3414" i="16"/>
  <c r="H3415" i="16"/>
  <c r="H3416" i="16"/>
  <c r="R2941" i="16"/>
  <c r="Q2941" i="16"/>
  <c r="P2941" i="16"/>
  <c r="H2973" i="16"/>
  <c r="H2977" i="16"/>
  <c r="H2959" i="16"/>
  <c r="H2958" i="16"/>
  <c r="H2957" i="16"/>
  <c r="H2956" i="16"/>
  <c r="H2955" i="16"/>
  <c r="H2988" i="16"/>
  <c r="H2987" i="16"/>
  <c r="H2986" i="16"/>
  <c r="H2985" i="16"/>
  <c r="H2966" i="16"/>
  <c r="H2965" i="16"/>
  <c r="H2974" i="16"/>
  <c r="H2975" i="16"/>
  <c r="H2976" i="16"/>
  <c r="H2964" i="16"/>
  <c r="H2963" i="16"/>
  <c r="H2978" i="16"/>
  <c r="H2979" i="16"/>
  <c r="H2967" i="16"/>
  <c r="H2968" i="16"/>
  <c r="H2962" i="16"/>
  <c r="H2961" i="16"/>
  <c r="H2960" i="16"/>
  <c r="H2969" i="16"/>
  <c r="H2970" i="16"/>
  <c r="H2981" i="16"/>
  <c r="H2982" i="16"/>
  <c r="H2983" i="16"/>
  <c r="H2971" i="16"/>
  <c r="H2972" i="16"/>
  <c r="H2984" i="16"/>
  <c r="H2980" i="16"/>
  <c r="H2735" i="16"/>
  <c r="H2734" i="16"/>
  <c r="H2732" i="16"/>
  <c r="H2726" i="16"/>
  <c r="H2733" i="16"/>
  <c r="H2736" i="16"/>
  <c r="H2767" i="16"/>
  <c r="H2718" i="16"/>
  <c r="H2702" i="16"/>
  <c r="H2713" i="16"/>
  <c r="H2674" i="16"/>
  <c r="H2700" i="16"/>
  <c r="H2675" i="16"/>
  <c r="H2717" i="16"/>
  <c r="H2709" i="16"/>
  <c r="H2701" i="16"/>
  <c r="H2676" i="16"/>
  <c r="R2563" i="16"/>
  <c r="Q2563" i="16"/>
  <c r="P2563" i="16"/>
  <c r="H2577" i="16"/>
  <c r="H2609" i="16"/>
  <c r="H2573" i="16"/>
  <c r="H2550" i="16"/>
  <c r="H2556" i="16"/>
  <c r="H2084" i="16"/>
  <c r="H2106" i="16"/>
  <c r="H2111" i="16"/>
  <c r="H2104" i="16"/>
  <c r="H2108" i="16"/>
  <c r="H2109" i="16"/>
  <c r="H2081" i="16"/>
  <c r="H2112" i="16"/>
  <c r="H2110" i="16"/>
  <c r="H2102" i="16"/>
  <c r="H2079" i="16"/>
  <c r="H2080" i="16"/>
  <c r="H2113" i="16"/>
  <c r="H2082" i="16"/>
  <c r="H2083" i="16"/>
  <c r="H2101" i="16"/>
  <c r="H2085" i="16"/>
  <c r="H2086" i="16"/>
  <c r="H2087" i="16"/>
  <c r="H2088" i="16"/>
  <c r="H2089" i="16"/>
  <c r="H2090" i="16"/>
  <c r="H2091" i="16"/>
  <c r="H2092" i="16"/>
  <c r="H2093" i="16"/>
  <c r="H2094" i="16"/>
  <c r="H2095" i="16"/>
  <c r="H2096" i="16"/>
  <c r="H2097" i="16"/>
  <c r="H2098" i="16"/>
  <c r="H2099" i="16"/>
  <c r="H2100" i="16"/>
  <c r="H2103" i="16"/>
  <c r="H2114" i="16"/>
  <c r="H2115" i="16"/>
  <c r="H2116" i="16"/>
  <c r="H2117" i="16"/>
  <c r="H2118" i="16"/>
  <c r="H2119" i="16"/>
  <c r="H2120" i="16"/>
  <c r="H2121" i="16"/>
  <c r="H2122" i="16"/>
  <c r="H2123" i="16"/>
  <c r="H2124" i="16"/>
  <c r="H2105" i="16"/>
  <c r="H2107" i="16"/>
  <c r="Q1429" i="16"/>
  <c r="R1429" i="16"/>
  <c r="P1429" i="16"/>
  <c r="P1375" i="16"/>
  <c r="R1375" i="16"/>
  <c r="Q1375" i="16"/>
  <c r="Q1051" i="16"/>
  <c r="R1051" i="16"/>
  <c r="P1051" i="16"/>
  <c r="H1051" i="16"/>
  <c r="H1053" i="16"/>
  <c r="H1052" i="16"/>
  <c r="H570" i="16"/>
  <c r="H568" i="16"/>
  <c r="H463" i="16"/>
  <c r="H464" i="16"/>
  <c r="H466" i="16"/>
  <c r="H461" i="16"/>
  <c r="H462" i="16"/>
  <c r="H458" i="16"/>
  <c r="H460" i="16"/>
  <c r="H459" i="16"/>
  <c r="H465" i="16"/>
  <c r="H457" i="16"/>
  <c r="H407" i="16"/>
  <c r="H417" i="16"/>
  <c r="H405" i="16"/>
  <c r="H410" i="16"/>
  <c r="H418" i="16"/>
  <c r="H409" i="16"/>
  <c r="H406" i="16"/>
  <c r="H408" i="16"/>
  <c r="H403" i="16"/>
  <c r="H414" i="16"/>
  <c r="H416" i="16"/>
  <c r="H412" i="16"/>
  <c r="H404" i="16"/>
  <c r="H413" i="16"/>
  <c r="H415" i="16"/>
  <c r="H411" i="16"/>
  <c r="F349" i="16"/>
  <c r="K349" i="16"/>
  <c r="H390" i="16"/>
  <c r="H391" i="16"/>
  <c r="H392" i="16"/>
  <c r="H393" i="16"/>
  <c r="H394" i="16"/>
  <c r="H395" i="16"/>
  <c r="H396" i="16"/>
  <c r="H384" i="16"/>
  <c r="H383" i="16"/>
  <c r="H386" i="16"/>
  <c r="H385" i="16"/>
  <c r="H349" i="16"/>
  <c r="H387" i="16"/>
  <c r="H388" i="16"/>
  <c r="H389" i="16"/>
  <c r="R133" i="16"/>
  <c r="P133" i="16"/>
  <c r="Q133" i="16"/>
  <c r="B3799" i="16"/>
  <c r="C72" i="16" s="1"/>
  <c r="I3751" i="16"/>
  <c r="B3637" i="16"/>
  <c r="C69" i="16" s="1"/>
  <c r="I3589" i="16"/>
  <c r="B3583" i="16"/>
  <c r="C68" i="16" s="1"/>
  <c r="I3535" i="16"/>
  <c r="B721" i="16"/>
  <c r="C15" i="16" s="1"/>
  <c r="I673" i="16"/>
  <c r="D4675" i="16"/>
  <c r="J4675" i="16"/>
  <c r="N4675" i="16" s="1"/>
  <c r="C4676" i="16"/>
  <c r="E4676" i="16"/>
  <c r="F4676" i="16"/>
  <c r="G4676" i="16"/>
  <c r="I4676" i="16"/>
  <c r="B4677" i="16"/>
  <c r="C4622" i="16"/>
  <c r="D4622" i="16" s="1"/>
  <c r="E4622" i="16"/>
  <c r="F4622" i="16"/>
  <c r="G4622" i="16"/>
  <c r="B4623" i="16"/>
  <c r="D4567" i="16"/>
  <c r="C4568" i="16"/>
  <c r="E4568" i="16"/>
  <c r="F4568" i="16"/>
  <c r="G4568" i="16"/>
  <c r="K4568" i="16"/>
  <c r="I4568" i="16"/>
  <c r="B4569" i="16"/>
  <c r="C4514" i="16"/>
  <c r="E4514" i="16"/>
  <c r="F4514" i="16"/>
  <c r="G4514" i="16"/>
  <c r="K4514" i="16"/>
  <c r="B4515" i="16"/>
  <c r="I4514" i="16"/>
  <c r="L4514" i="16"/>
  <c r="D4513" i="16"/>
  <c r="J4513" i="16"/>
  <c r="C4214" i="16"/>
  <c r="E4214" i="16"/>
  <c r="F4214" i="16"/>
  <c r="G4214" i="16"/>
  <c r="I4214" i="16"/>
  <c r="K4214" i="16"/>
  <c r="L4214" i="16"/>
  <c r="B4215" i="16"/>
  <c r="D4213" i="16"/>
  <c r="J4213" i="16"/>
  <c r="D4159" i="16"/>
  <c r="J4159" i="16"/>
  <c r="N4159" i="16" s="1"/>
  <c r="M4159" i="16"/>
  <c r="E4160" i="16"/>
  <c r="G4160" i="16"/>
  <c r="L4160" i="16"/>
  <c r="B4161" i="16"/>
  <c r="C4160" i="16"/>
  <c r="I4160" i="16"/>
  <c r="C4106" i="16"/>
  <c r="E4106" i="16"/>
  <c r="G4106" i="16"/>
  <c r="I4106" i="16"/>
  <c r="B4107" i="16"/>
  <c r="L4106" i="16"/>
  <c r="D4105" i="16"/>
  <c r="J4105" i="16"/>
  <c r="N4105" i="16" s="1"/>
  <c r="M4105" i="16"/>
  <c r="D4051" i="16"/>
  <c r="J4051" i="16"/>
  <c r="N4051" i="16" s="1"/>
  <c r="C4052" i="16"/>
  <c r="F4052" i="16" s="1"/>
  <c r="E4052" i="16"/>
  <c r="G4052" i="16"/>
  <c r="I4052" i="16"/>
  <c r="B4053" i="16"/>
  <c r="C3752" i="16"/>
  <c r="E3752" i="16"/>
  <c r="G3752" i="16"/>
  <c r="I3752" i="16"/>
  <c r="B3753" i="16"/>
  <c r="D3751" i="16"/>
  <c r="J3751" i="16"/>
  <c r="I3698" i="16"/>
  <c r="B3699" i="16"/>
  <c r="C3698" i="16"/>
  <c r="K3698" i="16" s="1"/>
  <c r="E3698" i="16"/>
  <c r="F3698" i="16"/>
  <c r="G3698" i="16"/>
  <c r="D3697" i="16"/>
  <c r="J3697" i="16"/>
  <c r="C3644" i="16"/>
  <c r="K3644" i="16" s="1"/>
  <c r="E3644" i="16"/>
  <c r="F3644" i="16"/>
  <c r="G3644" i="16"/>
  <c r="I3644" i="16"/>
  <c r="B3645" i="16"/>
  <c r="D3643" i="16"/>
  <c r="J3643" i="16"/>
  <c r="D3589" i="16"/>
  <c r="J3589" i="16"/>
  <c r="C3590" i="16"/>
  <c r="E3590" i="16"/>
  <c r="G3590" i="16"/>
  <c r="I3590" i="16"/>
  <c r="B3591" i="16"/>
  <c r="C3536" i="16"/>
  <c r="E3536" i="16"/>
  <c r="G3536" i="16"/>
  <c r="I3536" i="16"/>
  <c r="B3537" i="16"/>
  <c r="D3535" i="16"/>
  <c r="J3535" i="16"/>
  <c r="C3482" i="16"/>
  <c r="E3482" i="16"/>
  <c r="G3482" i="16"/>
  <c r="B3483" i="16"/>
  <c r="I3482" i="16"/>
  <c r="D3481" i="16"/>
  <c r="J3481" i="16"/>
  <c r="Z67" i="16"/>
  <c r="C3428" i="16"/>
  <c r="E3428" i="16"/>
  <c r="G3428" i="16"/>
  <c r="I3428" i="16"/>
  <c r="B3429" i="16"/>
  <c r="D3427" i="16"/>
  <c r="J3427" i="16"/>
  <c r="C3374" i="16"/>
  <c r="K3374" i="16" s="1"/>
  <c r="E3374" i="16"/>
  <c r="F3374" i="16"/>
  <c r="O3374" i="16" s="1"/>
  <c r="G3374" i="16"/>
  <c r="I3374" i="16"/>
  <c r="B3375" i="16"/>
  <c r="D3373" i="16"/>
  <c r="J3373" i="16"/>
  <c r="D3319" i="16"/>
  <c r="J3319" i="16"/>
  <c r="C3320" i="16"/>
  <c r="E3320" i="16"/>
  <c r="G3320" i="16"/>
  <c r="I3320" i="16"/>
  <c r="B3321" i="16"/>
  <c r="C3266" i="16"/>
  <c r="E3266" i="16"/>
  <c r="G3266" i="16"/>
  <c r="I3266" i="16"/>
  <c r="B3267" i="16"/>
  <c r="D3265" i="16"/>
  <c r="J3265" i="16"/>
  <c r="C3212" i="16"/>
  <c r="K3212" i="16" s="1"/>
  <c r="E3212" i="16"/>
  <c r="F3212" i="16"/>
  <c r="O3212" i="16" s="1"/>
  <c r="G3212" i="16"/>
  <c r="I3212" i="16"/>
  <c r="B3213" i="16"/>
  <c r="L3213" i="16" s="1"/>
  <c r="D3211" i="16"/>
  <c r="J3211" i="16"/>
  <c r="D3157" i="16"/>
  <c r="J3157" i="16"/>
  <c r="C3158" i="16"/>
  <c r="K3158" i="16" s="1"/>
  <c r="E3158" i="16"/>
  <c r="F3158" i="16"/>
  <c r="O3158" i="16" s="1"/>
  <c r="G3158" i="16"/>
  <c r="I3158" i="16"/>
  <c r="B3159" i="16"/>
  <c r="L3159" i="16" s="1"/>
  <c r="G3104" i="16"/>
  <c r="I3104" i="16"/>
  <c r="E3104" i="16"/>
  <c r="B3105" i="16"/>
  <c r="C3104" i="16"/>
  <c r="F3104" i="16"/>
  <c r="O3104" i="16" s="1"/>
  <c r="J3103" i="16"/>
  <c r="N3103" i="16" s="1"/>
  <c r="D3103" i="16"/>
  <c r="Z60" i="16"/>
  <c r="M3103" i="16"/>
  <c r="D3049" i="16"/>
  <c r="J3049" i="16"/>
  <c r="N3049" i="16" s="1"/>
  <c r="I3050" i="16"/>
  <c r="C3050" i="16"/>
  <c r="F3050" i="16" s="1"/>
  <c r="E3050" i="16"/>
  <c r="G3050" i="16"/>
  <c r="B3051" i="16"/>
  <c r="J3047" i="16"/>
  <c r="E3047" i="16"/>
  <c r="Z59" i="16"/>
  <c r="M3049" i="16"/>
  <c r="I2996" i="16"/>
  <c r="B2997" i="16"/>
  <c r="C2996" i="16"/>
  <c r="F2996" i="16" s="1"/>
  <c r="E2996" i="16"/>
  <c r="G2996" i="16"/>
  <c r="J2995" i="16"/>
  <c r="N2995" i="16" s="1"/>
  <c r="D2995" i="16"/>
  <c r="Z58" i="16"/>
  <c r="M2995" i="16"/>
  <c r="C2942" i="16"/>
  <c r="E2942" i="16"/>
  <c r="G2942" i="16"/>
  <c r="I2942" i="16"/>
  <c r="B2943" i="16"/>
  <c r="D2941" i="16"/>
  <c r="J2941" i="16"/>
  <c r="D2887" i="16"/>
  <c r="J2887" i="16"/>
  <c r="N2887" i="16" s="1"/>
  <c r="C2888" i="16"/>
  <c r="F2888" i="16" s="1"/>
  <c r="O2888" i="16" s="1"/>
  <c r="E2888" i="16"/>
  <c r="G2888" i="16"/>
  <c r="I2888" i="16"/>
  <c r="B2889" i="16"/>
  <c r="M2887" i="16"/>
  <c r="Z56" i="16"/>
  <c r="G2834" i="16"/>
  <c r="E2834" i="16"/>
  <c r="I2834" i="16"/>
  <c r="B2835" i="16"/>
  <c r="C2834" i="16"/>
  <c r="F2834" i="16" s="1"/>
  <c r="O2834" i="16" s="1"/>
  <c r="D2833" i="16"/>
  <c r="J2833" i="16"/>
  <c r="N2833" i="16" s="1"/>
  <c r="Z55" i="16"/>
  <c r="M2833" i="16"/>
  <c r="J2779" i="16"/>
  <c r="N2779" i="16" s="1"/>
  <c r="S2779" i="16" s="1"/>
  <c r="T2779" i="16" s="1"/>
  <c r="U2779" i="16" s="1"/>
  <c r="D2779" i="16"/>
  <c r="C2780" i="16"/>
  <c r="F2780" i="16" s="1"/>
  <c r="O2780" i="16" s="1"/>
  <c r="E2780" i="16"/>
  <c r="G2780" i="16"/>
  <c r="B2781" i="16"/>
  <c r="I2780" i="16"/>
  <c r="M2779" i="16"/>
  <c r="Z54" i="16"/>
  <c r="D2725" i="16"/>
  <c r="J2725" i="16"/>
  <c r="N2725" i="16" s="1"/>
  <c r="G2726" i="16"/>
  <c r="B2727" i="16"/>
  <c r="E2726" i="16"/>
  <c r="C2726" i="16"/>
  <c r="F2726" i="16" s="1"/>
  <c r="I2726" i="16"/>
  <c r="M2725" i="16"/>
  <c r="Z53" i="16"/>
  <c r="D2671" i="16"/>
  <c r="J2671" i="16"/>
  <c r="N2671" i="16" s="1"/>
  <c r="E2672" i="16"/>
  <c r="I2672" i="16"/>
  <c r="B2673" i="16"/>
  <c r="C2672" i="16"/>
  <c r="G2672" i="16"/>
  <c r="F2672" i="16"/>
  <c r="M2671" i="16"/>
  <c r="Z52" i="16"/>
  <c r="J2617" i="16"/>
  <c r="D2617" i="16"/>
  <c r="C2618" i="16"/>
  <c r="E2618" i="16"/>
  <c r="G2618" i="16"/>
  <c r="B2619" i="16"/>
  <c r="I2618" i="16"/>
  <c r="Z51" i="16"/>
  <c r="D2563" i="16"/>
  <c r="J2563" i="16"/>
  <c r="N2563" i="16" s="1"/>
  <c r="E2564" i="16"/>
  <c r="G2564" i="16"/>
  <c r="I2564" i="16"/>
  <c r="C2564" i="16"/>
  <c r="F2564" i="16" s="1"/>
  <c r="O2564" i="16" s="1"/>
  <c r="B2565" i="16"/>
  <c r="Z50" i="16"/>
  <c r="M2563" i="16"/>
  <c r="D2509" i="16"/>
  <c r="J2509" i="16"/>
  <c r="C2510" i="16"/>
  <c r="K2510" i="16" s="1"/>
  <c r="E2510" i="16"/>
  <c r="F2510" i="16"/>
  <c r="O2510" i="16" s="1"/>
  <c r="G2510" i="16"/>
  <c r="I2510" i="16"/>
  <c r="B2511" i="16"/>
  <c r="L2511" i="16" s="1"/>
  <c r="D2455" i="16"/>
  <c r="J2455" i="16"/>
  <c r="C2456" i="16"/>
  <c r="E2456" i="16"/>
  <c r="F2456" i="16"/>
  <c r="O2456" i="16" s="1"/>
  <c r="G2456" i="16"/>
  <c r="I2456" i="16"/>
  <c r="B2457" i="16"/>
  <c r="M2455" i="16"/>
  <c r="N2455" i="16"/>
  <c r="Z48" i="16"/>
  <c r="D2401" i="16"/>
  <c r="J2401" i="16"/>
  <c r="N2401" i="16" s="1"/>
  <c r="C2402" i="16"/>
  <c r="F2402" i="16" s="1"/>
  <c r="O2402" i="16" s="1"/>
  <c r="E2402" i="16"/>
  <c r="G2402" i="16"/>
  <c r="I2402" i="16"/>
  <c r="B2403" i="16"/>
  <c r="Z47" i="16"/>
  <c r="M2401" i="16"/>
  <c r="D2347" i="16"/>
  <c r="J2347" i="16"/>
  <c r="N2347" i="16" s="1"/>
  <c r="E2348" i="16"/>
  <c r="B2349" i="16"/>
  <c r="C2348" i="16"/>
  <c r="F2348" i="16" s="1"/>
  <c r="O2348" i="16" s="1"/>
  <c r="I2348" i="16"/>
  <c r="G2348" i="16"/>
  <c r="M2347" i="16"/>
  <c r="Z46" i="16"/>
  <c r="D2293" i="16"/>
  <c r="J2293" i="16"/>
  <c r="C2294" i="16"/>
  <c r="E2294" i="16"/>
  <c r="G2294" i="16"/>
  <c r="I2294" i="16"/>
  <c r="B2295" i="16"/>
  <c r="D2239" i="16"/>
  <c r="J2239" i="16"/>
  <c r="C2240" i="16"/>
  <c r="E2240" i="16"/>
  <c r="G2240" i="16"/>
  <c r="I2240" i="16"/>
  <c r="B2241" i="16"/>
  <c r="C2186" i="16"/>
  <c r="F2186" i="16" s="1"/>
  <c r="O2186" i="16" s="1"/>
  <c r="E2186" i="16"/>
  <c r="G2186" i="16"/>
  <c r="I2186" i="16"/>
  <c r="B2187" i="16"/>
  <c r="D2185" i="16"/>
  <c r="J2185" i="16"/>
  <c r="N2185" i="16" s="1"/>
  <c r="Z43" i="16"/>
  <c r="M2185" i="16"/>
  <c r="C2132" i="16"/>
  <c r="F2132" i="16" s="1"/>
  <c r="O2132" i="16" s="1"/>
  <c r="E2132" i="16"/>
  <c r="G2132" i="16"/>
  <c r="I2132" i="16"/>
  <c r="B2133" i="16"/>
  <c r="D2131" i="16"/>
  <c r="J2131" i="16"/>
  <c r="N2131" i="16" s="1"/>
  <c r="M2131" i="16"/>
  <c r="Z42" i="16"/>
  <c r="D2077" i="16"/>
  <c r="J2077" i="16"/>
  <c r="C2078" i="16"/>
  <c r="E2078" i="16"/>
  <c r="G2078" i="16"/>
  <c r="I2078" i="16"/>
  <c r="B2079" i="16"/>
  <c r="C2024" i="16"/>
  <c r="F2024" i="16" s="1"/>
  <c r="O2024" i="16" s="1"/>
  <c r="E2024" i="16"/>
  <c r="G2024" i="16"/>
  <c r="I2024" i="16"/>
  <c r="B2025" i="16"/>
  <c r="D2023" i="16"/>
  <c r="J2023" i="16"/>
  <c r="N2023" i="16" s="1"/>
  <c r="M2023" i="16"/>
  <c r="C1970" i="16"/>
  <c r="F1970" i="16" s="1"/>
  <c r="E1970" i="16"/>
  <c r="G1970" i="16"/>
  <c r="I1970" i="16"/>
  <c r="B1971" i="16"/>
  <c r="D1969" i="16"/>
  <c r="J1969" i="16"/>
  <c r="N1969" i="16" s="1"/>
  <c r="Z39" i="16"/>
  <c r="M1969" i="16"/>
  <c r="C1916" i="16"/>
  <c r="F1916" i="16" s="1"/>
  <c r="E1916" i="16"/>
  <c r="G1916" i="16"/>
  <c r="I1916" i="16"/>
  <c r="B1917" i="16"/>
  <c r="D1915" i="16"/>
  <c r="J1915" i="16"/>
  <c r="Z38" i="16"/>
  <c r="M1915" i="16"/>
  <c r="N1915" i="16"/>
  <c r="C1862" i="16"/>
  <c r="K1862" i="16" s="1"/>
  <c r="E1862" i="16"/>
  <c r="F1862" i="16"/>
  <c r="G1862" i="16"/>
  <c r="I1862" i="16"/>
  <c r="B1863" i="16"/>
  <c r="D1861" i="16"/>
  <c r="J1861" i="16"/>
  <c r="C1808" i="16"/>
  <c r="K1808" i="16" s="1"/>
  <c r="E1808" i="16"/>
  <c r="F1808" i="16"/>
  <c r="O1808" i="16" s="1"/>
  <c r="G1808" i="16"/>
  <c r="I1808" i="16"/>
  <c r="B1809" i="16"/>
  <c r="D1807" i="16"/>
  <c r="J1807" i="16"/>
  <c r="C1754" i="16"/>
  <c r="E1754" i="16"/>
  <c r="F1754" i="16"/>
  <c r="O1754" i="16" s="1"/>
  <c r="G1754" i="16"/>
  <c r="I1754" i="16"/>
  <c r="B1755" i="16"/>
  <c r="D1753" i="16"/>
  <c r="J1753" i="16"/>
  <c r="Z35" i="16"/>
  <c r="M1753" i="16"/>
  <c r="N1753" i="16"/>
  <c r="D1699" i="16"/>
  <c r="J1699" i="16"/>
  <c r="C1700" i="16"/>
  <c r="E1700" i="16"/>
  <c r="F1700" i="16"/>
  <c r="O1700" i="16" s="1"/>
  <c r="G1700" i="16"/>
  <c r="I1700" i="16"/>
  <c r="B1701" i="16"/>
  <c r="Z34" i="16"/>
  <c r="M1699" i="16"/>
  <c r="N1699" i="16"/>
  <c r="D1645" i="16"/>
  <c r="J1645" i="16"/>
  <c r="C1646" i="16"/>
  <c r="E1646" i="16"/>
  <c r="G1646" i="16"/>
  <c r="I1646" i="16"/>
  <c r="B1647" i="16"/>
  <c r="D1591" i="16"/>
  <c r="J1591" i="16"/>
  <c r="N1591" i="16" s="1"/>
  <c r="C1592" i="16"/>
  <c r="F1592" i="16" s="1"/>
  <c r="O1592" i="16" s="1"/>
  <c r="E1592" i="16"/>
  <c r="G1592" i="16"/>
  <c r="I1592" i="16"/>
  <c r="B1593" i="16"/>
  <c r="M1591" i="16"/>
  <c r="C1538" i="16"/>
  <c r="F1538" i="16" s="1"/>
  <c r="E1538" i="16"/>
  <c r="G1538" i="16"/>
  <c r="I1538" i="16"/>
  <c r="B1539" i="16"/>
  <c r="D1537" i="16"/>
  <c r="J1537" i="16"/>
  <c r="N1537" i="16" s="1"/>
  <c r="M1537" i="16"/>
  <c r="Z31" i="16"/>
  <c r="J1483" i="16"/>
  <c r="N1483" i="16" s="1"/>
  <c r="D1483" i="16"/>
  <c r="E1484" i="16"/>
  <c r="B1485" i="16"/>
  <c r="C1484" i="16"/>
  <c r="F1484" i="16" s="1"/>
  <c r="G1484" i="16"/>
  <c r="I1484" i="16"/>
  <c r="Z30" i="16"/>
  <c r="M1483" i="16"/>
  <c r="D1429" i="16"/>
  <c r="J1429" i="16"/>
  <c r="N1429" i="16" s="1"/>
  <c r="C1430" i="16"/>
  <c r="F1430" i="16" s="1"/>
  <c r="O1430" i="16" s="1"/>
  <c r="E1430" i="16"/>
  <c r="G1430" i="16"/>
  <c r="I1430" i="16"/>
  <c r="B1431" i="16"/>
  <c r="Z29" i="16"/>
  <c r="M1429" i="16"/>
  <c r="J1375" i="16"/>
  <c r="N1375" i="16" s="1"/>
  <c r="D1375" i="16"/>
  <c r="G1376" i="16"/>
  <c r="I1376" i="16"/>
  <c r="E1376" i="16"/>
  <c r="B1377" i="16"/>
  <c r="C1376" i="16"/>
  <c r="F1376" i="16" s="1"/>
  <c r="O1376" i="16" s="1"/>
  <c r="M1375" i="16"/>
  <c r="Z28" i="16"/>
  <c r="G1322" i="16"/>
  <c r="C1322" i="16"/>
  <c r="F1322" i="16" s="1"/>
  <c r="O1322" i="16" s="1"/>
  <c r="E1322" i="16"/>
  <c r="B1323" i="16"/>
  <c r="I1322" i="16"/>
  <c r="J1321" i="16"/>
  <c r="N1321" i="16" s="1"/>
  <c r="D1321" i="16"/>
  <c r="Z27" i="16"/>
  <c r="M1321" i="16"/>
  <c r="D1267" i="16"/>
  <c r="J1267" i="16"/>
  <c r="N1267" i="16" s="1"/>
  <c r="B1269" i="16"/>
  <c r="G1268" i="16"/>
  <c r="I1268" i="16"/>
  <c r="E1268" i="16"/>
  <c r="C1268" i="16"/>
  <c r="F1268" i="16" s="1"/>
  <c r="O1268" i="16" s="1"/>
  <c r="Z26" i="16"/>
  <c r="M1267" i="16"/>
  <c r="C1214" i="16"/>
  <c r="F1214" i="16" s="1"/>
  <c r="O1214" i="16" s="1"/>
  <c r="E1214" i="16"/>
  <c r="G1214" i="16"/>
  <c r="I1214" i="16"/>
  <c r="B1215" i="16"/>
  <c r="D1213" i="16"/>
  <c r="J1213" i="16"/>
  <c r="M1213" i="16"/>
  <c r="N1213" i="16"/>
  <c r="C1160" i="16"/>
  <c r="E1160" i="16"/>
  <c r="F1160" i="16"/>
  <c r="G1160" i="16"/>
  <c r="I1160" i="16"/>
  <c r="B1161" i="16"/>
  <c r="D1159" i="16"/>
  <c r="J1159" i="16"/>
  <c r="Z24" i="16"/>
  <c r="M1159" i="16"/>
  <c r="N1159" i="16"/>
  <c r="D1105" i="16"/>
  <c r="J1105" i="16"/>
  <c r="C1106" i="16"/>
  <c r="E1106" i="16"/>
  <c r="F1106" i="16"/>
  <c r="G1106" i="16"/>
  <c r="I1106" i="16"/>
  <c r="B1107" i="16"/>
  <c r="Z23" i="16"/>
  <c r="M1105" i="16"/>
  <c r="N1105" i="16"/>
  <c r="C1052" i="16"/>
  <c r="E1052" i="16"/>
  <c r="F1052" i="16"/>
  <c r="O1052" i="16" s="1"/>
  <c r="G1052" i="16"/>
  <c r="I1052" i="16"/>
  <c r="B1053" i="16"/>
  <c r="D1051" i="16"/>
  <c r="J1051" i="16"/>
  <c r="M1051" i="16"/>
  <c r="N1051" i="16"/>
  <c r="Z22" i="16"/>
  <c r="J997" i="16"/>
  <c r="D997" i="16"/>
  <c r="B999" i="16"/>
  <c r="G998" i="16"/>
  <c r="C998" i="16"/>
  <c r="F998" i="16" s="1"/>
  <c r="O998" i="16" s="1"/>
  <c r="E998" i="16"/>
  <c r="I998" i="16"/>
  <c r="Z21" i="16"/>
  <c r="N997" i="16"/>
  <c r="M997" i="16"/>
  <c r="D943" i="16"/>
  <c r="J943" i="16"/>
  <c r="C944" i="16"/>
  <c r="K944" i="16" s="1"/>
  <c r="E944" i="16"/>
  <c r="F944" i="16"/>
  <c r="O944" i="16" s="1"/>
  <c r="G944" i="16"/>
  <c r="I944" i="16"/>
  <c r="B945" i="16"/>
  <c r="D889" i="16"/>
  <c r="J889" i="16"/>
  <c r="C890" i="16"/>
  <c r="E890" i="16"/>
  <c r="G890" i="16"/>
  <c r="I890" i="16"/>
  <c r="B891" i="16"/>
  <c r="D835" i="16"/>
  <c r="J835" i="16"/>
  <c r="C836" i="16"/>
  <c r="E836" i="16"/>
  <c r="G836" i="16"/>
  <c r="I836" i="16"/>
  <c r="B837" i="16"/>
  <c r="C782" i="16"/>
  <c r="E782" i="16"/>
  <c r="F782" i="16"/>
  <c r="O782" i="16" s="1"/>
  <c r="G782" i="16"/>
  <c r="I782" i="16"/>
  <c r="B783" i="16"/>
  <c r="D781" i="16"/>
  <c r="J781" i="16"/>
  <c r="N781" i="16" s="1"/>
  <c r="M781" i="16"/>
  <c r="Z17" i="16"/>
  <c r="D727" i="16"/>
  <c r="J727" i="16"/>
  <c r="C728" i="16"/>
  <c r="E728" i="16"/>
  <c r="G728" i="16"/>
  <c r="I728" i="16"/>
  <c r="B729" i="16"/>
  <c r="C674" i="16"/>
  <c r="E674" i="16"/>
  <c r="G674" i="16"/>
  <c r="I674" i="16"/>
  <c r="B675" i="16"/>
  <c r="D673" i="16"/>
  <c r="J673" i="16"/>
  <c r="D619" i="16"/>
  <c r="J619" i="16"/>
  <c r="C620" i="16"/>
  <c r="K620" i="16" s="1"/>
  <c r="E620" i="16"/>
  <c r="F620" i="16"/>
  <c r="O620" i="16" s="1"/>
  <c r="G620" i="16"/>
  <c r="I620" i="16"/>
  <c r="B621" i="16"/>
  <c r="Z14" i="16"/>
  <c r="D565" i="16"/>
  <c r="J565" i="16"/>
  <c r="N565" i="16" s="1"/>
  <c r="I566" i="16"/>
  <c r="C566" i="16"/>
  <c r="F566" i="16" s="1"/>
  <c r="O566" i="16" s="1"/>
  <c r="E566" i="16"/>
  <c r="G566" i="16"/>
  <c r="B567" i="16"/>
  <c r="M565" i="16"/>
  <c r="Z13" i="16"/>
  <c r="C512" i="16"/>
  <c r="E512" i="16"/>
  <c r="G512" i="16"/>
  <c r="I512" i="16"/>
  <c r="B513" i="16"/>
  <c r="D511" i="16"/>
  <c r="J511" i="16"/>
  <c r="C458" i="16"/>
  <c r="E458" i="16"/>
  <c r="G458" i="16"/>
  <c r="I458" i="16"/>
  <c r="B459" i="16"/>
  <c r="D457" i="16"/>
  <c r="J457" i="16"/>
  <c r="C404" i="16"/>
  <c r="E404" i="16"/>
  <c r="G404" i="16"/>
  <c r="I404" i="16"/>
  <c r="B405" i="16"/>
  <c r="D403" i="16"/>
  <c r="J403" i="16"/>
  <c r="D349" i="16"/>
  <c r="J349" i="16"/>
  <c r="N349" i="16" s="1"/>
  <c r="C350" i="16"/>
  <c r="F350" i="16" s="1"/>
  <c r="E350" i="16"/>
  <c r="G350" i="16"/>
  <c r="I350" i="16"/>
  <c r="B351" i="16"/>
  <c r="J347" i="16"/>
  <c r="I347" i="16"/>
  <c r="O349" i="16" s="1"/>
  <c r="M349" i="16"/>
  <c r="Z9" i="16"/>
  <c r="D295" i="16"/>
  <c r="J295" i="16"/>
  <c r="C296" i="16"/>
  <c r="E296" i="16"/>
  <c r="G296" i="16"/>
  <c r="I296" i="16"/>
  <c r="B297" i="16"/>
  <c r="D241" i="16"/>
  <c r="J241" i="16"/>
  <c r="N241" i="16" s="1"/>
  <c r="C242" i="16"/>
  <c r="F242" i="16" s="1"/>
  <c r="E242" i="16"/>
  <c r="G242" i="16"/>
  <c r="I242" i="16"/>
  <c r="B243" i="16"/>
  <c r="M241" i="16"/>
  <c r="J187" i="16"/>
  <c r="N187" i="16" s="1"/>
  <c r="D187" i="16"/>
  <c r="G188" i="16"/>
  <c r="B189" i="16"/>
  <c r="I188" i="16"/>
  <c r="C188" i="16"/>
  <c r="F188" i="16" s="1"/>
  <c r="E188" i="16"/>
  <c r="M187" i="16"/>
  <c r="Z6" i="16"/>
  <c r="I134" i="16"/>
  <c r="B135" i="16"/>
  <c r="C134" i="16"/>
  <c r="F134" i="16" s="1"/>
  <c r="O134" i="16" s="1"/>
  <c r="E134" i="16"/>
  <c r="G134" i="16"/>
  <c r="D133" i="16"/>
  <c r="J133" i="16"/>
  <c r="N133" i="16" s="1"/>
  <c r="M133" i="16"/>
  <c r="Z5" i="16"/>
  <c r="C80" i="16"/>
  <c r="E80" i="16"/>
  <c r="G80" i="16"/>
  <c r="I80" i="16"/>
  <c r="B81" i="16"/>
  <c r="D79" i="16"/>
  <c r="J79" i="16"/>
  <c r="AA11" i="9"/>
  <c r="AC11" i="9"/>
  <c r="AA10" i="9"/>
  <c r="AC10" i="9"/>
  <c r="AA9" i="9"/>
  <c r="AC9" i="9"/>
  <c r="AA8" i="9"/>
  <c r="AC8" i="9"/>
  <c r="AA31" i="9"/>
  <c r="AC31" i="9"/>
  <c r="AC30" i="9"/>
  <c r="AA30" i="9"/>
  <c r="AC29" i="9"/>
  <c r="AA29" i="9"/>
  <c r="AA28" i="9"/>
  <c r="AC28" i="9"/>
  <c r="AA27" i="9"/>
  <c r="AC27" i="9"/>
  <c r="AA26" i="9"/>
  <c r="AC26" i="9"/>
  <c r="AA25" i="9"/>
  <c r="AC25" i="9"/>
  <c r="AA24" i="9"/>
  <c r="AC24" i="9"/>
  <c r="AA23" i="9"/>
  <c r="AC23" i="9"/>
  <c r="AA22" i="9"/>
  <c r="AC22" i="9"/>
  <c r="AA21" i="9"/>
  <c r="AC21" i="9"/>
  <c r="AA20" i="9"/>
  <c r="AC20" i="9"/>
  <c r="AA19" i="9"/>
  <c r="AC19" i="9"/>
  <c r="AA18" i="9"/>
  <c r="AC18" i="9"/>
  <c r="AA17" i="9"/>
  <c r="AC17" i="9"/>
  <c r="AA16" i="9"/>
  <c r="AC16" i="9"/>
  <c r="AA15" i="9"/>
  <c r="AC15" i="9"/>
  <c r="AA14" i="9"/>
  <c r="AC14" i="9"/>
  <c r="AA13" i="9"/>
  <c r="AC13" i="9"/>
  <c r="AA12" i="9"/>
  <c r="AC12" i="9"/>
  <c r="D17" i="4"/>
  <c r="J17" i="4"/>
  <c r="C18" i="4"/>
  <c r="E18" i="4"/>
  <c r="G18" i="4"/>
  <c r="W18" i="4" s="1"/>
  <c r="I18" i="4"/>
  <c r="B19" i="4"/>
  <c r="B18" i="5"/>
  <c r="X16" i="4"/>
  <c r="B65" i="7"/>
  <c r="I65" i="7" s="1"/>
  <c r="X15" i="4"/>
  <c r="W17" i="4"/>
  <c r="H4105" i="16"/>
  <c r="H4113" i="16"/>
  <c r="H4115" i="16"/>
  <c r="H4119" i="16"/>
  <c r="H4121" i="16"/>
  <c r="H4124" i="16"/>
  <c r="H4125" i="16"/>
  <c r="H4136" i="16"/>
  <c r="H4137" i="16"/>
  <c r="H4141" i="16"/>
  <c r="H4144" i="16"/>
  <c r="H4145" i="16"/>
  <c r="H4146" i="16"/>
  <c r="H4147" i="16"/>
  <c r="H4148" i="16"/>
  <c r="H4149" i="16"/>
  <c r="H4161" i="16"/>
  <c r="H4163" i="16"/>
  <c r="H4164" i="16"/>
  <c r="H4167" i="16"/>
  <c r="H4169" i="16"/>
  <c r="H4175" i="16"/>
  <c r="H4176" i="16"/>
  <c r="H4181" i="16"/>
  <c r="H4514" i="16"/>
  <c r="H4520" i="16"/>
  <c r="H4521" i="16"/>
  <c r="H4525" i="16"/>
  <c r="H4527" i="16"/>
  <c r="H4533" i="16"/>
  <c r="H4536" i="16"/>
  <c r="H4539" i="16"/>
  <c r="H4542" i="16"/>
  <c r="H4543" i="16"/>
  <c r="H4545" i="16"/>
  <c r="H4571" i="16"/>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12" i="16"/>
  <c r="H4116" i="16"/>
  <c r="H4122" i="16"/>
  <c r="H4123" i="16"/>
  <c r="H4129" i="16"/>
  <c r="H4139" i="16"/>
  <c r="H4142" i="16"/>
  <c r="H4150" i="16"/>
  <c r="H4162" i="16"/>
  <c r="H4171" i="16"/>
  <c r="H4182" i="16"/>
  <c r="H4184" i="16"/>
  <c r="H4188" i="16"/>
  <c r="H4190" i="16"/>
  <c r="H4191" i="16"/>
  <c r="H4192" i="16"/>
  <c r="H4193" i="16"/>
  <c r="H4194" i="16"/>
  <c r="H4195" i="16"/>
  <c r="H4196" i="16"/>
  <c r="H4197" i="16"/>
  <c r="H4198" i="16"/>
  <c r="H4199" i="16"/>
  <c r="H4200" i="16"/>
  <c r="H4201" i="16"/>
  <c r="H4202" i="16"/>
  <c r="H4203" i="16"/>
  <c r="H4204" i="16"/>
  <c r="H4205" i="16"/>
  <c r="H4206" i="16"/>
  <c r="H4213" i="16"/>
  <c r="H4214" i="16"/>
  <c r="H4215" i="16"/>
  <c r="H4216" i="16"/>
  <c r="H4217" i="16"/>
  <c r="H4218" i="16"/>
  <c r="H4219" i="16"/>
  <c r="H4220" i="16"/>
  <c r="H4221" i="16"/>
  <c r="H4222" i="16"/>
  <c r="H4223" i="16"/>
  <c r="H4224" i="16"/>
  <c r="H4225" i="16"/>
  <c r="H4226" i="16"/>
  <c r="H4227" i="16"/>
  <c r="H4228" i="16"/>
  <c r="H4229" i="16"/>
  <c r="H4230" i="16"/>
  <c r="H4231" i="16"/>
  <c r="H4232" i="16"/>
  <c r="H4233" i="16"/>
  <c r="H4234" i="16"/>
  <c r="H4235" i="16"/>
  <c r="H4236" i="16"/>
  <c r="H4237" i="16"/>
  <c r="H4238" i="16"/>
  <c r="H4239" i="16"/>
  <c r="H4240" i="16"/>
  <c r="H4241" i="16"/>
  <c r="H4242" i="16"/>
  <c r="H4243" i="16"/>
  <c r="H4244" i="16"/>
  <c r="H4245" i="16"/>
  <c r="H4246" i="16"/>
  <c r="H4247" i="16"/>
  <c r="H4248" i="16"/>
  <c r="H4249" i="16"/>
  <c r="H4250" i="16"/>
  <c r="H4106" i="16"/>
  <c r="H4109" i="16"/>
  <c r="H4110" i="16"/>
  <c r="H4111" i="16"/>
  <c r="H4114" i="16"/>
  <c r="H4118" i="16"/>
  <c r="H4120" i="16"/>
  <c r="H4127" i="16"/>
  <c r="H4130" i="16"/>
  <c r="H4132" i="16"/>
  <c r="H4134" i="16"/>
  <c r="H4143" i="16"/>
  <c r="H4165" i="16"/>
  <c r="H4166" i="16"/>
  <c r="H4168" i="16"/>
  <c r="H4170" i="16"/>
  <c r="H4172" i="16"/>
  <c r="H4178" i="16"/>
  <c r="H4179" i="16"/>
  <c r="H4180" i="16"/>
  <c r="H4183" i="16"/>
  <c r="H4186" i="16"/>
  <c r="H4515" i="16"/>
  <c r="H4517" i="16"/>
  <c r="H4518" i="16"/>
  <c r="H4519" i="16"/>
  <c r="H4522" i="16"/>
  <c r="H4523" i="16"/>
  <c r="H4529" i="16"/>
  <c r="H4530" i="16"/>
  <c r="H4534" i="16"/>
  <c r="H4535" i="16"/>
  <c r="H4538" i="16"/>
  <c r="H4541" i="16"/>
  <c r="H4548" i="16"/>
  <c r="H4560"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H4632" i="16"/>
  <c r="H4633" i="16"/>
  <c r="H4634" i="16"/>
  <c r="H4635" i="16"/>
  <c r="H4636" i="16"/>
  <c r="H4637" i="16"/>
  <c r="H4638" i="16"/>
  <c r="H4639" i="16"/>
  <c r="H4640" i="16"/>
  <c r="H4641" i="16"/>
  <c r="H4642" i="16"/>
  <c r="H4643" i="16"/>
  <c r="H4644" i="16"/>
  <c r="H4645" i="16"/>
  <c r="H4646" i="16"/>
  <c r="H4647" i="16"/>
  <c r="H4648" i="16"/>
  <c r="H4649" i="16"/>
  <c r="H4650" i="16"/>
  <c r="H4651" i="16"/>
  <c r="H4652" i="16"/>
  <c r="H4653" i="16"/>
  <c r="H4654" i="16"/>
  <c r="H4655" i="16"/>
  <c r="H4656" i="16"/>
  <c r="H4657" i="16"/>
  <c r="H4658" i="16"/>
  <c r="H4659" i="16"/>
  <c r="H4660" i="16"/>
  <c r="H4661" i="16"/>
  <c r="H4662" i="16"/>
  <c r="H4663" i="16"/>
  <c r="H4664" i="16"/>
  <c r="H4665" i="16"/>
  <c r="H4666" i="16"/>
  <c r="H4667" i="16"/>
  <c r="H4668" i="16"/>
  <c r="H4675" i="16"/>
  <c r="H4676" i="16"/>
  <c r="H4677" i="16"/>
  <c r="H4678" i="16"/>
  <c r="H4679" i="16"/>
  <c r="H4680" i="16"/>
  <c r="H4681" i="16"/>
  <c r="H4682" i="16"/>
  <c r="H4683" i="16"/>
  <c r="H4684" i="16"/>
  <c r="H4685" i="16"/>
  <c r="H4686" i="16"/>
  <c r="H4687" i="16"/>
  <c r="H4688" i="16"/>
  <c r="H4689" i="16"/>
  <c r="H4098" i="16"/>
  <c r="H4107" i="16"/>
  <c r="H4108" i="16"/>
  <c r="H4117" i="16"/>
  <c r="H4126" i="16"/>
  <c r="H4128" i="16"/>
  <c r="H4131" i="16"/>
  <c r="H4133" i="16"/>
  <c r="H4135" i="16"/>
  <c r="H4138" i="16"/>
  <c r="H4140" i="16"/>
  <c r="H4151" i="16"/>
  <c r="H4152" i="16"/>
  <c r="H4159" i="16"/>
  <c r="H4160" i="16"/>
  <c r="H4173" i="16"/>
  <c r="H4174" i="16"/>
  <c r="H4177" i="16"/>
  <c r="H4185" i="16"/>
  <c r="H4187" i="16"/>
  <c r="H4189" i="16"/>
  <c r="H4513" i="16"/>
  <c r="H4516" i="16"/>
  <c r="H4524" i="16"/>
  <c r="H4526" i="16"/>
  <c r="H4528" i="16"/>
  <c r="H4531" i="16"/>
  <c r="H4532" i="16"/>
  <c r="H4537" i="16"/>
  <c r="H4540" i="16"/>
  <c r="H4544" i="16"/>
  <c r="H4546" i="16"/>
  <c r="H4547" i="16"/>
  <c r="H4549" i="16"/>
  <c r="H4550" i="16"/>
  <c r="H4551" i="16"/>
  <c r="H4552" i="16"/>
  <c r="H4553" i="16"/>
  <c r="H4554" i="16"/>
  <c r="H4555" i="16"/>
  <c r="H4556" i="16"/>
  <c r="H4557" i="16"/>
  <c r="H4558" i="16"/>
  <c r="H4559" i="16"/>
  <c r="H4567" i="16"/>
  <c r="H4568" i="16"/>
  <c r="H4569" i="16"/>
  <c r="H4570"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25" i="16"/>
  <c r="Z72" i="16"/>
  <c r="Z15" i="16"/>
  <c r="E17" i="13"/>
  <c r="Z32" i="16"/>
  <c r="Z7" i="16"/>
  <c r="B4268" i="16"/>
  <c r="C4268" i="16" s="1"/>
  <c r="D4268" i="16"/>
  <c r="C15" i="12"/>
  <c r="D15" i="12" s="1"/>
  <c r="C21" i="12"/>
  <c r="D21" i="12" s="1"/>
  <c r="C14" i="12"/>
  <c r="D14" i="12" s="1"/>
  <c r="C17" i="12"/>
  <c r="D17" i="12" s="1"/>
  <c r="C19" i="12"/>
  <c r="D19" i="12" s="1"/>
  <c r="C16" i="12"/>
  <c r="D16" i="12" s="1"/>
  <c r="C20" i="12"/>
  <c r="D20" i="12" s="1"/>
  <c r="C18" i="12"/>
  <c r="D18" i="12" s="1"/>
  <c r="Z69" i="16"/>
  <c r="Z40" i="16"/>
  <c r="Z44" i="16"/>
  <c r="Z68" i="16"/>
  <c r="E74" i="8"/>
  <c r="I74" i="8"/>
  <c r="J74" i="8"/>
  <c r="K74" i="8"/>
  <c r="L74" i="8"/>
  <c r="K3751" i="16"/>
  <c r="L3751" i="16"/>
  <c r="L3752" i="16"/>
  <c r="A72" i="16"/>
  <c r="E73" i="8"/>
  <c r="I73" i="8"/>
  <c r="J73" i="8"/>
  <c r="K73" i="8"/>
  <c r="L73" i="8"/>
  <c r="K3697" i="16"/>
  <c r="A71" i="16"/>
  <c r="L3697" i="16"/>
  <c r="L3698" i="16"/>
  <c r="B3745" i="16"/>
  <c r="C71" i="16" s="1"/>
  <c r="E72" i="8"/>
  <c r="I72" i="8"/>
  <c r="J72" i="8"/>
  <c r="K72" i="8"/>
  <c r="L72" i="8"/>
  <c r="K3643" i="16"/>
  <c r="L3643" i="16"/>
  <c r="L3644" i="16"/>
  <c r="B3691" i="16"/>
  <c r="C70" i="16" s="1"/>
  <c r="A70" i="16"/>
  <c r="E71" i="8"/>
  <c r="I71" i="8"/>
  <c r="J71" i="8"/>
  <c r="K71" i="8"/>
  <c r="L71" i="8"/>
  <c r="K3589" i="16"/>
  <c r="L3589" i="16"/>
  <c r="L3590" i="16"/>
  <c r="A69" i="16"/>
  <c r="E70" i="8"/>
  <c r="I70" i="8"/>
  <c r="J70" i="8"/>
  <c r="K70" i="8"/>
  <c r="L70" i="8"/>
  <c r="K3535" i="16"/>
  <c r="L3535" i="16"/>
  <c r="L3536" i="16"/>
  <c r="A68" i="16"/>
  <c r="E69" i="8"/>
  <c r="I69" i="8"/>
  <c r="J69" i="8"/>
  <c r="K69" i="8"/>
  <c r="L69" i="8"/>
  <c r="E68" i="8"/>
  <c r="K3427" i="16"/>
  <c r="L3427" i="16"/>
  <c r="L3428" i="16"/>
  <c r="B3475" i="16"/>
  <c r="C66" i="16" s="1"/>
  <c r="A66" i="16"/>
  <c r="E67" i="8"/>
  <c r="K3373" i="16"/>
  <c r="L3373" i="16"/>
  <c r="L3374" i="16"/>
  <c r="A65" i="16"/>
  <c r="K3319" i="16"/>
  <c r="L3319" i="16"/>
  <c r="L3320" i="16"/>
  <c r="A64" i="16"/>
  <c r="E66" i="8"/>
  <c r="K3265" i="16"/>
  <c r="L3265" i="16"/>
  <c r="L3266" i="16"/>
  <c r="B3313" i="16"/>
  <c r="C63" i="16" s="1"/>
  <c r="A63" i="16"/>
  <c r="E65" i="8"/>
  <c r="E64" i="8"/>
  <c r="K3211" i="16"/>
  <c r="L3211" i="16"/>
  <c r="L3212" i="16"/>
  <c r="B3259" i="16"/>
  <c r="C62" i="16" s="1"/>
  <c r="A62" i="16"/>
  <c r="E63" i="8"/>
  <c r="K3157" i="16"/>
  <c r="L3157" i="16"/>
  <c r="L3158" i="16"/>
  <c r="A61" i="16"/>
  <c r="E62" i="8"/>
  <c r="E61" i="8"/>
  <c r="E60" i="8"/>
  <c r="K2941" i="16"/>
  <c r="L2941" i="16"/>
  <c r="L2942" i="16"/>
  <c r="B2989" i="16"/>
  <c r="C57" i="16" s="1"/>
  <c r="A57" i="16"/>
  <c r="E59" i="8"/>
  <c r="E58" i="8"/>
  <c r="E57" i="8"/>
  <c r="E56" i="8"/>
  <c r="J56" i="8"/>
  <c r="E55" i="8"/>
  <c r="E54" i="8"/>
  <c r="E53" i="8"/>
  <c r="E52" i="8"/>
  <c r="E51" i="8"/>
  <c r="K2509" i="16"/>
  <c r="L2509" i="16"/>
  <c r="L2510" i="16"/>
  <c r="B2557" i="16"/>
  <c r="C49" i="16" s="1"/>
  <c r="A49" i="16"/>
  <c r="E50" i="8"/>
  <c r="E49" i="8"/>
  <c r="E48" i="8"/>
  <c r="K2293" i="16"/>
  <c r="L2293" i="16"/>
  <c r="L2294" i="16"/>
  <c r="B2341" i="16"/>
  <c r="C45" i="16" s="1"/>
  <c r="A45" i="16"/>
  <c r="E47" i="8"/>
  <c r="E46" i="8"/>
  <c r="E45" i="8"/>
  <c r="E44" i="8"/>
  <c r="K2077" i="16"/>
  <c r="L2077" i="16"/>
  <c r="L2078" i="16"/>
  <c r="B2125" i="16"/>
  <c r="C41" i="16" s="1"/>
  <c r="A41" i="16"/>
  <c r="E43" i="8"/>
  <c r="E42" i="8"/>
  <c r="E41" i="8"/>
  <c r="E40" i="8"/>
  <c r="E39" i="8"/>
  <c r="K1861" i="16"/>
  <c r="L1861" i="16"/>
  <c r="L1862" i="16"/>
  <c r="B1909" i="16"/>
  <c r="C37" i="16" s="1"/>
  <c r="A37" i="16"/>
  <c r="K1807" i="16"/>
  <c r="L1807" i="16"/>
  <c r="L1808" i="16"/>
  <c r="A36" i="16"/>
  <c r="E38" i="8"/>
  <c r="E37" i="8"/>
  <c r="E36" i="8"/>
  <c r="E35" i="8"/>
  <c r="K1645" i="16"/>
  <c r="L1645" i="16"/>
  <c r="L1646" i="16"/>
  <c r="B1693" i="16"/>
  <c r="C33" i="16" s="1"/>
  <c r="A33" i="16"/>
  <c r="E34" i="8"/>
  <c r="E33" i="8"/>
  <c r="E32" i="8"/>
  <c r="E31" i="8"/>
  <c r="E30" i="8"/>
  <c r="E29" i="8"/>
  <c r="E28" i="8"/>
  <c r="E27" i="8"/>
  <c r="E26" i="8"/>
  <c r="E25" i="8"/>
  <c r="E24" i="8"/>
  <c r="E23" i="8"/>
  <c r="E22" i="8"/>
  <c r="K943" i="16"/>
  <c r="L943" i="16"/>
  <c r="L944" i="16"/>
  <c r="B991" i="16"/>
  <c r="C20" i="16" s="1"/>
  <c r="A20" i="16"/>
  <c r="E21" i="8"/>
  <c r="K889" i="16"/>
  <c r="L889" i="16"/>
  <c r="L890" i="16"/>
  <c r="A19" i="16"/>
  <c r="E20" i="8"/>
  <c r="K835" i="16"/>
  <c r="L835" i="16"/>
  <c r="L836" i="16"/>
  <c r="B883" i="16"/>
  <c r="C18" i="16" s="1"/>
  <c r="A18" i="16"/>
  <c r="E19" i="8"/>
  <c r="E18" i="8"/>
  <c r="K727" i="16"/>
  <c r="L727" i="16"/>
  <c r="L728" i="16"/>
  <c r="B775" i="16"/>
  <c r="C16" i="16" s="1"/>
  <c r="A16" i="16"/>
  <c r="E17" i="8"/>
  <c r="K673" i="16"/>
  <c r="L673" i="16"/>
  <c r="L674" i="16"/>
  <c r="A15" i="16"/>
  <c r="E16" i="8"/>
  <c r="E15" i="8"/>
  <c r="K511" i="16"/>
  <c r="L511" i="16"/>
  <c r="L512" i="16"/>
  <c r="B559" i="16"/>
  <c r="C12" i="16" s="1"/>
  <c r="A12" i="16"/>
  <c r="E14" i="8"/>
  <c r="K457" i="16"/>
  <c r="L457" i="16"/>
  <c r="L458" i="16"/>
  <c r="A11" i="16"/>
  <c r="E13" i="8"/>
  <c r="K403" i="16"/>
  <c r="L403" i="16"/>
  <c r="L404" i="16"/>
  <c r="A10" i="16"/>
  <c r="E12" i="8"/>
  <c r="E11" i="8"/>
  <c r="K295" i="16"/>
  <c r="L295" i="16"/>
  <c r="L296" i="16"/>
  <c r="B343" i="16"/>
  <c r="C8" i="16" s="1"/>
  <c r="A8" i="16"/>
  <c r="E10" i="8"/>
  <c r="E9" i="8"/>
  <c r="J9" i="8"/>
  <c r="E8" i="8"/>
  <c r="E7" i="8"/>
  <c r="E6" i="8"/>
  <c r="F77" i="8"/>
  <c r="K79" i="16"/>
  <c r="L79" i="16"/>
  <c r="L80" i="16"/>
  <c r="B127" i="16"/>
  <c r="C4" i="16" s="1"/>
  <c r="A4" i="16"/>
  <c r="M4051" i="16"/>
  <c r="B16" i="2"/>
  <c r="F5" i="6"/>
  <c r="E48" i="13"/>
  <c r="G48" i="13" s="1"/>
  <c r="M4675" i="16"/>
  <c r="E3641" i="16"/>
  <c r="O3427" i="16"/>
  <c r="O3373" i="16"/>
  <c r="O3265" i="16"/>
  <c r="O2887" i="16"/>
  <c r="O2779" i="16"/>
  <c r="E2723" i="16"/>
  <c r="O2509" i="16"/>
  <c r="O2455" i="16"/>
  <c r="O2401" i="16"/>
  <c r="O2347" i="16"/>
  <c r="O2077" i="16"/>
  <c r="O1699" i="16"/>
  <c r="O1645" i="16"/>
  <c r="O1591" i="16"/>
  <c r="O1429" i="16"/>
  <c r="O1375" i="16"/>
  <c r="O1267" i="16"/>
  <c r="O1051" i="16"/>
  <c r="O997" i="16"/>
  <c r="O943" i="16"/>
  <c r="O889" i="16"/>
  <c r="O835" i="16"/>
  <c r="O565" i="16"/>
  <c r="O511" i="16"/>
  <c r="O457" i="16"/>
  <c r="O403" i="16"/>
  <c r="Z33" i="9"/>
  <c r="Q143" i="3"/>
  <c r="Q131" i="3"/>
  <c r="Q127" i="3"/>
  <c r="Q125" i="3"/>
  <c r="Q124" i="3"/>
  <c r="Q123" i="3"/>
  <c r="Q121" i="3"/>
  <c r="F4513" i="16"/>
  <c r="K4513" i="16"/>
  <c r="Q4213" i="16"/>
  <c r="R4213" i="16"/>
  <c r="P4213" i="16"/>
  <c r="K4213" i="16"/>
  <c r="F4213" i="16"/>
  <c r="R4159" i="16"/>
  <c r="Q4159" i="16"/>
  <c r="P4159" i="16"/>
  <c r="R4105" i="16"/>
  <c r="Q4105" i="16"/>
  <c r="P4105" i="16"/>
  <c r="Q4051" i="16"/>
  <c r="P4051" i="16"/>
  <c r="R4051" i="16"/>
  <c r="AK3869" i="16"/>
  <c r="AL3869" i="16"/>
  <c r="AB3869" i="16"/>
  <c r="AA3869" i="16"/>
  <c r="AC3869" i="16" s="1"/>
  <c r="R3869" i="16"/>
  <c r="Q3869" i="16"/>
  <c r="S3869" i="16" s="1"/>
  <c r="G3869" i="16"/>
  <c r="H3869" i="16"/>
  <c r="AL3868" i="16"/>
  <c r="AK3868" i="16"/>
  <c r="AM3868" i="16" s="1"/>
  <c r="AB3868" i="16"/>
  <c r="AA3868" i="16"/>
  <c r="AC3868" i="16" s="1"/>
  <c r="R3868" i="16"/>
  <c r="Q3868" i="16"/>
  <c r="S3868" i="16" s="1"/>
  <c r="G3868" i="16"/>
  <c r="H3868" i="16"/>
  <c r="AK3867" i="16"/>
  <c r="AL3867" i="16"/>
  <c r="Q3867" i="16"/>
  <c r="R3867" i="16"/>
  <c r="G3867" i="16"/>
  <c r="H3867" i="16"/>
  <c r="AL3866" i="16"/>
  <c r="AK3866" i="16"/>
  <c r="AM3866" i="16" s="1"/>
  <c r="AB3866" i="16"/>
  <c r="AA3866" i="16"/>
  <c r="AC3866" i="16" s="1"/>
  <c r="R3866" i="16"/>
  <c r="Q3866" i="16"/>
  <c r="S3866" i="16" s="1"/>
  <c r="AK3865" i="16"/>
  <c r="AL3865" i="16"/>
  <c r="AK3864" i="16"/>
  <c r="AM3864" i="16" s="1"/>
  <c r="R3865" i="16"/>
  <c r="Q3865" i="16"/>
  <c r="S3865" i="16" s="1"/>
  <c r="G3865" i="16"/>
  <c r="H3865" i="16"/>
  <c r="Q3863" i="16"/>
  <c r="R3863" i="16"/>
  <c r="G3863" i="16"/>
  <c r="H3863" i="16"/>
  <c r="AK3862" i="16"/>
  <c r="AL3862" i="16"/>
  <c r="AA3862" i="16"/>
  <c r="AB3862" i="16"/>
  <c r="R3862" i="16"/>
  <c r="Q3862" i="16"/>
  <c r="S3862" i="16" s="1"/>
  <c r="G3862" i="16"/>
  <c r="H3862" i="16"/>
  <c r="AK3861" i="16"/>
  <c r="AL3861" i="16"/>
  <c r="Q3860" i="16"/>
  <c r="R3860" i="16"/>
  <c r="H3860" i="16"/>
  <c r="G3860" i="16"/>
  <c r="I3860" i="16" s="1"/>
  <c r="AK3859" i="16"/>
  <c r="AL3859" i="16"/>
  <c r="Q3859" i="16"/>
  <c r="R3859" i="16"/>
  <c r="AL3858" i="16"/>
  <c r="AK3858" i="16"/>
  <c r="AM3858" i="16" s="1"/>
  <c r="AB3858" i="16"/>
  <c r="AA3858" i="16"/>
  <c r="AC3858" i="16" s="1"/>
  <c r="Q3858" i="16"/>
  <c r="S3858" i="16" s="1"/>
  <c r="R3858" i="16"/>
  <c r="H3858" i="16"/>
  <c r="G3858" i="16"/>
  <c r="I3858" i="16" s="1"/>
  <c r="AK3857" i="16"/>
  <c r="AM3857" i="16" s="1"/>
  <c r="AL3857" i="16"/>
  <c r="AB3857" i="16"/>
  <c r="AA3857" i="16"/>
  <c r="AC3857" i="16" s="1"/>
  <c r="AK3856" i="16"/>
  <c r="AM3856" i="16" s="1"/>
  <c r="AL3856" i="16"/>
  <c r="R3856" i="16"/>
  <c r="Q3856" i="16"/>
  <c r="S3856" i="16" s="1"/>
  <c r="G3856" i="16"/>
  <c r="I3856" i="16" s="1"/>
  <c r="H3856" i="16"/>
  <c r="AL3855" i="16"/>
  <c r="AK3855" i="16"/>
  <c r="AM3855" i="16" s="1"/>
  <c r="AA3855" i="16"/>
  <c r="AC3855" i="16" s="1"/>
  <c r="AA3856" i="16"/>
  <c r="AC3856" i="16" s="1"/>
  <c r="AB3855" i="16"/>
  <c r="Q3855" i="16"/>
  <c r="S3855" i="16" s="1"/>
  <c r="R3855" i="16"/>
  <c r="AB3854" i="16"/>
  <c r="AA3854" i="16"/>
  <c r="AC3854" i="16" s="1"/>
  <c r="H3854" i="16"/>
  <c r="G3854" i="16"/>
  <c r="I3854" i="16" s="1"/>
  <c r="AB3853" i="16"/>
  <c r="AA3853" i="16"/>
  <c r="AC3853" i="16" s="1"/>
  <c r="R3853" i="16"/>
  <c r="Q3853" i="16"/>
  <c r="S3853" i="16" s="1"/>
  <c r="AK3852" i="16"/>
  <c r="AM3852" i="16" s="1"/>
  <c r="AL3852" i="16"/>
  <c r="Q3852" i="16"/>
  <c r="S3852" i="16" s="1"/>
  <c r="R3852" i="16"/>
  <c r="H3851" i="16"/>
  <c r="G3851" i="16"/>
  <c r="I3851" i="16" s="1"/>
  <c r="AK3850" i="16"/>
  <c r="AM3850" i="16" s="1"/>
  <c r="AL3850" i="16"/>
  <c r="AB3850" i="16"/>
  <c r="AA3850" i="16"/>
  <c r="AC3850" i="16" s="1"/>
  <c r="Q3850" i="16"/>
  <c r="R3850" i="16"/>
  <c r="G3850" i="16"/>
  <c r="H3850" i="16"/>
  <c r="AL3849" i="16"/>
  <c r="AK3849" i="16"/>
  <c r="AM3849" i="16" s="1"/>
  <c r="AB3849" i="16"/>
  <c r="AA3849" i="16"/>
  <c r="AC3849" i="16" s="1"/>
  <c r="Q3849" i="16"/>
  <c r="R3849" i="16"/>
  <c r="G3849" i="16"/>
  <c r="H3849" i="16"/>
  <c r="AB3848" i="16"/>
  <c r="AA3848" i="16"/>
  <c r="AC3848" i="16" s="1"/>
  <c r="R3848" i="16"/>
  <c r="Q3848" i="16"/>
  <c r="S3848" i="16" s="1"/>
  <c r="AK3847" i="16"/>
  <c r="AL3847" i="16"/>
  <c r="AA3847" i="16"/>
  <c r="AB3847" i="16"/>
  <c r="G3847" i="16"/>
  <c r="H3847" i="16"/>
  <c r="AK3846" i="16"/>
  <c r="AL3846" i="16"/>
  <c r="AB3846" i="16"/>
  <c r="AA3846" i="16"/>
  <c r="AC3846" i="16" s="1"/>
  <c r="Q3846" i="16"/>
  <c r="R3846" i="16"/>
  <c r="G3846" i="16"/>
  <c r="H3846" i="16"/>
  <c r="AK3845" i="16"/>
  <c r="AL3845" i="16"/>
  <c r="Q3845" i="16"/>
  <c r="S3845" i="16" s="1"/>
  <c r="Q3844" i="16"/>
  <c r="S3844" i="16" s="1"/>
  <c r="H3845" i="16"/>
  <c r="G3845" i="16"/>
  <c r="I3845" i="16" s="1"/>
  <c r="G3844" i="16"/>
  <c r="I3844" i="16" s="1"/>
  <c r="AB3842" i="16"/>
  <c r="AA3842" i="16"/>
  <c r="AC3842" i="16" s="1"/>
  <c r="H3841" i="16"/>
  <c r="G3841" i="16"/>
  <c r="I3841" i="16" s="1"/>
  <c r="AL3840" i="16"/>
  <c r="AK3840" i="16"/>
  <c r="AM3840" i="16" s="1"/>
  <c r="AA3840" i="16"/>
  <c r="AB3840" i="16"/>
  <c r="R3840" i="16"/>
  <c r="Q3840" i="16"/>
  <c r="S3840" i="16" s="1"/>
  <c r="AL3839" i="16"/>
  <c r="AK3839" i="16"/>
  <c r="AM3839" i="16" s="1"/>
  <c r="AB3839" i="16"/>
  <c r="AA3839" i="16"/>
  <c r="AC3839" i="16" s="1"/>
  <c r="Q3839" i="16"/>
  <c r="R3839" i="16"/>
  <c r="AK3838" i="16"/>
  <c r="AL3838" i="16"/>
  <c r="AK3837" i="16"/>
  <c r="AM3837" i="16" s="1"/>
  <c r="AA3837" i="16"/>
  <c r="AB3837" i="16"/>
  <c r="AA3838" i="16"/>
  <c r="AC3838" i="16" s="1"/>
  <c r="AB3836" i="16"/>
  <c r="AA3836" i="16"/>
  <c r="AC3836" i="16" s="1"/>
  <c r="R3836" i="16"/>
  <c r="Q3836" i="16"/>
  <c r="S3836" i="16" s="1"/>
  <c r="G3836" i="16"/>
  <c r="H3836" i="16"/>
  <c r="G3835" i="16"/>
  <c r="I3835" i="16" s="1"/>
  <c r="H3835" i="16"/>
  <c r="AK3835" i="16"/>
  <c r="AM3835" i="16" s="1"/>
  <c r="AL3834" i="16"/>
  <c r="AK3834" i="16"/>
  <c r="AM3834" i="16" s="1"/>
  <c r="AB3834" i="16"/>
  <c r="AA3834" i="16"/>
  <c r="AC3834" i="16" s="1"/>
  <c r="AB3835" i="16"/>
  <c r="AC3835" i="16" s="1"/>
  <c r="R3835" i="16"/>
  <c r="S3835" i="16" s="1"/>
  <c r="Q3834" i="16"/>
  <c r="S3834" i="16" s="1"/>
  <c r="R3834" i="16"/>
  <c r="AL3833" i="16"/>
  <c r="AK3833" i="16"/>
  <c r="AM3833" i="16" s="1"/>
  <c r="AB3833" i="16"/>
  <c r="AA3833" i="16"/>
  <c r="AC3833" i="16" s="1"/>
  <c r="H3833" i="16"/>
  <c r="G3833" i="16"/>
  <c r="I3833" i="16" s="1"/>
  <c r="AA3832" i="16"/>
  <c r="AC3832" i="16" s="1"/>
  <c r="AB3832" i="16"/>
  <c r="AL3830" i="16"/>
  <c r="AK3830" i="16"/>
  <c r="AM3830" i="16" s="1"/>
  <c r="AA3830" i="16"/>
  <c r="AC3830" i="16" s="1"/>
  <c r="AB3830" i="16"/>
  <c r="AL3829" i="16"/>
  <c r="AK3829" i="16"/>
  <c r="AM3829" i="16" s="1"/>
  <c r="AA3829" i="16"/>
  <c r="AC3829" i="16" s="1"/>
  <c r="AB3829" i="16"/>
  <c r="AK3828" i="16"/>
  <c r="AM3828" i="16" s="1"/>
  <c r="AL3828" i="16"/>
  <c r="G3828" i="16"/>
  <c r="I3828" i="16" s="1"/>
  <c r="H3828" i="16"/>
  <c r="AA3828" i="16"/>
  <c r="AB3828" i="16"/>
  <c r="R3828" i="16"/>
  <c r="Q3828" i="16"/>
  <c r="S3828" i="16" s="1"/>
  <c r="R3827" i="16"/>
  <c r="Q3827" i="16"/>
  <c r="S3827" i="16" s="1"/>
  <c r="H3827" i="16"/>
  <c r="G3827" i="16"/>
  <c r="I3827" i="16" s="1"/>
  <c r="AK3825" i="16"/>
  <c r="AL3825" i="16"/>
  <c r="AA3825" i="16"/>
  <c r="AB3825" i="16"/>
  <c r="G3825" i="16"/>
  <c r="H3825" i="16"/>
  <c r="AL3824" i="16"/>
  <c r="AK3824" i="16"/>
  <c r="AM3824" i="16" s="1"/>
  <c r="H3824" i="16"/>
  <c r="G3824" i="16"/>
  <c r="I3824" i="16" s="1"/>
  <c r="AL3823" i="16"/>
  <c r="AK3823" i="16"/>
  <c r="AM3823" i="16" s="1"/>
  <c r="AA3824" i="16"/>
  <c r="AC3824" i="16" s="1"/>
  <c r="AA3823" i="16"/>
  <c r="AC3823" i="16" s="1"/>
  <c r="H3823" i="16"/>
  <c r="G3823" i="16"/>
  <c r="I3823" i="16" s="1"/>
  <c r="AA3822" i="16"/>
  <c r="AB3822" i="16"/>
  <c r="R3822" i="16"/>
  <c r="Q3822" i="16"/>
  <c r="S3822" i="16" s="1"/>
  <c r="AK3821" i="16"/>
  <c r="AL3821" i="16"/>
  <c r="Q3821" i="16"/>
  <c r="R3821" i="16"/>
  <c r="R3820" i="16"/>
  <c r="Q3820" i="16"/>
  <c r="S3820" i="16" s="1"/>
  <c r="R3819" i="16"/>
  <c r="Q3819" i="16"/>
  <c r="S3819" i="16" s="1"/>
  <c r="AK3818" i="16"/>
  <c r="AL3818" i="16"/>
  <c r="AA3818" i="16"/>
  <c r="AB3818" i="16"/>
  <c r="Q3818" i="16"/>
  <c r="R3818" i="16"/>
  <c r="G3818" i="16"/>
  <c r="H3818" i="16"/>
  <c r="AK3817" i="16"/>
  <c r="AL3817" i="16"/>
  <c r="AA3817" i="16"/>
  <c r="AB3817" i="16"/>
  <c r="Q3817" i="16"/>
  <c r="R3817" i="16"/>
  <c r="G3817" i="16"/>
  <c r="H3817" i="16"/>
  <c r="AK3816" i="16"/>
  <c r="AL3816" i="16"/>
  <c r="AA3816" i="16"/>
  <c r="AB3816" i="16"/>
  <c r="Q3816" i="16"/>
  <c r="R3816" i="16"/>
  <c r="G3816" i="16"/>
  <c r="H3816" i="16"/>
  <c r="AK3815" i="16"/>
  <c r="AM3815" i="16" s="1"/>
  <c r="AL3815" i="16"/>
  <c r="AA3815" i="16"/>
  <c r="AC3815" i="16" s="1"/>
  <c r="AB3815" i="16"/>
  <c r="R3815" i="16"/>
  <c r="Q3815" i="16"/>
  <c r="S3815" i="16" s="1"/>
  <c r="G3815" i="16"/>
  <c r="I3815" i="16" s="1"/>
  <c r="H3815" i="16"/>
  <c r="AK3814" i="16"/>
  <c r="AM3814" i="16" s="1"/>
  <c r="AL3820" i="16"/>
  <c r="AM3820" i="16" s="1"/>
  <c r="AB3814" i="16"/>
  <c r="AA3814" i="16"/>
  <c r="AC3814" i="16" s="1"/>
  <c r="AA3820" i="16"/>
  <c r="AC3820" i="16" s="1"/>
  <c r="Q3814" i="16"/>
  <c r="S3814" i="16" s="1"/>
  <c r="R3814" i="16"/>
  <c r="G3820" i="16"/>
  <c r="I3820" i="16" s="1"/>
  <c r="H3820" i="16"/>
  <c r="AL3813" i="16"/>
  <c r="AK3813" i="16"/>
  <c r="AM3813" i="16" s="1"/>
  <c r="AB3813" i="16"/>
  <c r="AA3813" i="16"/>
  <c r="AC3813" i="16" s="1"/>
  <c r="R3813" i="16"/>
  <c r="Q3813" i="16"/>
  <c r="S3813" i="16" s="1"/>
  <c r="G3813" i="16"/>
  <c r="I3813" i="16" s="1"/>
  <c r="H3813" i="16"/>
  <c r="AK3812" i="16"/>
  <c r="AM3812" i="16" s="1"/>
  <c r="AL3812" i="16"/>
  <c r="AB3812" i="16"/>
  <c r="AA3812" i="16"/>
  <c r="AC3812" i="16" s="1"/>
  <c r="H3812" i="16"/>
  <c r="G3812" i="16"/>
  <c r="I3812" i="16" s="1"/>
  <c r="AB3811" i="16"/>
  <c r="AA3811" i="16"/>
  <c r="AC3811" i="16" s="1"/>
  <c r="Q3811" i="16"/>
  <c r="S3811" i="16" s="1"/>
  <c r="R3811" i="16"/>
  <c r="AL3811" i="16"/>
  <c r="AM3811" i="16" s="1"/>
  <c r="AL3810" i="16"/>
  <c r="AK3810" i="16"/>
  <c r="AM3810" i="16" s="1"/>
  <c r="AB3810" i="16"/>
  <c r="AA3810" i="16"/>
  <c r="AC3810" i="16" s="1"/>
  <c r="R3810" i="16"/>
  <c r="Q3810" i="16"/>
  <c r="S3810" i="16" s="1"/>
  <c r="H3811" i="16"/>
  <c r="I3811" i="16" s="1"/>
  <c r="G3810" i="16"/>
  <c r="H3810" i="16"/>
  <c r="AK3809" i="16"/>
  <c r="AL3809" i="16"/>
  <c r="AA3809" i="16"/>
  <c r="AB3809" i="16"/>
  <c r="R3809" i="16"/>
  <c r="Q3809" i="16"/>
  <c r="S3809" i="16" s="1"/>
  <c r="AK3808" i="16"/>
  <c r="AL3808" i="16"/>
  <c r="AA3808" i="16"/>
  <c r="AB3808" i="16"/>
  <c r="R3808" i="16"/>
  <c r="Q3808" i="16"/>
  <c r="S3808" i="16" s="1"/>
  <c r="H3808" i="16"/>
  <c r="G3808" i="16"/>
  <c r="I3808" i="16" s="1"/>
  <c r="AK3807" i="16"/>
  <c r="AL3807" i="16"/>
  <c r="AB3807" i="16"/>
  <c r="AA3807" i="16"/>
  <c r="AC3807" i="16" s="1"/>
  <c r="R3807" i="16"/>
  <c r="Q3807" i="16"/>
  <c r="S3807" i="16" s="1"/>
  <c r="G3807" i="16"/>
  <c r="H3807" i="16"/>
  <c r="L4213" i="16"/>
  <c r="AK3806" i="16"/>
  <c r="AL3806" i="16"/>
  <c r="L4159" i="16"/>
  <c r="AA3806" i="16"/>
  <c r="AB3806" i="16"/>
  <c r="L4105" i="16"/>
  <c r="Q3806" i="16"/>
  <c r="R3806" i="16"/>
  <c r="H3806" i="16"/>
  <c r="G3806" i="16"/>
  <c r="I3806" i="16" s="1"/>
  <c r="L4051" i="16"/>
  <c r="L4052" i="16"/>
  <c r="Q3751" i="16"/>
  <c r="R3751" i="16"/>
  <c r="P3751" i="16"/>
  <c r="J3749" i="16"/>
  <c r="E3749" i="16"/>
  <c r="R3697" i="16"/>
  <c r="Q3697" i="16"/>
  <c r="P3697" i="16"/>
  <c r="J3695" i="16"/>
  <c r="E3695" i="16"/>
  <c r="H3701" i="16"/>
  <c r="H3743" i="16"/>
  <c r="H3732" i="16"/>
  <c r="H3704" i="16"/>
  <c r="H3708" i="16"/>
  <c r="H3715" i="16"/>
  <c r="H3719" i="16"/>
  <c r="H3726" i="16"/>
  <c r="H3733" i="16"/>
  <c r="H3728" i="16"/>
  <c r="H3722" i="16"/>
  <c r="H3717" i="16"/>
  <c r="H3713" i="16"/>
  <c r="H3707" i="16"/>
  <c r="H3739" i="16"/>
  <c r="H3727" i="16"/>
  <c r="H3740" i="16"/>
  <c r="H3706" i="16"/>
  <c r="H3703" i="16"/>
  <c r="H3721" i="16"/>
  <c r="H3718" i="16"/>
  <c r="H3711" i="16"/>
  <c r="H3736" i="16"/>
  <c r="H3724" i="16"/>
  <c r="H3741" i="16"/>
  <c r="H3720" i="16"/>
  <c r="H3716" i="16"/>
  <c r="H3710" i="16"/>
  <c r="H3723" i="16"/>
  <c r="H3725" i="16"/>
  <c r="H3730" i="16"/>
  <c r="H3712" i="16"/>
  <c r="H3699" i="16"/>
  <c r="H3731" i="16"/>
  <c r="H3744" i="16"/>
  <c r="H3734" i="16"/>
  <c r="H3700" i="16"/>
  <c r="H3709" i="16"/>
  <c r="H3698" i="16"/>
  <c r="H3705" i="16"/>
  <c r="H3737" i="16"/>
  <c r="H3729" i="16"/>
  <c r="H3697" i="16"/>
  <c r="H3738" i="16"/>
  <c r="H3742" i="16"/>
  <c r="H3714" i="16"/>
  <c r="H3702" i="16"/>
  <c r="H3735" i="16"/>
  <c r="Q3643" i="16"/>
  <c r="R3643" i="16"/>
  <c r="P3643" i="16"/>
  <c r="R3589" i="16"/>
  <c r="P3589" i="16"/>
  <c r="Q3589" i="16"/>
  <c r="J3587" i="16"/>
  <c r="E3587" i="16"/>
  <c r="H3589" i="16"/>
  <c r="H3593" i="16"/>
  <c r="H3592" i="16"/>
  <c r="H3594" i="16"/>
  <c r="H3591" i="16"/>
  <c r="H3590" i="16"/>
  <c r="Q3535" i="16"/>
  <c r="R3535" i="16"/>
  <c r="P3535" i="16"/>
  <c r="J3533" i="16"/>
  <c r="E3533" i="16"/>
  <c r="H3537" i="16"/>
  <c r="H3536" i="16"/>
  <c r="R3481" i="16"/>
  <c r="Q3481" i="16"/>
  <c r="P3481" i="16"/>
  <c r="L3482" i="16"/>
  <c r="K3481" i="16"/>
  <c r="F3481" i="16"/>
  <c r="J3479" i="16"/>
  <c r="E3479" i="16"/>
  <c r="I3479" i="16" s="1"/>
  <c r="H3494" i="16"/>
  <c r="H3493" i="16"/>
  <c r="H3503" i="16"/>
  <c r="H3488" i="16"/>
  <c r="H3501" i="16"/>
  <c r="H3484" i="16"/>
  <c r="H3485" i="16"/>
  <c r="H3504" i="16"/>
  <c r="H3507" i="16"/>
  <c r="H3497" i="16"/>
  <c r="H3496" i="16"/>
  <c r="Q3427" i="16"/>
  <c r="R3427" i="16"/>
  <c r="P3427" i="16"/>
  <c r="Q3373" i="16"/>
  <c r="P3373" i="16"/>
  <c r="R3373" i="16"/>
  <c r="Q3265" i="16"/>
  <c r="P3265" i="16"/>
  <c r="R3265" i="16"/>
  <c r="Q3211" i="16"/>
  <c r="P3211" i="16"/>
  <c r="R3211" i="16"/>
  <c r="R3157" i="16"/>
  <c r="P3157" i="16"/>
  <c r="Q3157" i="16"/>
  <c r="R3103" i="16"/>
  <c r="P3103" i="16"/>
  <c r="Q3103" i="16"/>
  <c r="P3049" i="16"/>
  <c r="Q3049" i="16"/>
  <c r="R3049" i="16"/>
  <c r="H3076" i="16"/>
  <c r="H3083" i="16"/>
  <c r="H3091" i="16"/>
  <c r="H3049" i="16"/>
  <c r="H3051" i="16"/>
  <c r="H3052" i="16"/>
  <c r="H3062" i="16"/>
  <c r="H3064" i="16"/>
  <c r="H3067" i="16"/>
  <c r="H3069" i="16"/>
  <c r="H3071" i="16"/>
  <c r="P2995" i="16"/>
  <c r="R2995" i="16"/>
  <c r="Q2995" i="16"/>
  <c r="J2993" i="16"/>
  <c r="E2993" i="16"/>
  <c r="P2833" i="16"/>
  <c r="Q2833" i="16"/>
  <c r="R2833" i="16"/>
  <c r="H2851" i="16"/>
  <c r="H2845" i="16"/>
  <c r="H2836" i="16"/>
  <c r="H2841" i="16"/>
  <c r="H2842" i="16"/>
  <c r="H2859" i="16"/>
  <c r="H2862" i="16"/>
  <c r="H2835" i="16"/>
  <c r="H2837" i="16"/>
  <c r="H2847" i="16"/>
  <c r="H2848" i="16"/>
  <c r="H2850" i="16"/>
  <c r="H2844" i="16"/>
  <c r="H2855" i="16"/>
  <c r="H2856" i="16"/>
  <c r="H2849" i="16"/>
  <c r="H2834" i="16"/>
  <c r="H2833" i="16"/>
  <c r="P2779" i="16"/>
  <c r="R2779" i="16"/>
  <c r="Q2779" i="16"/>
  <c r="P2725" i="16"/>
  <c r="R2725" i="16"/>
  <c r="Q2725" i="16"/>
  <c r="R2671" i="16"/>
  <c r="P2671" i="16"/>
  <c r="Q2671" i="16"/>
  <c r="J2669" i="16"/>
  <c r="E2669" i="16"/>
  <c r="H2694" i="16"/>
  <c r="H2706" i="16"/>
  <c r="H2715" i="16"/>
  <c r="H2686" i="16"/>
  <c r="H2704" i="16"/>
  <c r="H2681" i="16"/>
  <c r="H2685" i="16"/>
  <c r="H2696" i="16"/>
  <c r="H2678" i="16"/>
  <c r="H2707" i="16"/>
  <c r="H2703" i="16"/>
  <c r="H2708" i="16"/>
  <c r="H2693" i="16"/>
  <c r="H2682" i="16"/>
  <c r="H2672" i="16"/>
  <c r="H2695" i="16"/>
  <c r="H2705" i="16"/>
  <c r="F2617" i="16"/>
  <c r="K2617" i="16"/>
  <c r="Q2617" i="16"/>
  <c r="P2617" i="16"/>
  <c r="R2617" i="16"/>
  <c r="L2618" i="16"/>
  <c r="J2615" i="16"/>
  <c r="E2615" i="16"/>
  <c r="I2615" i="16" s="1"/>
  <c r="H2629" i="16"/>
  <c r="H2640" i="16"/>
  <c r="H2649" i="16"/>
  <c r="H2650" i="16"/>
  <c r="H2652" i="16"/>
  <c r="H2637" i="16"/>
  <c r="H2645" i="16"/>
  <c r="H2618" i="16"/>
  <c r="H2625" i="16"/>
  <c r="H2654" i="16"/>
  <c r="H2627" i="16"/>
  <c r="H2646" i="16"/>
  <c r="H2660" i="16"/>
  <c r="H2626" i="16"/>
  <c r="H2648" i="16"/>
  <c r="H2642" i="16"/>
  <c r="H2621" i="16"/>
  <c r="H2644" i="16"/>
  <c r="H2639" i="16"/>
  <c r="H2656" i="16"/>
  <c r="H2631" i="16"/>
  <c r="H2653" i="16"/>
  <c r="H2659" i="16"/>
  <c r="H2661" i="16"/>
  <c r="H2662" i="16"/>
  <c r="H2617" i="16"/>
  <c r="H2635" i="16"/>
  <c r="H2636" i="16"/>
  <c r="H2641" i="16"/>
  <c r="H2655" i="16"/>
  <c r="H2623" i="16"/>
  <c r="H2647" i="16"/>
  <c r="H2657" i="16"/>
  <c r="H2658" i="16"/>
  <c r="H2664" i="16"/>
  <c r="H2624" i="16"/>
  <c r="H2628" i="16"/>
  <c r="H2638" i="16"/>
  <c r="H2663" i="16"/>
  <c r="H2619" i="16"/>
  <c r="H2622" i="16"/>
  <c r="H2643" i="16"/>
  <c r="H2651" i="16"/>
  <c r="H2581" i="16"/>
  <c r="H2593" i="16"/>
  <c r="H2576" i="16"/>
  <c r="H2575" i="16"/>
  <c r="H2592" i="16"/>
  <c r="H2602" i="16"/>
  <c r="H2570" i="16"/>
  <c r="H2610" i="16"/>
  <c r="H2606" i="16"/>
  <c r="H2585" i="16"/>
  <c r="H2572" i="16"/>
  <c r="H2564" i="16"/>
  <c r="H2599" i="16"/>
  <c r="P2509" i="16"/>
  <c r="Q2509" i="16"/>
  <c r="R2509" i="16"/>
  <c r="P2455" i="16"/>
  <c r="Q2455" i="16"/>
  <c r="R2455" i="16"/>
  <c r="P2401" i="16"/>
  <c r="Q2401" i="16"/>
  <c r="R2401" i="16"/>
  <c r="R2347" i="16"/>
  <c r="Q2347" i="16"/>
  <c r="P2347" i="16"/>
  <c r="J2345" i="16"/>
  <c r="E2345" i="16"/>
  <c r="I2345" i="16" s="1"/>
  <c r="H2356" i="16"/>
  <c r="H2353" i="16"/>
  <c r="H2357" i="16"/>
  <c r="Q2293" i="16"/>
  <c r="P2293" i="16"/>
  <c r="R2293" i="16"/>
  <c r="E2291" i="16"/>
  <c r="J2291" i="16"/>
  <c r="F2239" i="16"/>
  <c r="K2239" i="16"/>
  <c r="R2239" i="16"/>
  <c r="Q2239" i="16"/>
  <c r="P2239" i="16"/>
  <c r="L2240" i="16"/>
  <c r="J2237" i="16"/>
  <c r="E2237" i="16"/>
  <c r="I2237" i="16" s="1"/>
  <c r="R2185" i="16"/>
  <c r="Q2185" i="16"/>
  <c r="P2185" i="16"/>
  <c r="R2131" i="16"/>
  <c r="Q2131" i="16"/>
  <c r="P2131" i="16"/>
  <c r="R2077" i="16"/>
  <c r="P2077" i="16"/>
  <c r="Q2077" i="16"/>
  <c r="P2023" i="16"/>
  <c r="R2023" i="16"/>
  <c r="Q2023" i="16"/>
  <c r="P1969" i="16"/>
  <c r="R1969" i="16"/>
  <c r="Q1969" i="16"/>
  <c r="J1967" i="16"/>
  <c r="E1967" i="16"/>
  <c r="P1915" i="16"/>
  <c r="R1915" i="16"/>
  <c r="Q1915" i="16"/>
  <c r="J1913" i="16"/>
  <c r="E1913" i="16"/>
  <c r="P1861" i="16"/>
  <c r="Q1861" i="16"/>
  <c r="R1861" i="16"/>
  <c r="J1859" i="16"/>
  <c r="E1859" i="16"/>
  <c r="H1900" i="16"/>
  <c r="H1899" i="16"/>
  <c r="H1898" i="16"/>
  <c r="H1897" i="16"/>
  <c r="H1896" i="16"/>
  <c r="H1894" i="16"/>
  <c r="H1893" i="16"/>
  <c r="H1891" i="16"/>
  <c r="H1890" i="16"/>
  <c r="H1889" i="16"/>
  <c r="H1888" i="16"/>
  <c r="H1883" i="16"/>
  <c r="H1879" i="16"/>
  <c r="H1878" i="16"/>
  <c r="H1877" i="16"/>
  <c r="H1876" i="16"/>
  <c r="H1875" i="16"/>
  <c r="H1874" i="16"/>
  <c r="H1873" i="16"/>
  <c r="H1872" i="16"/>
  <c r="H1895" i="16"/>
  <c r="H1892" i="16"/>
  <c r="H1907" i="16"/>
  <c r="H1906" i="16"/>
  <c r="H1905" i="16"/>
  <c r="H1904" i="16"/>
  <c r="H1903" i="16"/>
  <c r="H1902" i="16"/>
  <c r="H1901" i="16"/>
  <c r="H1908" i="16"/>
  <c r="H1887" i="16"/>
  <c r="H1885" i="16"/>
  <c r="H1882" i="16"/>
  <c r="H1880" i="16"/>
  <c r="H1886" i="16"/>
  <c r="H1881" i="16"/>
  <c r="H1884" i="16"/>
  <c r="P1807" i="16"/>
  <c r="R1807" i="16"/>
  <c r="P1753" i="16"/>
  <c r="Q1753" i="16"/>
  <c r="R1753" i="16"/>
  <c r="P1699" i="16"/>
  <c r="Q1699" i="16"/>
  <c r="R1699" i="16"/>
  <c r="R1645" i="16"/>
  <c r="P1645" i="16"/>
  <c r="Q1645" i="16"/>
  <c r="Q1591" i="16"/>
  <c r="P1591" i="16"/>
  <c r="R1591" i="16"/>
  <c r="P1537" i="16"/>
  <c r="Q1537" i="16"/>
  <c r="R1537" i="16"/>
  <c r="E1535" i="16"/>
  <c r="J1535" i="16"/>
  <c r="Q1483" i="16"/>
  <c r="R1483" i="16"/>
  <c r="P1483" i="16"/>
  <c r="E1481" i="16"/>
  <c r="J1481" i="16"/>
  <c r="H1491" i="16"/>
  <c r="H1494" i="16"/>
  <c r="H1436" i="16"/>
  <c r="H1435" i="16"/>
  <c r="H1434" i="16"/>
  <c r="H1433" i="16"/>
  <c r="H1432" i="16"/>
  <c r="H1430" i="16"/>
  <c r="H1429" i="16"/>
  <c r="H1454" i="16"/>
  <c r="H1445" i="16"/>
  <c r="H1443" i="16"/>
  <c r="H1471" i="16"/>
  <c r="H1431" i="16"/>
  <c r="H1468" i="16"/>
  <c r="H1456" i="16"/>
  <c r="H1450" i="16"/>
  <c r="H1442" i="16"/>
  <c r="H1390" i="16"/>
  <c r="H1380" i="16"/>
  <c r="H1394" i="16"/>
  <c r="H1405" i="16"/>
  <c r="H1396" i="16"/>
  <c r="H1383" i="16"/>
  <c r="H1402" i="16"/>
  <c r="H1400" i="16"/>
  <c r="H1420" i="16"/>
  <c r="H1385" i="16"/>
  <c r="H1375" i="16"/>
  <c r="H1388" i="16"/>
  <c r="H1393" i="16"/>
  <c r="H1397" i="16"/>
  <c r="H1404" i="16"/>
  <c r="H1376" i="16"/>
  <c r="H1411" i="16"/>
  <c r="H1415" i="16"/>
  <c r="H1379" i="16"/>
  <c r="H1403" i="16"/>
  <c r="H1407" i="16"/>
  <c r="H1409" i="16"/>
  <c r="H1416" i="16"/>
  <c r="P1321" i="16"/>
  <c r="R1321" i="16"/>
  <c r="H1343" i="16"/>
  <c r="H1350" i="16"/>
  <c r="H1331" i="16"/>
  <c r="H1337" i="16"/>
  <c r="H1342" i="16"/>
  <c r="H1345" i="16"/>
  <c r="Q1267" i="16"/>
  <c r="P1267" i="16"/>
  <c r="R1267" i="16"/>
  <c r="H1290" i="16"/>
  <c r="H1267" i="16"/>
  <c r="H1268" i="16"/>
  <c r="H1272" i="16"/>
  <c r="H1283" i="16"/>
  <c r="H1271" i="16"/>
  <c r="H1294" i="16"/>
  <c r="H1284" i="16"/>
  <c r="H1285" i="16"/>
  <c r="H1300" i="16"/>
  <c r="H1291" i="16"/>
  <c r="H1281" i="16"/>
  <c r="H1288" i="16"/>
  <c r="H1308" i="16"/>
  <c r="H1311" i="16"/>
  <c r="H1292" i="16"/>
  <c r="H1314" i="16"/>
  <c r="H1269" i="16"/>
  <c r="H1275" i="16"/>
  <c r="H1276" i="16"/>
  <c r="H1307" i="16"/>
  <c r="H1313" i="16"/>
  <c r="H1270" i="16"/>
  <c r="H1282" i="16"/>
  <c r="H1274" i="16"/>
  <c r="H1279" i="16"/>
  <c r="H1298" i="16"/>
  <c r="H1301" i="16"/>
  <c r="H1312" i="16"/>
  <c r="H1287" i="16"/>
  <c r="H1306" i="16"/>
  <c r="H1309" i="16"/>
  <c r="H1278" i="16"/>
  <c r="H1280" i="16"/>
  <c r="H1299" i="16"/>
  <c r="H1304" i="16"/>
  <c r="H1293" i="16"/>
  <c r="H1296" i="16"/>
  <c r="H1303" i="16"/>
  <c r="R1213" i="16"/>
  <c r="Q1213" i="16"/>
  <c r="P1213" i="16"/>
  <c r="R1159" i="16"/>
  <c r="Q1159" i="16"/>
  <c r="P1159" i="16"/>
  <c r="J1157" i="16"/>
  <c r="E1157" i="16"/>
  <c r="Q1105" i="16"/>
  <c r="P1105" i="16"/>
  <c r="R1105" i="16"/>
  <c r="E1103" i="16"/>
  <c r="J1103" i="16"/>
  <c r="R997" i="16"/>
  <c r="P997" i="16"/>
  <c r="Q997" i="16"/>
  <c r="H1034" i="16"/>
  <c r="H1035" i="16"/>
  <c r="H1036" i="16"/>
  <c r="H1037" i="16"/>
  <c r="H1038" i="16"/>
  <c r="H1039" i="16"/>
  <c r="H1040" i="16"/>
  <c r="H1041" i="16"/>
  <c r="H1042" i="16"/>
  <c r="H1043" i="16"/>
  <c r="H1044" i="16"/>
  <c r="H1004" i="16"/>
  <c r="H1005" i="16"/>
  <c r="H998" i="16"/>
  <c r="H1023" i="16"/>
  <c r="H1008" i="16"/>
  <c r="H1014" i="16"/>
  <c r="H1012" i="16"/>
  <c r="H1019" i="16"/>
  <c r="H997" i="16"/>
  <c r="H999" i="16"/>
  <c r="H1006" i="16"/>
  <c r="H1011" i="16"/>
  <c r="H1010" i="16"/>
  <c r="H1017" i="16"/>
  <c r="H1018" i="16"/>
  <c r="H1003" i="16"/>
  <c r="H1033" i="16"/>
  <c r="H1009" i="16"/>
  <c r="H1032" i="16"/>
  <c r="H1031" i="16"/>
  <c r="H1030" i="16"/>
  <c r="H1029" i="16"/>
  <c r="H1028" i="16"/>
  <c r="H1027" i="16"/>
  <c r="H1026" i="16"/>
  <c r="H1025" i="16"/>
  <c r="H1024" i="16"/>
  <c r="H1002" i="16"/>
  <c r="H1020" i="16"/>
  <c r="H1013" i="16"/>
  <c r="Q943" i="16"/>
  <c r="R943" i="16"/>
  <c r="P943" i="16"/>
  <c r="P889" i="16"/>
  <c r="Q889" i="16"/>
  <c r="R889" i="16"/>
  <c r="R835" i="16"/>
  <c r="P835" i="16"/>
  <c r="Q835" i="16"/>
  <c r="P781" i="16"/>
  <c r="R781" i="16"/>
  <c r="Q781" i="16"/>
  <c r="Q727" i="16"/>
  <c r="R727" i="16"/>
  <c r="P727" i="16"/>
  <c r="E725" i="16"/>
  <c r="J725" i="16"/>
  <c r="R673" i="16"/>
  <c r="Q673" i="16"/>
  <c r="P673" i="16"/>
  <c r="J671" i="16"/>
  <c r="E671" i="16"/>
  <c r="R619" i="16"/>
  <c r="P619" i="16"/>
  <c r="Q619" i="16"/>
  <c r="K619" i="16"/>
  <c r="F619" i="16"/>
  <c r="L620" i="16"/>
  <c r="E617" i="16"/>
  <c r="I617" i="16" s="1"/>
  <c r="J617" i="16"/>
  <c r="H663" i="16"/>
  <c r="H660" i="16"/>
  <c r="H661" i="16"/>
  <c r="H662" i="16"/>
  <c r="H664" i="16"/>
  <c r="H665" i="16"/>
  <c r="H666" i="16"/>
  <c r="P565" i="16"/>
  <c r="Q565" i="16"/>
  <c r="R565" i="16"/>
  <c r="H569" i="16"/>
  <c r="H565" i="16"/>
  <c r="H566" i="16"/>
  <c r="H567" i="16"/>
  <c r="H577" i="16"/>
  <c r="H578" i="16"/>
  <c r="H579" i="16"/>
  <c r="H580" i="16"/>
  <c r="P511" i="16"/>
  <c r="Q511" i="16"/>
  <c r="R511" i="16"/>
  <c r="P457" i="16"/>
  <c r="Q457" i="16"/>
  <c r="R457" i="16"/>
  <c r="R403" i="16"/>
  <c r="Q403" i="16"/>
  <c r="P403" i="16"/>
  <c r="Q349" i="16"/>
  <c r="R349" i="16"/>
  <c r="P349" i="16"/>
  <c r="R295" i="16"/>
  <c r="P295" i="16"/>
  <c r="Q295" i="16"/>
  <c r="J293" i="16"/>
  <c r="E293" i="16"/>
  <c r="R241" i="16"/>
  <c r="P241" i="16"/>
  <c r="Q241" i="16"/>
  <c r="J239" i="16"/>
  <c r="E239" i="16"/>
  <c r="Q187" i="16"/>
  <c r="R187" i="16"/>
  <c r="P187" i="16"/>
  <c r="J185" i="16"/>
  <c r="E185" i="16"/>
  <c r="H189" i="16"/>
  <c r="H194" i="16"/>
  <c r="H195" i="16"/>
  <c r="H188" i="16"/>
  <c r="H193" i="16"/>
  <c r="H180" i="16"/>
  <c r="H133" i="16"/>
  <c r="H149" i="16"/>
  <c r="H158" i="16"/>
  <c r="H162" i="16"/>
  <c r="H163" i="16"/>
  <c r="H166" i="16"/>
  <c r="H172" i="16"/>
  <c r="H175" i="16"/>
  <c r="H179" i="16"/>
  <c r="H134" i="16"/>
  <c r="H135" i="16"/>
  <c r="H136" i="16"/>
  <c r="H177" i="16"/>
  <c r="H164" i="16"/>
  <c r="H160" i="16"/>
  <c r="H153" i="16"/>
  <c r="H176" i="16"/>
  <c r="H154" i="16"/>
  <c r="H151" i="16"/>
  <c r="H152" i="16"/>
  <c r="H146" i="16"/>
  <c r="H150" i="16"/>
  <c r="H168" i="16"/>
  <c r="H169" i="16"/>
  <c r="H147" i="16"/>
  <c r="H141" i="16"/>
  <c r="H155" i="16"/>
  <c r="H145" i="16"/>
  <c r="H156" i="16"/>
  <c r="H159" i="16"/>
  <c r="H173" i="16"/>
  <c r="H144" i="16"/>
  <c r="H165" i="16"/>
  <c r="H140" i="16"/>
  <c r="H178" i="16"/>
  <c r="H137" i="16"/>
  <c r="H139" i="16"/>
  <c r="P79" i="16"/>
  <c r="R79" i="16"/>
  <c r="Q79" i="16"/>
  <c r="F17" i="4"/>
  <c r="C17" i="5" s="1"/>
  <c r="K17" i="4"/>
  <c r="L18" i="4"/>
  <c r="Q17" i="4"/>
  <c r="G17" i="5" s="1"/>
  <c r="P17" i="4"/>
  <c r="F17" i="5" s="1"/>
  <c r="H31" i="4"/>
  <c r="D31" i="5" s="1"/>
  <c r="H30" i="4"/>
  <c r="D30" i="5" s="1"/>
  <c r="H19" i="4"/>
  <c r="D19" i="5" s="1"/>
  <c r="H18" i="4"/>
  <c r="D18" i="5" s="1"/>
  <c r="H28" i="4"/>
  <c r="D28" i="5" s="1"/>
  <c r="H17" i="4"/>
  <c r="H27" i="4"/>
  <c r="D27" i="5" s="1"/>
  <c r="F8" i="4"/>
  <c r="H26" i="4"/>
  <c r="D26" i="5" s="1"/>
  <c r="H4084" i="16"/>
  <c r="H4092" i="16"/>
  <c r="H4091" i="16"/>
  <c r="H4090" i="16"/>
  <c r="H4089" i="16"/>
  <c r="H4251" i="16"/>
  <c r="H4252" i="16"/>
  <c r="H4253" i="16"/>
  <c r="H4254" i="16"/>
  <c r="H4255" i="16"/>
  <c r="H4256" i="16"/>
  <c r="H4257" i="16"/>
  <c r="H4258" i="16"/>
  <c r="H4259" i="16"/>
  <c r="H4260" i="16"/>
  <c r="H29" i="4"/>
  <c r="D29" i="5" s="1"/>
  <c r="H4051" i="16"/>
  <c r="H4052" i="16"/>
  <c r="H4053" i="16"/>
  <c r="H4721" i="16"/>
  <c r="H4720" i="16"/>
  <c r="H4719" i="16"/>
  <c r="H4718" i="16"/>
  <c r="H4717" i="16"/>
  <c r="H4716" i="16"/>
  <c r="H4715" i="16"/>
  <c r="H4714" i="16"/>
  <c r="H4713" i="16"/>
  <c r="H4712" i="16"/>
  <c r="H4711" i="16"/>
  <c r="H4710" i="16"/>
  <c r="H4709" i="16"/>
  <c r="H4708" i="16"/>
  <c r="H4707" i="16"/>
  <c r="H4706" i="16"/>
  <c r="H4705" i="16"/>
  <c r="H4704" i="16"/>
  <c r="H4703" i="16"/>
  <c r="H4702" i="16"/>
  <c r="H4701" i="16"/>
  <c r="H4700" i="16"/>
  <c r="H4699" i="16"/>
  <c r="H4698" i="16"/>
  <c r="H4088" i="16"/>
  <c r="H4697" i="16"/>
  <c r="H4696" i="16"/>
  <c r="H4087" i="16"/>
  <c r="H4695" i="16"/>
  <c r="H4694" i="16"/>
  <c r="H4086" i="16"/>
  <c r="H4693" i="16"/>
  <c r="H4692" i="16"/>
  <c r="H4085" i="16"/>
  <c r="H4691" i="16"/>
  <c r="H4690" i="16"/>
  <c r="H4054" i="16"/>
  <c r="H4055" i="16"/>
  <c r="H4083" i="16"/>
  <c r="H4056" i="16"/>
  <c r="H4057" i="16"/>
  <c r="H4082" i="16"/>
  <c r="H4058" i="16"/>
  <c r="H4059" i="16"/>
  <c r="H4722" i="16"/>
  <c r="H4060" i="16"/>
  <c r="H4061" i="16"/>
  <c r="H4080" i="16"/>
  <c r="H4062" i="16"/>
  <c r="H4063" i="16"/>
  <c r="H4079" i="16"/>
  <c r="H4064" i="16"/>
  <c r="H4065" i="16"/>
  <c r="H4078" i="16"/>
  <c r="H4066" i="16"/>
  <c r="H4067" i="16"/>
  <c r="H4077" i="16"/>
  <c r="H4068" i="16"/>
  <c r="H4069" i="16"/>
  <c r="H4076" i="16"/>
  <c r="H4070" i="16"/>
  <c r="H4071" i="16"/>
  <c r="H4075" i="16"/>
  <c r="H4074" i="16"/>
  <c r="H4073" i="16"/>
  <c r="H4072" i="16"/>
  <c r="H42" i="4"/>
  <c r="D42" i="5" s="1"/>
  <c r="H41" i="4"/>
  <c r="D41" i="5" s="1"/>
  <c r="H40" i="4"/>
  <c r="D40" i="5" s="1"/>
  <c r="H39" i="4"/>
  <c r="D39" i="5" s="1"/>
  <c r="H38" i="4"/>
  <c r="D38" i="5" s="1"/>
  <c r="H37" i="4"/>
  <c r="D37" i="5" s="1"/>
  <c r="H36" i="4"/>
  <c r="D36" i="5" s="1"/>
  <c r="H35" i="4"/>
  <c r="D35" i="5" s="1"/>
  <c r="H4081" i="16"/>
  <c r="H34" i="4"/>
  <c r="D34" i="5" s="1"/>
  <c r="H33" i="4"/>
  <c r="D33" i="5" s="1"/>
  <c r="H32" i="4"/>
  <c r="D32" i="5" s="1"/>
  <c r="I3373" i="16"/>
  <c r="B3421" i="16"/>
  <c r="C65" i="16" s="1"/>
  <c r="I3319" i="16"/>
  <c r="B3367" i="16"/>
  <c r="C64" i="16" s="1"/>
  <c r="I3157" i="16"/>
  <c r="B3205" i="16"/>
  <c r="C61" i="16" s="1"/>
  <c r="I1807" i="16"/>
  <c r="B1855" i="16"/>
  <c r="C36" i="16" s="1"/>
  <c r="I889" i="16"/>
  <c r="B937" i="16"/>
  <c r="C19" i="16" s="1"/>
  <c r="I457" i="16"/>
  <c r="B505" i="16"/>
  <c r="C11" i="16" s="1"/>
  <c r="I403" i="16"/>
  <c r="B451" i="16"/>
  <c r="C10" i="16" s="1"/>
  <c r="I3843" i="16"/>
  <c r="I3840" i="16"/>
  <c r="I3809" i="16"/>
  <c r="I3857" i="16"/>
  <c r="AC3863" i="16"/>
  <c r="AC3841" i="16"/>
  <c r="S3824" i="16"/>
  <c r="I3861" i="16" l="1"/>
  <c r="AM3860" i="16"/>
  <c r="I3842" i="16"/>
  <c r="AM3841" i="16"/>
  <c r="I3839" i="16"/>
  <c r="I3832" i="16"/>
  <c r="S3830" i="16"/>
  <c r="AC3826" i="16"/>
  <c r="S3826" i="16"/>
  <c r="AM3822" i="16"/>
  <c r="J4567" i="16"/>
  <c r="I3867" i="16"/>
  <c r="AM3865" i="16"/>
  <c r="I3865" i="16"/>
  <c r="S3863" i="16"/>
  <c r="I3863" i="16"/>
  <c r="AM3862" i="16"/>
  <c r="AC3862" i="16"/>
  <c r="I3862" i="16"/>
  <c r="AM3861" i="16"/>
  <c r="S3860" i="16"/>
  <c r="AM3859" i="16"/>
  <c r="S3859" i="16"/>
  <c r="S3850" i="16"/>
  <c r="I3850" i="16"/>
  <c r="S3849" i="16"/>
  <c r="I3849" i="16"/>
  <c r="AM3847" i="16"/>
  <c r="AC3847" i="16"/>
  <c r="I3847" i="16"/>
  <c r="AM3846" i="16"/>
  <c r="AC3828" i="16"/>
  <c r="AM3825" i="16"/>
  <c r="AC3825" i="16"/>
  <c r="I3825" i="16"/>
  <c r="AC3822" i="16"/>
  <c r="AM3821" i="16"/>
  <c r="S3821" i="16"/>
  <c r="AM3818" i="16"/>
  <c r="AC3818" i="16"/>
  <c r="S3818" i="16"/>
  <c r="I3818" i="16"/>
  <c r="AM3817" i="16"/>
  <c r="AC3817" i="16"/>
  <c r="S3817" i="16"/>
  <c r="I3817" i="16"/>
  <c r="AM3816" i="16"/>
  <c r="AC3816" i="16"/>
  <c r="S3816" i="16"/>
  <c r="I3816" i="16"/>
  <c r="I3810" i="16"/>
  <c r="AM3809" i="16"/>
  <c r="AC3809" i="16"/>
  <c r="AM3808" i="16"/>
  <c r="AC3819" i="16"/>
  <c r="F4106" i="16"/>
  <c r="K4106" i="16"/>
  <c r="K2942" i="16"/>
  <c r="F2942" i="16"/>
  <c r="O2942" i="16" s="1"/>
  <c r="K2294" i="16"/>
  <c r="F2294" i="16"/>
  <c r="K1646" i="16"/>
  <c r="F1646" i="16"/>
  <c r="O1646" i="16" s="1"/>
  <c r="K836" i="16"/>
  <c r="F836" i="16"/>
  <c r="O836" i="16" s="1"/>
  <c r="K674" i="16"/>
  <c r="F674" i="16"/>
  <c r="K512" i="16"/>
  <c r="F512" i="16"/>
  <c r="O512" i="16" s="1"/>
  <c r="F458" i="16"/>
  <c r="O458" i="16" s="1"/>
  <c r="K458" i="16"/>
  <c r="M458" i="16" s="1"/>
  <c r="K404" i="16"/>
  <c r="F404" i="16"/>
  <c r="O404" i="16" s="1"/>
  <c r="K296" i="16"/>
  <c r="F296" i="16"/>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D4568" i="16"/>
  <c r="J4568" i="16"/>
  <c r="N4568" i="16" s="1"/>
  <c r="Q4568" i="16"/>
  <c r="P4568" i="16"/>
  <c r="R4568" i="16"/>
  <c r="M4568" i="16"/>
  <c r="I4569" i="16"/>
  <c r="C4569" i="16"/>
  <c r="K4569" i="16" s="1"/>
  <c r="E4569" i="16"/>
  <c r="F4569" i="16"/>
  <c r="G4569" i="16"/>
  <c r="B4570" i="16"/>
  <c r="D4514" i="16"/>
  <c r="J4514" i="16"/>
  <c r="N4514" i="16" s="1"/>
  <c r="P4514" i="16"/>
  <c r="Q4514" i="16"/>
  <c r="R4514" i="16"/>
  <c r="M4514" i="16"/>
  <c r="C4515" i="16"/>
  <c r="E4515" i="16"/>
  <c r="G4515" i="16"/>
  <c r="B4516" i="16"/>
  <c r="I4515" i="16"/>
  <c r="L4515" i="16"/>
  <c r="D4214" i="16"/>
  <c r="J4214" i="16"/>
  <c r="N4214" i="16" s="1"/>
  <c r="P4214" i="16"/>
  <c r="Q4214" i="16"/>
  <c r="R4214" i="16"/>
  <c r="M4214" i="16"/>
  <c r="C4215" i="16"/>
  <c r="F4215" i="16" s="1"/>
  <c r="E4215" i="16"/>
  <c r="G4215" i="16"/>
  <c r="I4215" i="16"/>
  <c r="K4215" i="16"/>
  <c r="L4215" i="16"/>
  <c r="B4216" i="16"/>
  <c r="P4160" i="16"/>
  <c r="Q4160" i="16"/>
  <c r="R4160" i="16"/>
  <c r="C4161" i="16"/>
  <c r="E4161" i="16"/>
  <c r="F4161" i="16"/>
  <c r="G4161" i="16"/>
  <c r="I4161" i="16"/>
  <c r="L4161" i="16"/>
  <c r="K4161" i="16"/>
  <c r="B4162" i="16"/>
  <c r="D4160" i="16"/>
  <c r="J4160" i="16"/>
  <c r="J4106" i="16"/>
  <c r="N4106" i="16" s="1"/>
  <c r="D4106" i="16"/>
  <c r="P4106" i="16"/>
  <c r="R4106" i="16"/>
  <c r="Q4106" i="16"/>
  <c r="M4106" i="16"/>
  <c r="L4107" i="16"/>
  <c r="C4107" i="16"/>
  <c r="F4107" i="16" s="1"/>
  <c r="E4107" i="16"/>
  <c r="G4107" i="16"/>
  <c r="K4107" i="16"/>
  <c r="I4107" i="16"/>
  <c r="B4108" i="16"/>
  <c r="K4052" i="16"/>
  <c r="D4052" i="16"/>
  <c r="J4052" i="16"/>
  <c r="P4052" i="16"/>
  <c r="Q4052" i="16"/>
  <c r="R4052" i="16"/>
  <c r="L4053" i="16"/>
  <c r="C4053" i="16"/>
  <c r="E4053" i="16"/>
  <c r="G4053" i="16"/>
  <c r="I4053" i="16"/>
  <c r="B4054" i="16"/>
  <c r="D3752" i="16"/>
  <c r="J3752" i="16"/>
  <c r="P3752" i="16"/>
  <c r="Q3752" i="16"/>
  <c r="R3752" i="16"/>
  <c r="C3753" i="16"/>
  <c r="E3753" i="16"/>
  <c r="G3753" i="16"/>
  <c r="I3753" i="16"/>
  <c r="B3754" i="16"/>
  <c r="I3699" i="16"/>
  <c r="C3699" i="16"/>
  <c r="E3699" i="16"/>
  <c r="G3699" i="16"/>
  <c r="B3700" i="16"/>
  <c r="D3698" i="16"/>
  <c r="J3698" i="16"/>
  <c r="N3698" i="16" s="1"/>
  <c r="P3698" i="16"/>
  <c r="Q3698" i="16"/>
  <c r="R3698" i="16"/>
  <c r="D3644" i="16"/>
  <c r="J3644" i="16"/>
  <c r="N3644" i="16" s="1"/>
  <c r="P3644" i="16"/>
  <c r="Q3644" i="16"/>
  <c r="R3644" i="16"/>
  <c r="C3645" i="16"/>
  <c r="K3645" i="16" s="1"/>
  <c r="E3645" i="16"/>
  <c r="F3645" i="16"/>
  <c r="O3645" i="16" s="1"/>
  <c r="G3645" i="16"/>
  <c r="I3645" i="16"/>
  <c r="B3646" i="16"/>
  <c r="D3590" i="16"/>
  <c r="J3590" i="16"/>
  <c r="P3590" i="16"/>
  <c r="Q3590" i="16"/>
  <c r="R3590" i="16"/>
  <c r="C3591" i="16"/>
  <c r="K3591" i="16" s="1"/>
  <c r="E3591" i="16"/>
  <c r="F3591" i="16"/>
  <c r="O3591" i="16" s="1"/>
  <c r="G3591" i="16"/>
  <c r="I3591" i="16"/>
  <c r="B3592" i="16"/>
  <c r="D3536" i="16"/>
  <c r="J3536" i="16"/>
  <c r="P3536" i="16"/>
  <c r="Q3536" i="16"/>
  <c r="R3536" i="16"/>
  <c r="C3537" i="16"/>
  <c r="E3537" i="16"/>
  <c r="G3537" i="16"/>
  <c r="I3537" i="16"/>
  <c r="B3538" i="16"/>
  <c r="D3482" i="16"/>
  <c r="J3482" i="16"/>
  <c r="P3482" i="16"/>
  <c r="Q3482" i="16"/>
  <c r="R3482" i="16"/>
  <c r="L3483" i="16"/>
  <c r="C3483" i="16"/>
  <c r="E3483" i="16"/>
  <c r="G3483" i="16"/>
  <c r="I3483" i="16"/>
  <c r="B3484" i="16"/>
  <c r="D3428" i="16"/>
  <c r="J3428" i="16"/>
  <c r="P3428" i="16"/>
  <c r="Q3428" i="16"/>
  <c r="R3428" i="16"/>
  <c r="C3429" i="16"/>
  <c r="K3429" i="16" s="1"/>
  <c r="E3429" i="16"/>
  <c r="F3429" i="16"/>
  <c r="O3429" i="16" s="1"/>
  <c r="G3429" i="16"/>
  <c r="I3429" i="16"/>
  <c r="B3430" i="16"/>
  <c r="D3374" i="16"/>
  <c r="J3374" i="16"/>
  <c r="N3374" i="16" s="1"/>
  <c r="P3374" i="16"/>
  <c r="Q3374" i="16"/>
  <c r="R3374" i="16"/>
  <c r="C3375" i="16"/>
  <c r="K3375" i="16" s="1"/>
  <c r="E3375" i="16"/>
  <c r="F3375" i="16"/>
  <c r="O3375" i="16" s="1"/>
  <c r="G3375" i="16"/>
  <c r="I3375" i="16"/>
  <c r="B3376" i="16"/>
  <c r="D3320" i="16"/>
  <c r="J3320" i="16"/>
  <c r="P3320" i="16"/>
  <c r="Q3320" i="16"/>
  <c r="R3320" i="16"/>
  <c r="C3321" i="16"/>
  <c r="K3321" i="16" s="1"/>
  <c r="E3321" i="16"/>
  <c r="F3321" i="16"/>
  <c r="O3321" i="16" s="1"/>
  <c r="G3321" i="16"/>
  <c r="I3321" i="16"/>
  <c r="B3322" i="16"/>
  <c r="D3266" i="16"/>
  <c r="J3266" i="16"/>
  <c r="P3266" i="16"/>
  <c r="Q3266" i="16"/>
  <c r="R3266" i="16"/>
  <c r="C3267" i="16"/>
  <c r="K3267" i="16" s="1"/>
  <c r="E3267" i="16"/>
  <c r="F3267" i="16"/>
  <c r="O3267" i="16" s="1"/>
  <c r="G3267" i="16"/>
  <c r="I3267" i="16"/>
  <c r="B3268" i="16"/>
  <c r="D3212" i="16"/>
  <c r="J3212" i="16"/>
  <c r="N3212" i="16" s="1"/>
  <c r="P3212" i="16"/>
  <c r="Q3212" i="16"/>
  <c r="R3212" i="16"/>
  <c r="C3213" i="16"/>
  <c r="F3213" i="16" s="1"/>
  <c r="O3213" i="16" s="1"/>
  <c r="E3213" i="16"/>
  <c r="G3213" i="16"/>
  <c r="I3213" i="16"/>
  <c r="B3214" i="16"/>
  <c r="D3158" i="16"/>
  <c r="J3158" i="16"/>
  <c r="N3158" i="16" s="1"/>
  <c r="P3158" i="16"/>
  <c r="Q3158" i="16"/>
  <c r="R3158" i="16"/>
  <c r="C3159" i="16"/>
  <c r="E3159" i="16"/>
  <c r="F3159" i="16"/>
  <c r="O3159" i="16" s="1"/>
  <c r="G3159" i="16"/>
  <c r="I3159" i="16"/>
  <c r="B3160" i="16"/>
  <c r="P3104" i="16"/>
  <c r="Q3104" i="16"/>
  <c r="R3104" i="16"/>
  <c r="L3105" i="16"/>
  <c r="E3105" i="16"/>
  <c r="G3105" i="16"/>
  <c r="B3106" i="16"/>
  <c r="I3105" i="16"/>
  <c r="C3105" i="16"/>
  <c r="K3104" i="16"/>
  <c r="D3104" i="16"/>
  <c r="J3104" i="16"/>
  <c r="U3103" i="16"/>
  <c r="S3103" i="16"/>
  <c r="T3103" i="16" s="1"/>
  <c r="K3050" i="16"/>
  <c r="J3050" i="16"/>
  <c r="D3050" i="16"/>
  <c r="P3050" i="16"/>
  <c r="Q3050" i="16"/>
  <c r="R3050" i="16"/>
  <c r="L3051" i="16"/>
  <c r="G3051" i="16"/>
  <c r="C3051" i="16"/>
  <c r="E3051" i="16"/>
  <c r="B3052" i="16"/>
  <c r="I3051" i="16"/>
  <c r="U3049" i="16"/>
  <c r="S3049" i="16"/>
  <c r="T3049" i="16" s="1"/>
  <c r="L2997" i="16"/>
  <c r="C2997" i="16"/>
  <c r="K2997" i="16" s="1"/>
  <c r="E2997" i="16"/>
  <c r="F2997" i="16"/>
  <c r="O2997" i="16" s="1"/>
  <c r="G2997" i="16"/>
  <c r="I2997" i="16"/>
  <c r="B2998" i="16"/>
  <c r="K2996" i="16"/>
  <c r="J2996" i="16"/>
  <c r="D2996" i="16"/>
  <c r="P2996" i="16"/>
  <c r="Q2996" i="16"/>
  <c r="R2996" i="16"/>
  <c r="U2995" i="16"/>
  <c r="D2942" i="16"/>
  <c r="J2942" i="16"/>
  <c r="N2942" i="16" s="1"/>
  <c r="P2942" i="16"/>
  <c r="Q2942" i="16"/>
  <c r="R2942" i="16"/>
  <c r="C2943" i="16"/>
  <c r="E2943" i="16"/>
  <c r="G2943" i="16"/>
  <c r="I2943" i="16"/>
  <c r="B2944" i="16"/>
  <c r="K2888" i="16"/>
  <c r="D2888" i="16"/>
  <c r="J2888" i="16"/>
  <c r="P2888" i="16"/>
  <c r="Q2888" i="16"/>
  <c r="R2888" i="16"/>
  <c r="L2889" i="16"/>
  <c r="C2889" i="16"/>
  <c r="K2889" i="16" s="1"/>
  <c r="E2889" i="16"/>
  <c r="F2889" i="16"/>
  <c r="O2889" i="16" s="1"/>
  <c r="G2889" i="16"/>
  <c r="I2889" i="16"/>
  <c r="B2890" i="16"/>
  <c r="U2887" i="16"/>
  <c r="S2887" i="16"/>
  <c r="T2887" i="16" s="1"/>
  <c r="P2834" i="16"/>
  <c r="Q2834" i="16"/>
  <c r="R2834" i="16"/>
  <c r="L2835" i="16"/>
  <c r="E2835" i="16"/>
  <c r="B2836" i="16"/>
  <c r="C2835" i="16"/>
  <c r="K2835" i="16" s="1"/>
  <c r="G2835" i="16"/>
  <c r="F2835" i="16"/>
  <c r="O2835" i="16" s="1"/>
  <c r="I2835" i="16"/>
  <c r="K2834" i="16"/>
  <c r="J2834" i="16"/>
  <c r="D2834" i="16"/>
  <c r="U2833" i="16"/>
  <c r="S2833" i="16"/>
  <c r="T2833" i="16" s="1"/>
  <c r="K2780" i="16"/>
  <c r="D2780" i="16"/>
  <c r="J2780" i="16"/>
  <c r="P2780" i="16"/>
  <c r="Q2780" i="16"/>
  <c r="R2780" i="16"/>
  <c r="L2781" i="16"/>
  <c r="G2781" i="16"/>
  <c r="I2781" i="16"/>
  <c r="B2782" i="16"/>
  <c r="E2781" i="16"/>
  <c r="C2781" i="16"/>
  <c r="P2726" i="16"/>
  <c r="Q2726" i="16"/>
  <c r="R2726" i="16"/>
  <c r="L2727" i="16"/>
  <c r="E2727" i="16"/>
  <c r="B2728" i="16"/>
  <c r="C2727" i="16"/>
  <c r="G2727" i="16"/>
  <c r="I2727" i="16"/>
  <c r="K2726" i="16"/>
  <c r="D2726" i="16"/>
  <c r="J2726" i="16"/>
  <c r="U2725" i="16"/>
  <c r="S2725" i="16"/>
  <c r="T2725" i="16" s="1"/>
  <c r="L2673" i="16"/>
  <c r="E2673" i="16"/>
  <c r="C2673" i="16"/>
  <c r="G2673" i="16"/>
  <c r="I2673" i="16"/>
  <c r="B2674" i="16"/>
  <c r="K2672" i="16"/>
  <c r="J2672" i="16"/>
  <c r="D2672" i="16"/>
  <c r="Q2672" i="16"/>
  <c r="P2672" i="16"/>
  <c r="R2672" i="16"/>
  <c r="U2671" i="16"/>
  <c r="S2671" i="16"/>
  <c r="T2671" i="16" s="1"/>
  <c r="D2618" i="16"/>
  <c r="J2618" i="16"/>
  <c r="P2618" i="16"/>
  <c r="Q2618" i="16"/>
  <c r="R2618" i="16"/>
  <c r="L2619" i="16"/>
  <c r="C2619" i="16"/>
  <c r="E2619" i="16"/>
  <c r="I2619" i="16"/>
  <c r="G2619" i="16"/>
  <c r="B2620" i="16"/>
  <c r="P2564" i="16"/>
  <c r="Q2564" i="16"/>
  <c r="R2564" i="16"/>
  <c r="K2564" i="16"/>
  <c r="J2564" i="16"/>
  <c r="D2564" i="16"/>
  <c r="L2565" i="16"/>
  <c r="I2565" i="16"/>
  <c r="B2566" i="16"/>
  <c r="E2565" i="16"/>
  <c r="C2565" i="16"/>
  <c r="K2565" i="16" s="1"/>
  <c r="F2565" i="16"/>
  <c r="O2565" i="16" s="1"/>
  <c r="G2565" i="16"/>
  <c r="U2563" i="16"/>
  <c r="S2563" i="16"/>
  <c r="T2563" i="16" s="1"/>
  <c r="D2510" i="16"/>
  <c r="J2510" i="16"/>
  <c r="N2510" i="16" s="1"/>
  <c r="P2510" i="16"/>
  <c r="Q2510" i="16"/>
  <c r="R2510" i="16"/>
  <c r="C2511" i="16"/>
  <c r="E2511" i="16"/>
  <c r="F2511" i="16"/>
  <c r="O2511" i="16" s="1"/>
  <c r="G2511" i="16"/>
  <c r="I2511" i="16"/>
  <c r="B2512" i="16"/>
  <c r="K2456" i="16"/>
  <c r="D2456" i="16"/>
  <c r="J2456" i="16"/>
  <c r="P2456" i="16"/>
  <c r="Q2456" i="16"/>
  <c r="R2456" i="16"/>
  <c r="L2457" i="16"/>
  <c r="C2457" i="16"/>
  <c r="K2457" i="16" s="1"/>
  <c r="E2457" i="16"/>
  <c r="F2457" i="16"/>
  <c r="O2457" i="16" s="1"/>
  <c r="G2457" i="16"/>
  <c r="I2457" i="16"/>
  <c r="B2458" i="16"/>
  <c r="U2455" i="16"/>
  <c r="S2455" i="16"/>
  <c r="T2455" i="16" s="1"/>
  <c r="K2402" i="16"/>
  <c r="D2402" i="16"/>
  <c r="J2402" i="16"/>
  <c r="P2402" i="16"/>
  <c r="Q2402" i="16"/>
  <c r="R2402" i="16"/>
  <c r="L2403" i="16"/>
  <c r="C2403" i="16"/>
  <c r="K2403" i="16" s="1"/>
  <c r="E2403" i="16"/>
  <c r="F2403" i="16"/>
  <c r="O2403" i="16" s="1"/>
  <c r="G2403" i="16"/>
  <c r="I2403" i="16"/>
  <c r="B2404" i="16"/>
  <c r="U2401" i="16"/>
  <c r="S2401" i="16"/>
  <c r="T2401" i="16" s="1"/>
  <c r="L2349" i="16"/>
  <c r="B2350" i="16"/>
  <c r="E2349" i="16"/>
  <c r="I2349" i="16"/>
  <c r="C2349" i="16"/>
  <c r="K2349" i="16" s="1"/>
  <c r="F2349" i="16"/>
  <c r="O2349" i="16" s="1"/>
  <c r="G2349" i="16"/>
  <c r="K2348" i="16"/>
  <c r="J2348" i="16"/>
  <c r="D2348" i="16"/>
  <c r="P2348" i="16"/>
  <c r="R2348" i="16"/>
  <c r="Q2348" i="16"/>
  <c r="U2347" i="16"/>
  <c r="S2347" i="16"/>
  <c r="T2347" i="16" s="1"/>
  <c r="D2294" i="16"/>
  <c r="J2294" i="16"/>
  <c r="N2294" i="16" s="1"/>
  <c r="P2294" i="16"/>
  <c r="Q2294" i="16"/>
  <c r="R2294" i="16"/>
  <c r="C2295" i="16"/>
  <c r="E2295" i="16"/>
  <c r="G2295" i="16"/>
  <c r="I2295" i="16"/>
  <c r="B2296" i="16"/>
  <c r="D2240" i="16"/>
  <c r="J2240" i="16"/>
  <c r="P2240" i="16"/>
  <c r="Q2240" i="16"/>
  <c r="R2240" i="16"/>
  <c r="L2241" i="16"/>
  <c r="C2241" i="16"/>
  <c r="K2241" i="16" s="1"/>
  <c r="E2241" i="16"/>
  <c r="F2241" i="16"/>
  <c r="O2241" i="16" s="1"/>
  <c r="G2241" i="16"/>
  <c r="I2241" i="16"/>
  <c r="B2242" i="16"/>
  <c r="K2186" i="16"/>
  <c r="D2186" i="16"/>
  <c r="J2186" i="16"/>
  <c r="P2186" i="16"/>
  <c r="Q2186" i="16"/>
  <c r="R2186" i="16"/>
  <c r="L2187" i="16"/>
  <c r="C2187" i="16"/>
  <c r="K2187" i="16" s="1"/>
  <c r="E2187" i="16"/>
  <c r="F2187" i="16"/>
  <c r="O2187" i="16" s="1"/>
  <c r="G2187" i="16"/>
  <c r="I2187" i="16"/>
  <c r="B2188" i="16"/>
  <c r="U2185" i="16"/>
  <c r="S2185" i="16"/>
  <c r="T2185" i="16" s="1"/>
  <c r="K2132" i="16"/>
  <c r="D2132" i="16"/>
  <c r="J2132" i="16"/>
  <c r="P2132" i="16"/>
  <c r="Q2132" i="16"/>
  <c r="R2132" i="16"/>
  <c r="L2133" i="16"/>
  <c r="C2133" i="16"/>
  <c r="K2133" i="16" s="1"/>
  <c r="E2133" i="16"/>
  <c r="F2133" i="16"/>
  <c r="O2133" i="16" s="1"/>
  <c r="G2133" i="16"/>
  <c r="I2133" i="16"/>
  <c r="B2134" i="16"/>
  <c r="U2131" i="16"/>
  <c r="S2131" i="16"/>
  <c r="T2131" i="16" s="1"/>
  <c r="D2078" i="16"/>
  <c r="J2078" i="16"/>
  <c r="P2078" i="16"/>
  <c r="Q2078" i="16"/>
  <c r="R2078" i="16"/>
  <c r="C2079" i="16"/>
  <c r="E2079" i="16"/>
  <c r="G2079" i="16"/>
  <c r="I2079" i="16"/>
  <c r="B2080" i="16"/>
  <c r="K2024" i="16"/>
  <c r="D2024" i="16"/>
  <c r="J2024" i="16"/>
  <c r="P2024" i="16"/>
  <c r="Q2024" i="16"/>
  <c r="R2024" i="16"/>
  <c r="L2025" i="16"/>
  <c r="C2025" i="16"/>
  <c r="E2025" i="16"/>
  <c r="G2025" i="16"/>
  <c r="I2025" i="16"/>
  <c r="B2026" i="16"/>
  <c r="U2023" i="16"/>
  <c r="S2023" i="16"/>
  <c r="T2023" i="16" s="1"/>
  <c r="K1970" i="16"/>
  <c r="D1970" i="16"/>
  <c r="J1970" i="16"/>
  <c r="P1970" i="16"/>
  <c r="Q1970" i="16"/>
  <c r="R1970" i="16"/>
  <c r="L1971" i="16"/>
  <c r="C1971" i="16"/>
  <c r="K1971" i="16" s="1"/>
  <c r="E1971" i="16"/>
  <c r="F1971" i="16"/>
  <c r="G1971" i="16"/>
  <c r="I1971" i="16"/>
  <c r="B1972" i="16"/>
  <c r="U1969" i="16"/>
  <c r="K1916" i="16"/>
  <c r="D1916" i="16"/>
  <c r="J1916" i="16"/>
  <c r="P1916" i="16"/>
  <c r="Q1916" i="16"/>
  <c r="R1916" i="16"/>
  <c r="L1917" i="16"/>
  <c r="C1917" i="16"/>
  <c r="K1917" i="16" s="1"/>
  <c r="E1917" i="16"/>
  <c r="F1917" i="16"/>
  <c r="O1917" i="16" s="1"/>
  <c r="G1917" i="16"/>
  <c r="I1917" i="16"/>
  <c r="B1918" i="16"/>
  <c r="U1915" i="16"/>
  <c r="D1862" i="16"/>
  <c r="J1862" i="16"/>
  <c r="N1862" i="16" s="1"/>
  <c r="P1862" i="16"/>
  <c r="Q1862" i="16"/>
  <c r="R1862" i="16"/>
  <c r="C1863" i="16"/>
  <c r="K1863" i="16" s="1"/>
  <c r="E1863" i="16"/>
  <c r="F1863" i="16"/>
  <c r="O1863" i="16" s="1"/>
  <c r="G1863" i="16"/>
  <c r="I1863" i="16"/>
  <c r="B1864" i="16"/>
  <c r="D1808" i="16"/>
  <c r="J1808" i="16"/>
  <c r="N1808" i="16" s="1"/>
  <c r="P1808" i="16"/>
  <c r="Q1808" i="16"/>
  <c r="R1808" i="16"/>
  <c r="C1809" i="16"/>
  <c r="K1809" i="16" s="1"/>
  <c r="E1809" i="16"/>
  <c r="F1809" i="16"/>
  <c r="O1809" i="16" s="1"/>
  <c r="G1809" i="16"/>
  <c r="I1809" i="16"/>
  <c r="B1810" i="16"/>
  <c r="K1754" i="16"/>
  <c r="D1754" i="16"/>
  <c r="J1754" i="16"/>
  <c r="P1754" i="16"/>
  <c r="Q1754" i="16"/>
  <c r="R1754" i="16"/>
  <c r="L1755" i="16"/>
  <c r="C1755" i="16"/>
  <c r="E1755" i="16"/>
  <c r="G1755" i="16"/>
  <c r="I1755" i="16"/>
  <c r="B1756" i="16"/>
  <c r="U1753" i="16"/>
  <c r="S1753" i="16"/>
  <c r="T1753" i="16" s="1"/>
  <c r="K1700" i="16"/>
  <c r="D1700" i="16"/>
  <c r="J1700" i="16"/>
  <c r="P1700" i="16"/>
  <c r="Q1700" i="16"/>
  <c r="R1700" i="16"/>
  <c r="L1701" i="16"/>
  <c r="C1701" i="16"/>
  <c r="E1701" i="16"/>
  <c r="G1701" i="16"/>
  <c r="I1701" i="16"/>
  <c r="B1702" i="16"/>
  <c r="U1699" i="16"/>
  <c r="S1699" i="16"/>
  <c r="T1699" i="16" s="1"/>
  <c r="D1646" i="16"/>
  <c r="J1646" i="16"/>
  <c r="N1646" i="16" s="1"/>
  <c r="P1646" i="16"/>
  <c r="Q1646" i="16"/>
  <c r="R1646" i="16"/>
  <c r="C1647" i="16"/>
  <c r="E1647" i="16"/>
  <c r="F1647" i="16"/>
  <c r="O1647" i="16" s="1"/>
  <c r="G1647" i="16"/>
  <c r="I1647" i="16"/>
  <c r="B1648" i="16"/>
  <c r="K1592" i="16"/>
  <c r="D1592" i="16"/>
  <c r="J1592" i="16"/>
  <c r="P1592" i="16"/>
  <c r="Q1592" i="16"/>
  <c r="R1592" i="16"/>
  <c r="L1593" i="16"/>
  <c r="C1593" i="16"/>
  <c r="K1593" i="16" s="1"/>
  <c r="E1593" i="16"/>
  <c r="F1593" i="16"/>
  <c r="O1593" i="16" s="1"/>
  <c r="G1593" i="16"/>
  <c r="I1593" i="16"/>
  <c r="B1594" i="16"/>
  <c r="U1591" i="16"/>
  <c r="S1591" i="16"/>
  <c r="T1591" i="16" s="1"/>
  <c r="K1538" i="16"/>
  <c r="D1538" i="16"/>
  <c r="J1538" i="16"/>
  <c r="P1538" i="16"/>
  <c r="Q1538" i="16"/>
  <c r="R1538" i="16"/>
  <c r="L1539" i="16"/>
  <c r="C1539" i="16"/>
  <c r="K1539" i="16" s="1"/>
  <c r="E1539" i="16"/>
  <c r="F1539" i="16"/>
  <c r="O1539" i="16" s="1"/>
  <c r="G1539" i="16"/>
  <c r="I1539" i="16"/>
  <c r="B1540" i="16"/>
  <c r="U1537" i="16"/>
  <c r="L1485" i="16"/>
  <c r="I1485" i="16"/>
  <c r="E1485" i="16"/>
  <c r="G1485" i="16"/>
  <c r="B1486" i="16"/>
  <c r="C1485" i="16"/>
  <c r="K1484" i="16"/>
  <c r="J1484" i="16"/>
  <c r="D1484" i="16"/>
  <c r="P1484" i="16"/>
  <c r="Q1484" i="16"/>
  <c r="R1484" i="16"/>
  <c r="U1483" i="16"/>
  <c r="K1430" i="16"/>
  <c r="D1430" i="16"/>
  <c r="J1430" i="16"/>
  <c r="P1430" i="16"/>
  <c r="Q1430" i="16"/>
  <c r="R1430" i="16"/>
  <c r="L1431" i="16"/>
  <c r="C1431" i="16"/>
  <c r="E1431" i="16"/>
  <c r="G1431" i="16"/>
  <c r="I1431" i="16"/>
  <c r="B1432" i="16"/>
  <c r="U1429" i="16"/>
  <c r="S1429" i="16"/>
  <c r="T1429" i="16" s="1"/>
  <c r="P1376" i="16"/>
  <c r="Q1376" i="16"/>
  <c r="R1376" i="16"/>
  <c r="L1377" i="16"/>
  <c r="B1378" i="16"/>
  <c r="G1377" i="16"/>
  <c r="C1377" i="16"/>
  <c r="I1377" i="16"/>
  <c r="E1377" i="16"/>
  <c r="K1376" i="16"/>
  <c r="D1376" i="16"/>
  <c r="J1376" i="16"/>
  <c r="U1375" i="16"/>
  <c r="S1375" i="16"/>
  <c r="T1375" i="16" s="1"/>
  <c r="Q1322" i="16"/>
  <c r="P1322" i="16"/>
  <c r="R1322" i="16"/>
  <c r="K1322" i="16"/>
  <c r="J1322" i="16"/>
  <c r="D1322" i="16"/>
  <c r="L1323" i="16"/>
  <c r="C1323" i="16"/>
  <c r="K1323" i="16" s="1"/>
  <c r="F1323" i="16"/>
  <c r="O1323" i="16" s="1"/>
  <c r="B1324" i="16"/>
  <c r="I1323" i="16"/>
  <c r="G1323" i="16"/>
  <c r="E1323" i="16"/>
  <c r="U1321" i="16"/>
  <c r="S1321" i="16"/>
  <c r="T1321" i="16" s="1"/>
  <c r="L1269" i="16"/>
  <c r="I1269" i="16"/>
  <c r="C1269" i="16"/>
  <c r="K1269" i="16" s="1"/>
  <c r="E1269" i="16"/>
  <c r="F1269" i="16"/>
  <c r="O1269" i="16" s="1"/>
  <c r="G1269" i="16"/>
  <c r="B1270" i="16"/>
  <c r="P1268" i="16"/>
  <c r="Q1268" i="16"/>
  <c r="R1268" i="16"/>
  <c r="K1268" i="16"/>
  <c r="J1268" i="16"/>
  <c r="D1268" i="16"/>
  <c r="U1267" i="16"/>
  <c r="S1267" i="16"/>
  <c r="T1267" i="16" s="1"/>
  <c r="K1214" i="16"/>
  <c r="D1214" i="16"/>
  <c r="J1214" i="16"/>
  <c r="P1214" i="16"/>
  <c r="Q1214" i="16"/>
  <c r="R1214" i="16"/>
  <c r="C1215" i="16"/>
  <c r="E1215" i="16"/>
  <c r="F1215" i="16"/>
  <c r="O1215" i="16" s="1"/>
  <c r="G1215" i="16"/>
  <c r="L1215" i="16"/>
  <c r="B1216" i="16"/>
  <c r="K1215" i="16"/>
  <c r="I1215" i="16"/>
  <c r="U1213" i="16"/>
  <c r="S1213" i="16"/>
  <c r="T1213" i="16" s="1"/>
  <c r="K1160" i="16"/>
  <c r="D1160" i="16"/>
  <c r="J1160" i="16"/>
  <c r="P1160" i="16"/>
  <c r="Q1160" i="16"/>
  <c r="R1160" i="16"/>
  <c r="L1161" i="16"/>
  <c r="C1161" i="16"/>
  <c r="K1161" i="16" s="1"/>
  <c r="E1161" i="16"/>
  <c r="F1161" i="16"/>
  <c r="O1161" i="16" s="1"/>
  <c r="G1161" i="16"/>
  <c r="I1161" i="16"/>
  <c r="B1162" i="16"/>
  <c r="U1159" i="16"/>
  <c r="K1106" i="16"/>
  <c r="D1106" i="16"/>
  <c r="J1106" i="16"/>
  <c r="P1106" i="16"/>
  <c r="Q1106" i="16"/>
  <c r="R1106" i="16"/>
  <c r="L1107" i="16"/>
  <c r="C1107" i="16"/>
  <c r="E1107" i="16"/>
  <c r="G1107" i="16"/>
  <c r="I1107" i="16"/>
  <c r="B1108" i="16"/>
  <c r="U1105" i="16"/>
  <c r="K1052" i="16"/>
  <c r="D1052" i="16"/>
  <c r="J1052" i="16"/>
  <c r="P1052" i="16"/>
  <c r="Q1052" i="16"/>
  <c r="R1052" i="16"/>
  <c r="L1053" i="16"/>
  <c r="C1053" i="16"/>
  <c r="K1053" i="16" s="1"/>
  <c r="E1053" i="16"/>
  <c r="F1053" i="16"/>
  <c r="O1053" i="16" s="1"/>
  <c r="G1053" i="16"/>
  <c r="I1053" i="16"/>
  <c r="B1054" i="16"/>
  <c r="U1051" i="16"/>
  <c r="S1051" i="16"/>
  <c r="T1051" i="16" s="1"/>
  <c r="L999" i="16"/>
  <c r="I999" i="16"/>
  <c r="B1000" i="16"/>
  <c r="G999" i="16"/>
  <c r="E999" i="16"/>
  <c r="C999" i="16"/>
  <c r="P998" i="16"/>
  <c r="Q998" i="16"/>
  <c r="R998" i="16"/>
  <c r="K998" i="16"/>
  <c r="J998" i="16"/>
  <c r="D998" i="16"/>
  <c r="U997" i="16"/>
  <c r="S997" i="16"/>
  <c r="T997" i="16" s="1"/>
  <c r="D944" i="16"/>
  <c r="J944" i="16"/>
  <c r="N944" i="16" s="1"/>
  <c r="P944" i="16"/>
  <c r="Q944" i="16"/>
  <c r="R944" i="16"/>
  <c r="C945" i="16"/>
  <c r="E945" i="16"/>
  <c r="G945" i="16"/>
  <c r="I945" i="16"/>
  <c r="B946" i="16"/>
  <c r="D890" i="16"/>
  <c r="J890" i="16"/>
  <c r="P890" i="16"/>
  <c r="Q890" i="16"/>
  <c r="R890" i="16"/>
  <c r="C891" i="16"/>
  <c r="E891" i="16"/>
  <c r="G891" i="16"/>
  <c r="I891" i="16"/>
  <c r="B892" i="16"/>
  <c r="D836" i="16"/>
  <c r="J836" i="16"/>
  <c r="N836" i="16" s="1"/>
  <c r="P836" i="16"/>
  <c r="Q836" i="16"/>
  <c r="R836" i="16"/>
  <c r="C837" i="16"/>
  <c r="K837" i="16" s="1"/>
  <c r="E837" i="16"/>
  <c r="F837" i="16"/>
  <c r="O837" i="16" s="1"/>
  <c r="G837" i="16"/>
  <c r="I837" i="16"/>
  <c r="B838" i="16"/>
  <c r="K782" i="16"/>
  <c r="D782" i="16"/>
  <c r="J782" i="16"/>
  <c r="P782" i="16"/>
  <c r="Q782" i="16"/>
  <c r="R782" i="16"/>
  <c r="L783" i="16"/>
  <c r="C783" i="16"/>
  <c r="K783" i="16" s="1"/>
  <c r="E783" i="16"/>
  <c r="F783" i="16"/>
  <c r="O783" i="16" s="1"/>
  <c r="G783" i="16"/>
  <c r="I783" i="16"/>
  <c r="B784" i="16"/>
  <c r="U781" i="16"/>
  <c r="S781" i="16"/>
  <c r="T781" i="16" s="1"/>
  <c r="D728" i="16"/>
  <c r="J728" i="16"/>
  <c r="P728" i="16"/>
  <c r="Q728" i="16"/>
  <c r="R728" i="16"/>
  <c r="C729" i="16"/>
  <c r="E729" i="16"/>
  <c r="G729" i="16"/>
  <c r="I729" i="16"/>
  <c r="B730" i="16"/>
  <c r="D674" i="16"/>
  <c r="J674" i="16"/>
  <c r="N674" i="16" s="1"/>
  <c r="P674" i="16"/>
  <c r="Q674" i="16"/>
  <c r="R674" i="16"/>
  <c r="C675" i="16"/>
  <c r="E675" i="16"/>
  <c r="G675" i="16"/>
  <c r="I675" i="16"/>
  <c r="B676" i="16"/>
  <c r="D620" i="16"/>
  <c r="J620" i="16"/>
  <c r="N620" i="16" s="1"/>
  <c r="P620" i="16"/>
  <c r="Q620" i="16"/>
  <c r="R620" i="16"/>
  <c r="L621" i="16"/>
  <c r="C621" i="16"/>
  <c r="K621" i="16" s="1"/>
  <c r="E621" i="16"/>
  <c r="F621" i="16"/>
  <c r="O621" i="16" s="1"/>
  <c r="G621" i="16"/>
  <c r="I621" i="16"/>
  <c r="B622" i="16"/>
  <c r="K566" i="16"/>
  <c r="J566" i="16"/>
  <c r="D566" i="16"/>
  <c r="P566" i="16"/>
  <c r="Q566" i="16"/>
  <c r="R566" i="16"/>
  <c r="L567" i="16"/>
  <c r="E567" i="16"/>
  <c r="I567" i="16"/>
  <c r="C567" i="16"/>
  <c r="K567" i="16" s="1"/>
  <c r="F567" i="16"/>
  <c r="O567" i="16" s="1"/>
  <c r="G567" i="16"/>
  <c r="B568" i="16"/>
  <c r="U565" i="16"/>
  <c r="S565" i="16"/>
  <c r="T565" i="16" s="1"/>
  <c r="D512" i="16"/>
  <c r="J512" i="16"/>
  <c r="N512" i="16" s="1"/>
  <c r="P512" i="16"/>
  <c r="Q512" i="16"/>
  <c r="R512" i="16"/>
  <c r="C513" i="16"/>
  <c r="K513" i="16" s="1"/>
  <c r="E513" i="16"/>
  <c r="F513" i="16"/>
  <c r="O513" i="16" s="1"/>
  <c r="G513" i="16"/>
  <c r="I513" i="16"/>
  <c r="B514" i="16"/>
  <c r="D458" i="16"/>
  <c r="J458" i="16"/>
  <c r="N458" i="16" s="1"/>
  <c r="P458" i="16"/>
  <c r="Q458" i="16"/>
  <c r="R458" i="16"/>
  <c r="C459" i="16"/>
  <c r="K459" i="16" s="1"/>
  <c r="E459" i="16"/>
  <c r="F459" i="16"/>
  <c r="O459" i="16" s="1"/>
  <c r="G459" i="16"/>
  <c r="I459" i="16"/>
  <c r="B460" i="16"/>
  <c r="D404" i="16"/>
  <c r="J404" i="16"/>
  <c r="N404" i="16" s="1"/>
  <c r="P404" i="16"/>
  <c r="Q404" i="16"/>
  <c r="R404" i="16"/>
  <c r="C405" i="16"/>
  <c r="E405" i="16"/>
  <c r="G405" i="16"/>
  <c r="I405" i="16"/>
  <c r="B406" i="16"/>
  <c r="K350" i="16"/>
  <c r="D350" i="16"/>
  <c r="J350" i="16"/>
  <c r="P350" i="16"/>
  <c r="Q350" i="16"/>
  <c r="R350" i="16"/>
  <c r="L351" i="16"/>
  <c r="C351" i="16"/>
  <c r="E351" i="16"/>
  <c r="G351" i="16"/>
  <c r="I351" i="16"/>
  <c r="B352" i="16"/>
  <c r="U349" i="16"/>
  <c r="S349" i="16"/>
  <c r="T349" i="16" s="1"/>
  <c r="D296" i="16"/>
  <c r="J296" i="16"/>
  <c r="N296" i="16" s="1"/>
  <c r="P296" i="16"/>
  <c r="Q296" i="16"/>
  <c r="R296" i="16"/>
  <c r="C297" i="16"/>
  <c r="E297" i="16"/>
  <c r="G297" i="16"/>
  <c r="I297" i="16"/>
  <c r="B298" i="16"/>
  <c r="K242" i="16"/>
  <c r="D242" i="16"/>
  <c r="J242" i="16"/>
  <c r="P242" i="16"/>
  <c r="Q242" i="16"/>
  <c r="R242" i="16"/>
  <c r="L243" i="16"/>
  <c r="C243" i="16"/>
  <c r="E243" i="16"/>
  <c r="G243" i="16"/>
  <c r="I243" i="16"/>
  <c r="B244" i="16"/>
  <c r="U241" i="16"/>
  <c r="S241" i="16"/>
  <c r="T241" i="16" s="1"/>
  <c r="P188" i="16"/>
  <c r="Q188" i="16"/>
  <c r="R188" i="16"/>
  <c r="L189" i="16"/>
  <c r="I189" i="16"/>
  <c r="C189" i="16"/>
  <c r="K189" i="16" s="1"/>
  <c r="E189" i="16"/>
  <c r="F189" i="16"/>
  <c r="G189" i="16"/>
  <c r="B190" i="16"/>
  <c r="K188" i="16"/>
  <c r="D188" i="16"/>
  <c r="J188" i="16"/>
  <c r="U187" i="16"/>
  <c r="L135" i="16"/>
  <c r="G135" i="16"/>
  <c r="I135" i="16"/>
  <c r="B136" i="16"/>
  <c r="C135" i="16"/>
  <c r="E135" i="16"/>
  <c r="K134" i="16"/>
  <c r="D134" i="16"/>
  <c r="J134" i="16"/>
  <c r="P134" i="16"/>
  <c r="Q134" i="16"/>
  <c r="R134" i="16"/>
  <c r="U133" i="16"/>
  <c r="S133" i="16"/>
  <c r="T133" i="16" s="1"/>
  <c r="D80" i="16"/>
  <c r="J80" i="16"/>
  <c r="P80" i="16"/>
  <c r="Q80" i="16"/>
  <c r="R80" i="16"/>
  <c r="C81" i="16"/>
  <c r="E81" i="16"/>
  <c r="G81" i="16"/>
  <c r="I81" i="16"/>
  <c r="B82" i="16"/>
  <c r="B11" i="9"/>
  <c r="N11" i="9"/>
  <c r="Z11" i="9"/>
  <c r="B10" i="9"/>
  <c r="N10" i="9"/>
  <c r="Z10" i="9"/>
  <c r="B9" i="9"/>
  <c r="C9" i="9"/>
  <c r="D9" i="9"/>
  <c r="E9" i="9"/>
  <c r="N9" i="9"/>
  <c r="O9" i="9"/>
  <c r="T9" i="9"/>
  <c r="V9" i="9"/>
  <c r="Z9" i="9"/>
  <c r="B8" i="9"/>
  <c r="C8" i="9"/>
  <c r="D8" i="9"/>
  <c r="E8" i="9"/>
  <c r="N8" i="9"/>
  <c r="O8" i="9"/>
  <c r="T8" i="9"/>
  <c r="V8" i="9"/>
  <c r="Z8" i="9"/>
  <c r="D31" i="9"/>
  <c r="B31" i="9"/>
  <c r="N31" i="9"/>
  <c r="Q31" i="9"/>
  <c r="T31" i="9"/>
  <c r="P31" i="9"/>
  <c r="R31" i="9"/>
  <c r="V31" i="9"/>
  <c r="C31" i="9"/>
  <c r="E31" i="9"/>
  <c r="O31" i="9"/>
  <c r="S31" i="9"/>
  <c r="U31" i="9"/>
  <c r="W31" i="9"/>
  <c r="X31" i="9"/>
  <c r="Y31" i="9"/>
  <c r="Z31" i="9"/>
  <c r="B30" i="9"/>
  <c r="D30" i="9"/>
  <c r="N30" i="9"/>
  <c r="S30" i="9"/>
  <c r="T30" i="9"/>
  <c r="V30" i="9"/>
  <c r="X30" i="9"/>
  <c r="Z30" i="9"/>
  <c r="O30" i="9"/>
  <c r="Q30" i="9"/>
  <c r="P30" i="9"/>
  <c r="W30" i="9"/>
  <c r="C30" i="9"/>
  <c r="E30" i="9"/>
  <c r="R30" i="9"/>
  <c r="U30" i="9"/>
  <c r="Y30" i="9"/>
  <c r="B29" i="9"/>
  <c r="D29" i="9"/>
  <c r="N29" i="9"/>
  <c r="P29" i="9"/>
  <c r="U29" i="9"/>
  <c r="X29" i="9"/>
  <c r="Z29" i="9"/>
  <c r="C29" i="9"/>
  <c r="E29" i="9"/>
  <c r="R29" i="9"/>
  <c r="T29" i="9"/>
  <c r="O29" i="9"/>
  <c r="Q29" i="9"/>
  <c r="S29" i="9"/>
  <c r="V29" i="9"/>
  <c r="W29" i="9"/>
  <c r="Y29" i="9"/>
  <c r="B28" i="9"/>
  <c r="C28" i="9"/>
  <c r="D28" i="9"/>
  <c r="E28" i="9"/>
  <c r="N28" i="9"/>
  <c r="T28" i="9"/>
  <c r="V28" i="9"/>
  <c r="Z28" i="9"/>
  <c r="B27" i="9"/>
  <c r="C27" i="9"/>
  <c r="D27" i="9"/>
  <c r="E27" i="9"/>
  <c r="N27" i="9"/>
  <c r="T27" i="9"/>
  <c r="V27" i="9"/>
  <c r="Z27" i="9"/>
  <c r="B26" i="9"/>
  <c r="C26" i="9"/>
  <c r="D26" i="9"/>
  <c r="E26" i="9"/>
  <c r="N26" i="9"/>
  <c r="Z26" i="9"/>
  <c r="B25" i="9"/>
  <c r="C25" i="9"/>
  <c r="D25" i="9"/>
  <c r="E25" i="9"/>
  <c r="N25" i="9"/>
  <c r="T25" i="9"/>
  <c r="V25" i="9"/>
  <c r="Z25" i="9"/>
  <c r="B24" i="9"/>
  <c r="C24" i="9"/>
  <c r="D24" i="9"/>
  <c r="E24" i="9"/>
  <c r="N24" i="9"/>
  <c r="T24" i="9"/>
  <c r="V24" i="9"/>
  <c r="Z24" i="9"/>
  <c r="B23" i="9"/>
  <c r="C23" i="9"/>
  <c r="D23" i="9"/>
  <c r="E23" i="9"/>
  <c r="N23" i="9"/>
  <c r="O23" i="9"/>
  <c r="Z23" i="9"/>
  <c r="B22" i="9"/>
  <c r="C22" i="9"/>
  <c r="D22" i="9"/>
  <c r="E22" i="9"/>
  <c r="N22" i="9"/>
  <c r="T22" i="9"/>
  <c r="V22" i="9"/>
  <c r="Z22" i="9"/>
  <c r="B21" i="9"/>
  <c r="N21" i="9"/>
  <c r="O21" i="9"/>
  <c r="T21" i="9"/>
  <c r="V21" i="9"/>
  <c r="Z21" i="9"/>
  <c r="B20" i="9"/>
  <c r="N20" i="9"/>
  <c r="O20" i="9"/>
  <c r="T20" i="9"/>
  <c r="V20" i="9"/>
  <c r="Z20" i="9"/>
  <c r="B19" i="9"/>
  <c r="N19" i="9"/>
  <c r="T19" i="9"/>
  <c r="V19" i="9"/>
  <c r="Z19" i="9"/>
  <c r="B18" i="9"/>
  <c r="N18" i="9"/>
  <c r="Z18" i="9"/>
  <c r="B17" i="9"/>
  <c r="C17" i="9"/>
  <c r="D17" i="9"/>
  <c r="E17" i="9"/>
  <c r="N17" i="9"/>
  <c r="O17" i="9"/>
  <c r="T17" i="9"/>
  <c r="V17" i="9"/>
  <c r="Z17" i="9"/>
  <c r="B16" i="9"/>
  <c r="C16" i="9"/>
  <c r="D16" i="9"/>
  <c r="E16" i="9"/>
  <c r="N16" i="9"/>
  <c r="T16" i="9"/>
  <c r="V16" i="9"/>
  <c r="Z16" i="9"/>
  <c r="B15" i="9"/>
  <c r="C15" i="9" s="1"/>
  <c r="D15" i="9"/>
  <c r="E15" i="9"/>
  <c r="N15" i="9"/>
  <c r="O15" i="9"/>
  <c r="T15" i="9"/>
  <c r="V15" i="9"/>
  <c r="Z15" i="9"/>
  <c r="B14" i="9"/>
  <c r="N14" i="9"/>
  <c r="O14" i="9"/>
  <c r="T14" i="9"/>
  <c r="V14" i="9"/>
  <c r="Z14" i="9"/>
  <c r="B13" i="9"/>
  <c r="N13" i="9"/>
  <c r="O13" i="9"/>
  <c r="T13" i="9"/>
  <c r="V13" i="9"/>
  <c r="Z13" i="9"/>
  <c r="B12" i="9"/>
  <c r="N12" i="9"/>
  <c r="Z12" i="9"/>
  <c r="D18" i="4"/>
  <c r="J18" i="4"/>
  <c r="P18" i="4"/>
  <c r="F18" i="5" s="1"/>
  <c r="Q18" i="4"/>
  <c r="G18" i="5" s="1"/>
  <c r="R18" i="4"/>
  <c r="H18" i="5" s="1"/>
  <c r="V18" i="4"/>
  <c r="L19" i="4"/>
  <c r="C19" i="4"/>
  <c r="K19" i="4" s="1"/>
  <c r="E19" i="4"/>
  <c r="F19" i="4"/>
  <c r="C19" i="5" s="1"/>
  <c r="G19" i="4"/>
  <c r="I19" i="4"/>
  <c r="B20" i="4"/>
  <c r="B19" i="5"/>
  <c r="Y16" i="4"/>
  <c r="B66" i="7"/>
  <c r="I66" i="7" s="1"/>
  <c r="Y15" i="4"/>
  <c r="X17" i="4"/>
  <c r="X18" i="4"/>
  <c r="X19" i="4"/>
  <c r="S4675" i="16"/>
  <c r="U4675" i="16"/>
  <c r="U4676" i="16"/>
  <c r="E4331" i="16"/>
  <c r="F4331" i="16"/>
  <c r="E4330" i="16"/>
  <c r="F4330" i="16"/>
  <c r="G4330" i="16"/>
  <c r="H4330" i="16"/>
  <c r="I4330" i="16"/>
  <c r="E4329" i="16"/>
  <c r="F4329" i="16"/>
  <c r="G4329" i="16"/>
  <c r="I4329" i="16" s="1"/>
  <c r="H4329" i="16"/>
  <c r="E4328" i="16"/>
  <c r="F4328" i="16"/>
  <c r="G4328" i="16"/>
  <c r="I4328" i="16" s="1"/>
  <c r="H4328" i="16"/>
  <c r="E4327" i="16"/>
  <c r="F4327" i="16"/>
  <c r="E4326" i="16"/>
  <c r="F4326" i="16"/>
  <c r="H4326" i="16"/>
  <c r="E4325" i="16"/>
  <c r="F4325" i="16"/>
  <c r="G4325" i="16"/>
  <c r="I4325" i="16" s="1"/>
  <c r="H4325" i="16"/>
  <c r="E4324" i="16"/>
  <c r="F4324" i="16"/>
  <c r="G4324" i="16"/>
  <c r="I4324" i="16" s="1"/>
  <c r="H4324" i="16"/>
  <c r="E4323" i="16"/>
  <c r="F4323" i="16"/>
  <c r="G4323" i="16"/>
  <c r="I4323" i="16" s="1"/>
  <c r="H4323" i="16"/>
  <c r="E4322" i="16"/>
  <c r="F4322" i="16"/>
  <c r="G4322" i="16"/>
  <c r="I4322" i="16" s="1"/>
  <c r="H4322" i="16"/>
  <c r="E4321" i="16"/>
  <c r="F4321" i="16"/>
  <c r="G4321" i="16"/>
  <c r="I4321" i="16" s="1"/>
  <c r="H4321" i="16"/>
  <c r="E4320" i="16"/>
  <c r="G4319" i="16" s="1"/>
  <c r="I4319" i="16" s="1"/>
  <c r="F4320" i="16"/>
  <c r="E4319" i="16"/>
  <c r="F4319" i="16"/>
  <c r="H4319" i="16"/>
  <c r="E4318" i="16"/>
  <c r="F4318" i="16"/>
  <c r="E4317" i="16"/>
  <c r="F4317" i="16"/>
  <c r="G4317" i="16"/>
  <c r="H4317" i="16"/>
  <c r="E4316" i="16"/>
  <c r="F4316" i="16"/>
  <c r="G4316" i="16"/>
  <c r="H4316" i="16"/>
  <c r="E4315" i="16"/>
  <c r="F4315" i="16"/>
  <c r="G4315" i="16"/>
  <c r="H4315" i="16"/>
  <c r="E4314" i="16"/>
  <c r="F4314" i="16"/>
  <c r="G4314" i="16"/>
  <c r="H4314" i="16"/>
  <c r="E4313" i="16"/>
  <c r="F4313" i="16"/>
  <c r="G4313" i="16"/>
  <c r="H4313" i="16"/>
  <c r="E4312" i="16"/>
  <c r="F4312" i="16"/>
  <c r="G4312" i="16"/>
  <c r="H4312" i="16"/>
  <c r="E4311" i="16"/>
  <c r="F4311" i="16"/>
  <c r="E4310" i="16"/>
  <c r="F4310" i="16"/>
  <c r="G4310" i="16"/>
  <c r="H4310" i="16"/>
  <c r="E4309" i="16"/>
  <c r="F4309" i="16"/>
  <c r="G4309" i="16"/>
  <c r="H4309" i="16"/>
  <c r="E4308" i="16"/>
  <c r="F4308" i="16"/>
  <c r="G4308" i="16"/>
  <c r="H4308" i="16"/>
  <c r="E4307" i="16"/>
  <c r="F4307" i="16"/>
  <c r="E4306" i="16"/>
  <c r="F4306" i="16"/>
  <c r="G4306" i="16"/>
  <c r="H4306" i="16"/>
  <c r="E4305" i="16"/>
  <c r="F4305" i="16"/>
  <c r="G4305" i="16"/>
  <c r="H4305" i="16"/>
  <c r="E4304" i="16"/>
  <c r="F4304" i="16"/>
  <c r="G4304" i="16"/>
  <c r="H4304" i="16"/>
  <c r="E4303" i="16"/>
  <c r="F4303" i="16"/>
  <c r="G4303" i="16"/>
  <c r="I4303" i="16" s="1"/>
  <c r="H4303" i="16"/>
  <c r="E4302" i="16"/>
  <c r="H4302" i="16" s="1"/>
  <c r="F4302" i="16"/>
  <c r="G4302" i="16"/>
  <c r="E4301" i="16"/>
  <c r="F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I4287" i="16"/>
  <c r="E4286" i="16"/>
  <c r="F4286" i="16"/>
  <c r="E4285" i="16"/>
  <c r="F4285" i="16"/>
  <c r="G4285" i="16"/>
  <c r="H4285" i="16"/>
  <c r="I4285" i="16"/>
  <c r="E4284" i="16"/>
  <c r="F4284" i="16"/>
  <c r="G4284" i="16"/>
  <c r="H4284" i="16"/>
  <c r="I4284" i="16" s="1"/>
  <c r="E4283" i="16"/>
  <c r="F4283" i="16"/>
  <c r="G4283" i="16"/>
  <c r="I4283" i="16" s="1"/>
  <c r="H4283" i="16"/>
  <c r="E4282" i="16"/>
  <c r="G4276" i="16" s="1"/>
  <c r="I4276" i="16" s="1"/>
  <c r="F4282" i="16"/>
  <c r="E4281" i="16"/>
  <c r="F4281" i="16"/>
  <c r="G4281" i="16"/>
  <c r="H4281" i="16"/>
  <c r="E4280" i="16"/>
  <c r="F4280" i="16"/>
  <c r="G4280" i="16"/>
  <c r="H4280" i="16"/>
  <c r="E4279" i="16"/>
  <c r="F4279" i="16"/>
  <c r="E4278" i="16"/>
  <c r="F4278" i="16"/>
  <c r="H4278" i="16"/>
  <c r="E4277" i="16"/>
  <c r="F4277" i="16"/>
  <c r="G4277" i="16"/>
  <c r="H4277" i="16"/>
  <c r="E4276" i="16"/>
  <c r="F4276" i="16"/>
  <c r="H4276" i="16"/>
  <c r="E4275" i="16"/>
  <c r="F4275" i="16"/>
  <c r="E4274" i="16"/>
  <c r="G4275" i="16" s="1"/>
  <c r="F4274" i="16"/>
  <c r="H4274" i="16"/>
  <c r="E4273" i="16"/>
  <c r="F4273" i="16"/>
  <c r="E4272" i="16"/>
  <c r="F4272" i="16"/>
  <c r="G4272" i="16"/>
  <c r="H4272" i="16"/>
  <c r="I4272" i="16"/>
  <c r="E4271" i="16"/>
  <c r="F4271" i="16"/>
  <c r="G4271" i="16"/>
  <c r="H4271" i="16"/>
  <c r="I4271" i="16"/>
  <c r="E4270" i="16"/>
  <c r="F4270" i="16"/>
  <c r="E4269" i="16"/>
  <c r="F4269" i="16"/>
  <c r="K4567" i="16"/>
  <c r="E4268" i="16"/>
  <c r="L4569" i="16" s="1"/>
  <c r="F4268" i="16"/>
  <c r="G4268" i="16"/>
  <c r="H4268" i="16"/>
  <c r="I4268" i="16"/>
  <c r="I4567" i="16"/>
  <c r="M3751" i="16"/>
  <c r="N3751" i="16"/>
  <c r="M3697" i="16"/>
  <c r="N3697" i="16"/>
  <c r="M3698" i="16"/>
  <c r="Z71" i="16"/>
  <c r="M3643" i="16"/>
  <c r="N3643" i="16"/>
  <c r="M3644" i="16"/>
  <c r="Z70" i="16"/>
  <c r="M3589" i="16"/>
  <c r="N3589" i="16"/>
  <c r="M3535" i="16"/>
  <c r="N3535" i="16"/>
  <c r="M3427" i="16"/>
  <c r="N3427" i="16"/>
  <c r="Z66" i="16"/>
  <c r="M3373" i="16"/>
  <c r="N3373" i="16"/>
  <c r="M3374" i="16"/>
  <c r="M3319" i="16"/>
  <c r="N3319" i="16"/>
  <c r="M3265" i="16"/>
  <c r="N3265" i="16"/>
  <c r="Z63" i="16"/>
  <c r="O25" i="9" s="1"/>
  <c r="M3211" i="16"/>
  <c r="N3211" i="16"/>
  <c r="M3212" i="16"/>
  <c r="Z62" i="16"/>
  <c r="M3157" i="16"/>
  <c r="N3157" i="16"/>
  <c r="M3158" i="16"/>
  <c r="M2941" i="16"/>
  <c r="N2941" i="16"/>
  <c r="M2942" i="16"/>
  <c r="Z57" i="16"/>
  <c r="M2509" i="16"/>
  <c r="N2509" i="16"/>
  <c r="M2510" i="16"/>
  <c r="Z49" i="16"/>
  <c r="M2293" i="16"/>
  <c r="N2293" i="16"/>
  <c r="M2294" i="16"/>
  <c r="Z45" i="16"/>
  <c r="M2077" i="16"/>
  <c r="N2077" i="16"/>
  <c r="Z41" i="16"/>
  <c r="M1861" i="16"/>
  <c r="N1861" i="16"/>
  <c r="M1862" i="16"/>
  <c r="Z37" i="16"/>
  <c r="M1807" i="16"/>
  <c r="N1807" i="16"/>
  <c r="M1808" i="16"/>
  <c r="M1645" i="16"/>
  <c r="N1645" i="16"/>
  <c r="M1646" i="16"/>
  <c r="Z33" i="16"/>
  <c r="M943" i="16"/>
  <c r="N943" i="16"/>
  <c r="M944" i="16"/>
  <c r="Z20" i="16"/>
  <c r="M889" i="16"/>
  <c r="N889" i="16"/>
  <c r="M835" i="16"/>
  <c r="N835" i="16"/>
  <c r="M836" i="16"/>
  <c r="Z18" i="16"/>
  <c r="O22" i="9" s="1"/>
  <c r="M727" i="16"/>
  <c r="N727" i="16"/>
  <c r="Z16" i="16"/>
  <c r="M673" i="16"/>
  <c r="N673" i="16"/>
  <c r="M674" i="16"/>
  <c r="M511" i="16"/>
  <c r="N511" i="16"/>
  <c r="M512" i="16"/>
  <c r="Z12" i="16"/>
  <c r="M457" i="16"/>
  <c r="N457" i="16"/>
  <c r="M403" i="16"/>
  <c r="N403" i="16"/>
  <c r="M404" i="16"/>
  <c r="M295" i="16"/>
  <c r="N295" i="16"/>
  <c r="M296" i="16"/>
  <c r="Z8" i="16"/>
  <c r="M79" i="16"/>
  <c r="N79" i="16"/>
  <c r="Z4" i="16"/>
  <c r="C8" i="6"/>
  <c r="C9" i="6"/>
  <c r="C10" i="6"/>
  <c r="C12" i="6"/>
  <c r="C13" i="6"/>
  <c r="C14" i="6"/>
  <c r="C15" i="6"/>
  <c r="C16" i="6"/>
  <c r="C17" i="6"/>
  <c r="C18" i="6"/>
  <c r="C19" i="6"/>
  <c r="C20" i="6"/>
  <c r="G65" i="9" s="1"/>
  <c r="C21" i="6"/>
  <c r="C23" i="6"/>
  <c r="C24" i="6"/>
  <c r="C25" i="6"/>
  <c r="E10" i="13"/>
  <c r="G10" i="13" s="1"/>
  <c r="I3641" i="16"/>
  <c r="N4513" i="16"/>
  <c r="M4513" i="16"/>
  <c r="N4213" i="16"/>
  <c r="M4213" i="16"/>
  <c r="I3749" i="16"/>
  <c r="O3751" i="16" s="1"/>
  <c r="I3695" i="16"/>
  <c r="I3587" i="16"/>
  <c r="O3589" i="16" s="1"/>
  <c r="I3533" i="16"/>
  <c r="O3535" i="16" s="1"/>
  <c r="M3481" i="16"/>
  <c r="N3481" i="16"/>
  <c r="I2993" i="16"/>
  <c r="N2617" i="16"/>
  <c r="M2617" i="16"/>
  <c r="I2291" i="16"/>
  <c r="N2239" i="16"/>
  <c r="M2239" i="16"/>
  <c r="I1967" i="16"/>
  <c r="I1913" i="16"/>
  <c r="I1859" i="16"/>
  <c r="I1535" i="16"/>
  <c r="I1481" i="16"/>
  <c r="I1103" i="16"/>
  <c r="I725" i="16"/>
  <c r="O727" i="16" s="1"/>
  <c r="I671" i="16"/>
  <c r="N619" i="16"/>
  <c r="M619" i="16"/>
  <c r="M620" i="16"/>
  <c r="N17" i="4"/>
  <c r="M17" i="4"/>
  <c r="D17" i="5"/>
  <c r="C37" i="17"/>
  <c r="D37" i="17" s="1"/>
  <c r="L12" i="5"/>
  <c r="Z65" i="16"/>
  <c r="O27" i="9" s="1"/>
  <c r="Z64" i="16"/>
  <c r="O26" i="9" s="1"/>
  <c r="Z61" i="16"/>
  <c r="Z36" i="16"/>
  <c r="O19" i="9" s="1"/>
  <c r="Z19" i="16"/>
  <c r="Z11" i="16"/>
  <c r="Z10" i="16"/>
  <c r="O350" i="16"/>
  <c r="I4513" i="16"/>
  <c r="AM3869" i="16"/>
  <c r="I3869" i="16"/>
  <c r="I3868" i="16"/>
  <c r="AM3867" i="16"/>
  <c r="S3867" i="16"/>
  <c r="S3846" i="16"/>
  <c r="I3846" i="16"/>
  <c r="AM3845" i="16"/>
  <c r="AC3840" i="16"/>
  <c r="S3839" i="16"/>
  <c r="AM3838" i="16"/>
  <c r="AC3837" i="16"/>
  <c r="I3836" i="16"/>
  <c r="AC3808" i="16"/>
  <c r="AM3807" i="16"/>
  <c r="I3807" i="16"/>
  <c r="AM3806" i="16"/>
  <c r="AC3806" i="16"/>
  <c r="S3806" i="16"/>
  <c r="O3481" i="16"/>
  <c r="O2617" i="16"/>
  <c r="O2239" i="16"/>
  <c r="O619" i="16"/>
  <c r="K4160" i="16"/>
  <c r="F4160" i="16"/>
  <c r="K3752" i="16"/>
  <c r="F3752" i="16"/>
  <c r="L3753" i="16"/>
  <c r="L3699" i="16"/>
  <c r="L3645" i="16"/>
  <c r="F3590" i="16"/>
  <c r="K3590" i="16"/>
  <c r="L3591" i="16"/>
  <c r="F3536" i="16"/>
  <c r="K3536" i="16"/>
  <c r="L3537" i="16"/>
  <c r="K3482" i="16"/>
  <c r="F3482" i="16"/>
  <c r="O3482" i="16" s="1"/>
  <c r="F3428" i="16"/>
  <c r="O3428" i="16" s="1"/>
  <c r="K3428" i="16"/>
  <c r="L3429" i="16"/>
  <c r="L3375" i="16"/>
  <c r="F3320" i="16"/>
  <c r="O3320" i="16" s="1"/>
  <c r="K3320" i="16"/>
  <c r="L3321" i="16"/>
  <c r="F3266" i="16"/>
  <c r="O3266" i="16" s="1"/>
  <c r="K3266" i="16"/>
  <c r="L3267" i="16"/>
  <c r="I3047" i="16"/>
  <c r="O3050" i="16" s="1"/>
  <c r="O3049" i="16"/>
  <c r="L2943" i="16"/>
  <c r="F2618" i="16"/>
  <c r="O2618" i="16" s="1"/>
  <c r="K2618" i="16"/>
  <c r="L2295" i="16"/>
  <c r="F2240" i="16"/>
  <c r="O2240" i="16" s="1"/>
  <c r="K2240" i="16"/>
  <c r="F2078" i="16"/>
  <c r="O2078" i="16" s="1"/>
  <c r="K2078" i="16"/>
  <c r="L2079" i="16"/>
  <c r="L1863" i="16"/>
  <c r="L1809" i="16"/>
  <c r="L1647" i="16"/>
  <c r="K1647" i="16"/>
  <c r="L945" i="16"/>
  <c r="K890" i="16"/>
  <c r="F890" i="16"/>
  <c r="O890" i="16" s="1"/>
  <c r="L891" i="16"/>
  <c r="L837" i="16"/>
  <c r="F728" i="16"/>
  <c r="K728" i="16"/>
  <c r="L729" i="16"/>
  <c r="L675" i="16"/>
  <c r="L513" i="16"/>
  <c r="L459" i="16"/>
  <c r="L405" i="16"/>
  <c r="L297" i="16"/>
  <c r="K80" i="16"/>
  <c r="F80" i="16"/>
  <c r="O80" i="16" s="1"/>
  <c r="L81" i="16"/>
  <c r="F18" i="4"/>
  <c r="C18" i="5" s="1"/>
  <c r="K18" i="4"/>
  <c r="I2723" i="16"/>
  <c r="O2726" i="16" s="1"/>
  <c r="O2725" i="16"/>
  <c r="I2669" i="16"/>
  <c r="O2672" i="16" s="1"/>
  <c r="O2671" i="16"/>
  <c r="I1157" i="16"/>
  <c r="I293" i="16"/>
  <c r="O295" i="16"/>
  <c r="I239" i="16"/>
  <c r="O242" i="16" s="1"/>
  <c r="O241" i="16"/>
  <c r="I185" i="16"/>
  <c r="O188" i="16" s="1"/>
  <c r="O187" i="16"/>
  <c r="S187" i="16" s="1"/>
  <c r="T187" i="16" s="1"/>
  <c r="O296" i="16" l="1"/>
  <c r="S296" i="16" s="1"/>
  <c r="T296" i="16" s="1"/>
  <c r="O189" i="16"/>
  <c r="I4302" i="16"/>
  <c r="I4317" i="16"/>
  <c r="I4316" i="16"/>
  <c r="I4315" i="16"/>
  <c r="I4314" i="16"/>
  <c r="I4313" i="16"/>
  <c r="I4312" i="16"/>
  <c r="I4310" i="16"/>
  <c r="I4309" i="16"/>
  <c r="I4308" i="16"/>
  <c r="I4306" i="16"/>
  <c r="I4305" i="16"/>
  <c r="I4304" i="16"/>
  <c r="I4281" i="16"/>
  <c r="I4280" i="16"/>
  <c r="I4277" i="16"/>
  <c r="O28" i="9"/>
  <c r="O24" i="9"/>
  <c r="O16" i="9"/>
  <c r="O3752" i="16"/>
  <c r="O3590" i="16"/>
  <c r="O3536" i="16"/>
  <c r="K4053" i="16"/>
  <c r="F4053" i="16"/>
  <c r="F3699" i="16"/>
  <c r="O3699" i="16" s="1"/>
  <c r="K3699" i="16"/>
  <c r="M3699" i="16" s="1"/>
  <c r="K2295" i="16"/>
  <c r="F2295" i="16"/>
  <c r="O2295" i="16" s="1"/>
  <c r="K1701" i="16"/>
  <c r="F1701" i="16"/>
  <c r="O1701" i="16" s="1"/>
  <c r="K945" i="16"/>
  <c r="F945" i="16"/>
  <c r="O945" i="16" s="1"/>
  <c r="K891" i="16"/>
  <c r="F891" i="16"/>
  <c r="O891" i="16" s="1"/>
  <c r="F297" i="16"/>
  <c r="O297" i="16" s="1"/>
  <c r="K297" i="16"/>
  <c r="M297" i="16" s="1"/>
  <c r="K243" i="16"/>
  <c r="F243" i="16"/>
  <c r="O243" i="16" s="1"/>
  <c r="T23" i="9"/>
  <c r="V23" i="9"/>
  <c r="C14" i="9"/>
  <c r="D14" i="9"/>
  <c r="E14" i="9"/>
  <c r="C13" i="9"/>
  <c r="D13" i="9"/>
  <c r="E13" i="9"/>
  <c r="T12" i="9"/>
  <c r="V12" i="9"/>
  <c r="C12" i="9"/>
  <c r="D12" i="9"/>
  <c r="E12" i="9"/>
  <c r="O12" i="9"/>
  <c r="G4307" i="16"/>
  <c r="H4307" i="16"/>
  <c r="I4307" i="16" s="1"/>
  <c r="O1159" i="16"/>
  <c r="S1159" i="16" s="1"/>
  <c r="T1159" i="16" s="1"/>
  <c r="O1160" i="16"/>
  <c r="N4676" i="16"/>
  <c r="S4676" i="16" s="1"/>
  <c r="T4676" i="16" s="1"/>
  <c r="M4676" i="16"/>
  <c r="M4677" i="16"/>
  <c r="D4677" i="16"/>
  <c r="J4677" i="16"/>
  <c r="N4677" i="16" s="1"/>
  <c r="P4677" i="16"/>
  <c r="Q4677" i="16"/>
  <c r="R4677" i="16"/>
  <c r="L4678" i="16"/>
  <c r="C4678" i="16"/>
  <c r="K4678" i="16" s="1"/>
  <c r="E4678" i="16"/>
  <c r="F4678" i="16"/>
  <c r="G4678" i="16"/>
  <c r="I4678" i="16"/>
  <c r="B4679" i="16"/>
  <c r="P4623" i="16"/>
  <c r="Q4623" i="16"/>
  <c r="R4623" i="16"/>
  <c r="C4624" i="16"/>
  <c r="D4624" i="16" s="1"/>
  <c r="E4624" i="16"/>
  <c r="F4624" i="16"/>
  <c r="G4624" i="16"/>
  <c r="B4625" i="16"/>
  <c r="M4569" i="16"/>
  <c r="D4569" i="16"/>
  <c r="J4569" i="16"/>
  <c r="N4569" i="16" s="1"/>
  <c r="Q4569" i="16"/>
  <c r="P4569" i="16"/>
  <c r="R4569" i="16"/>
  <c r="C4570" i="16"/>
  <c r="F4570" i="16" s="1"/>
  <c r="E4570" i="16"/>
  <c r="G4570" i="16"/>
  <c r="K4570" i="16"/>
  <c r="L4570" i="16"/>
  <c r="B4571" i="16"/>
  <c r="I4570" i="16"/>
  <c r="D4515" i="16"/>
  <c r="J4515" i="16"/>
  <c r="P4515" i="16"/>
  <c r="Q4515" i="16"/>
  <c r="R4515" i="16"/>
  <c r="C4516" i="16"/>
  <c r="F4516" i="16" s="1"/>
  <c r="E4516" i="16"/>
  <c r="G4516" i="16"/>
  <c r="K4516" i="16"/>
  <c r="I4516" i="16"/>
  <c r="L4516" i="16"/>
  <c r="B4517" i="16"/>
  <c r="D4215" i="16"/>
  <c r="J4215" i="16"/>
  <c r="N4215" i="16" s="1"/>
  <c r="P4215" i="16"/>
  <c r="Q4215" i="16"/>
  <c r="R4215" i="16"/>
  <c r="M4215" i="16"/>
  <c r="C4216" i="16"/>
  <c r="F4216" i="16" s="1"/>
  <c r="E4216" i="16"/>
  <c r="G4216" i="16"/>
  <c r="I4216" i="16"/>
  <c r="K4216" i="16"/>
  <c r="L4216" i="16"/>
  <c r="B4217" i="16"/>
  <c r="D4161" i="16"/>
  <c r="J4161" i="16"/>
  <c r="N4161" i="16" s="1"/>
  <c r="P4161" i="16"/>
  <c r="Q4161" i="16"/>
  <c r="R4161" i="16"/>
  <c r="M4161" i="16"/>
  <c r="L4162" i="16"/>
  <c r="B4163" i="16"/>
  <c r="I4162" i="16"/>
  <c r="C4162" i="16"/>
  <c r="F4162" i="16" s="1"/>
  <c r="E4162" i="16"/>
  <c r="G4162" i="16"/>
  <c r="K4162" i="16"/>
  <c r="J4107" i="16"/>
  <c r="N4107" i="16" s="1"/>
  <c r="D4107" i="16"/>
  <c r="P4107" i="16"/>
  <c r="Q4107" i="16"/>
  <c r="R4107" i="16"/>
  <c r="M4107" i="16"/>
  <c r="I4108" i="16"/>
  <c r="L4108" i="16"/>
  <c r="C4108" i="16"/>
  <c r="E4108" i="16"/>
  <c r="F4108" i="16"/>
  <c r="G4108" i="16"/>
  <c r="K4108" i="16"/>
  <c r="B4109" i="16"/>
  <c r="N4052" i="16"/>
  <c r="U4052" i="16" s="1"/>
  <c r="M4052" i="16"/>
  <c r="M4053" i="16"/>
  <c r="D4053" i="16"/>
  <c r="J4053" i="16"/>
  <c r="N4053" i="16" s="1"/>
  <c r="P4053" i="16"/>
  <c r="Q4053" i="16"/>
  <c r="R4053" i="16"/>
  <c r="L4054" i="16"/>
  <c r="C4054" i="16"/>
  <c r="K4054" i="16" s="1"/>
  <c r="E4054" i="16"/>
  <c r="F4054" i="16"/>
  <c r="G4054" i="16"/>
  <c r="I4054" i="16"/>
  <c r="B4055" i="16"/>
  <c r="D3753" i="16"/>
  <c r="J3753" i="16"/>
  <c r="P3753" i="16"/>
  <c r="Q3753" i="16"/>
  <c r="R3753" i="16"/>
  <c r="L3754" i="16"/>
  <c r="C3754" i="16"/>
  <c r="E3754" i="16"/>
  <c r="G3754" i="16"/>
  <c r="I3754" i="16"/>
  <c r="B3755" i="16"/>
  <c r="J3699" i="16"/>
  <c r="N3699" i="16" s="1"/>
  <c r="D3699" i="16"/>
  <c r="P3699" i="16"/>
  <c r="Q3699" i="16"/>
  <c r="R3699" i="16"/>
  <c r="L3700" i="16"/>
  <c r="G3700" i="16"/>
  <c r="B3701" i="16"/>
  <c r="C3700" i="16"/>
  <c r="E3700" i="16"/>
  <c r="I3700" i="16"/>
  <c r="D3645" i="16"/>
  <c r="J3645" i="16"/>
  <c r="N3645" i="16" s="1"/>
  <c r="P3645" i="16"/>
  <c r="Q3645" i="16"/>
  <c r="R3645" i="16"/>
  <c r="L3646" i="16"/>
  <c r="C3646" i="16"/>
  <c r="E3646" i="16"/>
  <c r="G3646" i="16"/>
  <c r="I3646" i="16"/>
  <c r="B3647" i="16"/>
  <c r="D3591" i="16"/>
  <c r="J3591" i="16"/>
  <c r="N3591" i="16" s="1"/>
  <c r="P3591" i="16"/>
  <c r="Q3591" i="16"/>
  <c r="R3591" i="16"/>
  <c r="L3592" i="16"/>
  <c r="C3592" i="16"/>
  <c r="K3592" i="16" s="1"/>
  <c r="E3592" i="16"/>
  <c r="F3592" i="16"/>
  <c r="O3592" i="16" s="1"/>
  <c r="G3592" i="16"/>
  <c r="I3592" i="16"/>
  <c r="B3593" i="16"/>
  <c r="D3537" i="16"/>
  <c r="J3537" i="16"/>
  <c r="P3537" i="16"/>
  <c r="Q3537" i="16"/>
  <c r="R3537" i="16"/>
  <c r="L3538" i="16"/>
  <c r="C3538" i="16"/>
  <c r="K3538" i="16" s="1"/>
  <c r="E3538" i="16"/>
  <c r="F3538" i="16"/>
  <c r="O3538" i="16" s="1"/>
  <c r="G3538" i="16"/>
  <c r="I3538" i="16"/>
  <c r="B3539" i="16"/>
  <c r="D3483" i="16"/>
  <c r="J3483" i="16"/>
  <c r="P3483" i="16"/>
  <c r="Q3483" i="16"/>
  <c r="R3483" i="16"/>
  <c r="L3484" i="16"/>
  <c r="I3484" i="16"/>
  <c r="C3484" i="16"/>
  <c r="E3484" i="16"/>
  <c r="G3484" i="16"/>
  <c r="B3485" i="16"/>
  <c r="D3429" i="16"/>
  <c r="J3429" i="16"/>
  <c r="N3429" i="16" s="1"/>
  <c r="P3429" i="16"/>
  <c r="Q3429" i="16"/>
  <c r="R3429" i="16"/>
  <c r="L3430" i="16"/>
  <c r="C3430" i="16"/>
  <c r="E3430" i="16"/>
  <c r="G3430" i="16"/>
  <c r="I3430" i="16"/>
  <c r="B3431" i="16"/>
  <c r="D3375" i="16"/>
  <c r="J3375" i="16"/>
  <c r="N3375" i="16" s="1"/>
  <c r="P3375" i="16"/>
  <c r="Q3375" i="16"/>
  <c r="R3375" i="16"/>
  <c r="L3376" i="16"/>
  <c r="C3376" i="16"/>
  <c r="K3376" i="16" s="1"/>
  <c r="E3376" i="16"/>
  <c r="F3376" i="16"/>
  <c r="O3376" i="16" s="1"/>
  <c r="G3376" i="16"/>
  <c r="I3376" i="16"/>
  <c r="B3377" i="16"/>
  <c r="D3321" i="16"/>
  <c r="J3321" i="16"/>
  <c r="N3321" i="16" s="1"/>
  <c r="P3321" i="16"/>
  <c r="Q3321" i="16"/>
  <c r="R3321" i="16"/>
  <c r="L3322" i="16"/>
  <c r="C3322" i="16"/>
  <c r="K3322" i="16" s="1"/>
  <c r="E3322" i="16"/>
  <c r="F3322" i="16"/>
  <c r="O3322" i="16" s="1"/>
  <c r="G3322" i="16"/>
  <c r="I3322" i="16"/>
  <c r="B3323" i="16"/>
  <c r="D3267" i="16"/>
  <c r="J3267" i="16"/>
  <c r="N3267" i="16" s="1"/>
  <c r="P3267" i="16"/>
  <c r="Q3267" i="16"/>
  <c r="R3267" i="16"/>
  <c r="L3268" i="16"/>
  <c r="C3268" i="16"/>
  <c r="K3268" i="16" s="1"/>
  <c r="E3268" i="16"/>
  <c r="F3268" i="16"/>
  <c r="O3268" i="16" s="1"/>
  <c r="G3268" i="16"/>
  <c r="I3268" i="16"/>
  <c r="B3269" i="16"/>
  <c r="K3213" i="16"/>
  <c r="D3213" i="16"/>
  <c r="J3213" i="16"/>
  <c r="P3213" i="16"/>
  <c r="Q3213" i="16"/>
  <c r="R3213" i="16"/>
  <c r="L3214" i="16"/>
  <c r="C3214" i="16"/>
  <c r="K3214" i="16" s="1"/>
  <c r="E3214" i="16"/>
  <c r="F3214" i="16"/>
  <c r="O3214" i="16" s="1"/>
  <c r="G3214" i="16"/>
  <c r="I3214" i="16"/>
  <c r="B3215" i="16"/>
  <c r="K3159" i="16"/>
  <c r="D3159" i="16"/>
  <c r="J3159" i="16"/>
  <c r="P3159" i="16"/>
  <c r="Q3159" i="16"/>
  <c r="R3159" i="16"/>
  <c r="L3160" i="16"/>
  <c r="C3160" i="16"/>
  <c r="E3160" i="16"/>
  <c r="G3160" i="16"/>
  <c r="I3160" i="16"/>
  <c r="B3161" i="16"/>
  <c r="P3105" i="16"/>
  <c r="Q3105" i="16"/>
  <c r="R3105" i="16"/>
  <c r="L3106" i="16"/>
  <c r="E3106" i="16"/>
  <c r="B3107" i="16"/>
  <c r="I3106" i="16"/>
  <c r="C3106" i="16"/>
  <c r="G3106" i="16"/>
  <c r="D3105" i="16"/>
  <c r="J3105" i="16"/>
  <c r="M3104" i="16"/>
  <c r="N3104" i="16"/>
  <c r="N3050" i="16"/>
  <c r="M3050" i="16"/>
  <c r="P3051" i="16"/>
  <c r="Q3051" i="16"/>
  <c r="R3051" i="16"/>
  <c r="J3051" i="16"/>
  <c r="D3051" i="16"/>
  <c r="L3052" i="16"/>
  <c r="E3052" i="16"/>
  <c r="G3052" i="16"/>
  <c r="C3052" i="16"/>
  <c r="I3052" i="16"/>
  <c r="B3053" i="16"/>
  <c r="M2997" i="16"/>
  <c r="J2997" i="16"/>
  <c r="N2997" i="16" s="1"/>
  <c r="D2997" i="16"/>
  <c r="P2997" i="16"/>
  <c r="Q2997" i="16"/>
  <c r="R2997" i="16"/>
  <c r="L2998" i="16"/>
  <c r="E2998" i="16"/>
  <c r="I2998" i="16"/>
  <c r="B2999" i="16"/>
  <c r="C2998" i="16"/>
  <c r="G2998" i="16"/>
  <c r="M2996" i="16"/>
  <c r="N2996" i="16"/>
  <c r="D2943" i="16"/>
  <c r="J2943" i="16"/>
  <c r="P2943" i="16"/>
  <c r="Q2943" i="16"/>
  <c r="R2943" i="16"/>
  <c r="L2944" i="16"/>
  <c r="C2944" i="16"/>
  <c r="E2944" i="16"/>
  <c r="G2944" i="16"/>
  <c r="I2944" i="16"/>
  <c r="B2945" i="16"/>
  <c r="N2888" i="16"/>
  <c r="M2888" i="16"/>
  <c r="M2889" i="16"/>
  <c r="D2889" i="16"/>
  <c r="J2889" i="16"/>
  <c r="N2889" i="16" s="1"/>
  <c r="P2889" i="16"/>
  <c r="Q2889" i="16"/>
  <c r="R2889" i="16"/>
  <c r="L2890" i="16"/>
  <c r="C2890" i="16"/>
  <c r="E2890" i="16"/>
  <c r="G2890" i="16"/>
  <c r="I2890" i="16"/>
  <c r="B2891" i="16"/>
  <c r="M2835" i="16"/>
  <c r="L2836" i="16"/>
  <c r="E2836" i="16"/>
  <c r="G2836" i="16"/>
  <c r="I2836" i="16"/>
  <c r="B2837" i="16"/>
  <c r="C2836" i="16"/>
  <c r="D2835" i="16"/>
  <c r="J2835" i="16"/>
  <c r="N2835" i="16" s="1"/>
  <c r="P2835" i="16"/>
  <c r="Q2835" i="16"/>
  <c r="R2835" i="16"/>
  <c r="N2834" i="16"/>
  <c r="M2834" i="16"/>
  <c r="N2780" i="16"/>
  <c r="S2780" i="16" s="1"/>
  <c r="T2780" i="16" s="1"/>
  <c r="U2780" i="16" s="1"/>
  <c r="M2780" i="16"/>
  <c r="P2781" i="16"/>
  <c r="Q2781" i="16"/>
  <c r="R2781" i="16"/>
  <c r="L2782" i="16"/>
  <c r="E2782" i="16"/>
  <c r="C2782" i="16"/>
  <c r="K2782" i="16" s="1"/>
  <c r="G2782" i="16"/>
  <c r="B2783" i="16"/>
  <c r="I2782" i="16"/>
  <c r="F2782" i="16"/>
  <c r="O2782" i="16" s="1"/>
  <c r="D2781" i="16"/>
  <c r="J2781" i="16"/>
  <c r="L2728" i="16"/>
  <c r="E2728" i="16"/>
  <c r="I2728" i="16"/>
  <c r="B2729" i="16"/>
  <c r="G2728" i="16"/>
  <c r="C2728" i="16"/>
  <c r="J2727" i="16"/>
  <c r="D2727" i="16"/>
  <c r="P2727" i="16"/>
  <c r="Q2727" i="16"/>
  <c r="R2727" i="16"/>
  <c r="N2726" i="16"/>
  <c r="M2726" i="16"/>
  <c r="J2673" i="16"/>
  <c r="D2673" i="16"/>
  <c r="P2673" i="16"/>
  <c r="Q2673" i="16"/>
  <c r="R2673" i="16"/>
  <c r="L2674" i="16"/>
  <c r="C2674" i="16"/>
  <c r="G2674" i="16"/>
  <c r="B2675" i="16"/>
  <c r="I2674" i="16"/>
  <c r="E2674" i="16"/>
  <c r="M2672" i="16"/>
  <c r="N2672" i="16"/>
  <c r="D2619" i="16"/>
  <c r="J2619" i="16"/>
  <c r="P2619" i="16"/>
  <c r="Q2619" i="16"/>
  <c r="R2619" i="16"/>
  <c r="L2620" i="16"/>
  <c r="G2620" i="16"/>
  <c r="B2621" i="16"/>
  <c r="I2620" i="16"/>
  <c r="C2620" i="16"/>
  <c r="E2620" i="16"/>
  <c r="M2564" i="16"/>
  <c r="N2564" i="16"/>
  <c r="M2565" i="16"/>
  <c r="L2566" i="16"/>
  <c r="I2566" i="16"/>
  <c r="G2566" i="16"/>
  <c r="C2566" i="16"/>
  <c r="B2567" i="16"/>
  <c r="E2566" i="16"/>
  <c r="J2565" i="16"/>
  <c r="N2565" i="16" s="1"/>
  <c r="D2565" i="16"/>
  <c r="P2565" i="16"/>
  <c r="Q2565" i="16"/>
  <c r="R2565" i="16"/>
  <c r="K2511" i="16"/>
  <c r="D2511" i="16"/>
  <c r="J2511" i="16"/>
  <c r="P2511" i="16"/>
  <c r="Q2511" i="16"/>
  <c r="R2511" i="16"/>
  <c r="L2512" i="16"/>
  <c r="C2512" i="16"/>
  <c r="K2512" i="16" s="1"/>
  <c r="E2512" i="16"/>
  <c r="F2512" i="16"/>
  <c r="O2512" i="16" s="1"/>
  <c r="G2512" i="16"/>
  <c r="I2512" i="16"/>
  <c r="B2513" i="16"/>
  <c r="N2456" i="16"/>
  <c r="M2456" i="16"/>
  <c r="M2457" i="16"/>
  <c r="D2457" i="16"/>
  <c r="J2457" i="16"/>
  <c r="N2457" i="16" s="1"/>
  <c r="P2457" i="16"/>
  <c r="Q2457" i="16"/>
  <c r="R2457" i="16"/>
  <c r="L2458" i="16"/>
  <c r="C2458" i="16"/>
  <c r="K2458" i="16" s="1"/>
  <c r="E2458" i="16"/>
  <c r="F2458" i="16"/>
  <c r="O2458" i="16" s="1"/>
  <c r="G2458" i="16"/>
  <c r="I2458" i="16"/>
  <c r="B2459" i="16"/>
  <c r="N2402" i="16"/>
  <c r="M2402" i="16"/>
  <c r="M2403" i="16"/>
  <c r="D2403" i="16"/>
  <c r="J2403" i="16"/>
  <c r="N2403" i="16" s="1"/>
  <c r="P2403" i="16"/>
  <c r="Q2403" i="16"/>
  <c r="R2403" i="16"/>
  <c r="L2404" i="16"/>
  <c r="C2404" i="16"/>
  <c r="E2404" i="16"/>
  <c r="G2404" i="16"/>
  <c r="I2404" i="16"/>
  <c r="B2405" i="16"/>
  <c r="M2349" i="16"/>
  <c r="L2350" i="16"/>
  <c r="I2350" i="16"/>
  <c r="E2350" i="16"/>
  <c r="B2351" i="16"/>
  <c r="C2350" i="16"/>
  <c r="G2350" i="16"/>
  <c r="D2349" i="16"/>
  <c r="J2349" i="16"/>
  <c r="N2349" i="16" s="1"/>
  <c r="P2349" i="16"/>
  <c r="Q2349" i="16"/>
  <c r="R2349" i="16"/>
  <c r="N2348" i="16"/>
  <c r="M2348" i="16"/>
  <c r="D2295" i="16"/>
  <c r="J2295" i="16"/>
  <c r="N2295" i="16" s="1"/>
  <c r="P2295" i="16"/>
  <c r="Q2295" i="16"/>
  <c r="R2295" i="16"/>
  <c r="L2296" i="16"/>
  <c r="C2296" i="16"/>
  <c r="E2296" i="16"/>
  <c r="G2296" i="16"/>
  <c r="I2296" i="16"/>
  <c r="B2297" i="16"/>
  <c r="M2241" i="16"/>
  <c r="D2241" i="16"/>
  <c r="J2241" i="16"/>
  <c r="N2241" i="16" s="1"/>
  <c r="P2241" i="16"/>
  <c r="Q2241" i="16"/>
  <c r="R2241" i="16"/>
  <c r="L2242" i="16"/>
  <c r="C2242" i="16"/>
  <c r="K2242" i="16" s="1"/>
  <c r="E2242" i="16"/>
  <c r="F2242" i="16"/>
  <c r="O2242" i="16" s="1"/>
  <c r="G2242" i="16"/>
  <c r="I2242" i="16"/>
  <c r="B2243" i="16"/>
  <c r="N2186" i="16"/>
  <c r="M2186" i="16"/>
  <c r="M2187" i="16"/>
  <c r="D2187" i="16"/>
  <c r="J2187" i="16"/>
  <c r="N2187" i="16" s="1"/>
  <c r="P2187" i="16"/>
  <c r="Q2187" i="16"/>
  <c r="R2187" i="16"/>
  <c r="L2188" i="16"/>
  <c r="C2188" i="16"/>
  <c r="K2188" i="16" s="1"/>
  <c r="E2188" i="16"/>
  <c r="F2188" i="16"/>
  <c r="O2188" i="16" s="1"/>
  <c r="G2188" i="16"/>
  <c r="I2188" i="16"/>
  <c r="B2189" i="16"/>
  <c r="N2132" i="16"/>
  <c r="M2132" i="16"/>
  <c r="M2133" i="16"/>
  <c r="D2133" i="16"/>
  <c r="J2133" i="16"/>
  <c r="N2133" i="16" s="1"/>
  <c r="P2133" i="16"/>
  <c r="Q2133" i="16"/>
  <c r="R2133" i="16"/>
  <c r="L2134" i="16"/>
  <c r="C2134" i="16"/>
  <c r="E2134" i="16"/>
  <c r="G2134" i="16"/>
  <c r="I2134" i="16"/>
  <c r="B2135" i="16"/>
  <c r="D2079" i="16"/>
  <c r="J2079" i="16"/>
  <c r="P2079" i="16"/>
  <c r="Q2079" i="16"/>
  <c r="R2079" i="16"/>
  <c r="L2080" i="16"/>
  <c r="C2080" i="16"/>
  <c r="E2080" i="16"/>
  <c r="G2080" i="16"/>
  <c r="I2080" i="16"/>
  <c r="B2081" i="16"/>
  <c r="N2024" i="16"/>
  <c r="M2024" i="16"/>
  <c r="D2025" i="16"/>
  <c r="J2025" i="16"/>
  <c r="P2025" i="16"/>
  <c r="Q2025" i="16"/>
  <c r="R2025" i="16"/>
  <c r="L2026" i="16"/>
  <c r="C2026" i="16"/>
  <c r="K2026" i="16" s="1"/>
  <c r="E2026" i="16"/>
  <c r="F2026" i="16"/>
  <c r="O2026" i="16" s="1"/>
  <c r="G2026" i="16"/>
  <c r="I2026" i="16"/>
  <c r="B2027" i="16"/>
  <c r="N1970" i="16"/>
  <c r="M1970" i="16"/>
  <c r="M1971" i="16"/>
  <c r="D1971" i="16"/>
  <c r="J1971" i="16"/>
  <c r="N1971" i="16" s="1"/>
  <c r="P1971" i="16"/>
  <c r="Q1971" i="16"/>
  <c r="R1971" i="16"/>
  <c r="L1972" i="16"/>
  <c r="C1972" i="16"/>
  <c r="E1972" i="16"/>
  <c r="G1972" i="16"/>
  <c r="I1972" i="16"/>
  <c r="B1973" i="16"/>
  <c r="N1916" i="16"/>
  <c r="M1916" i="16"/>
  <c r="M1917" i="16"/>
  <c r="D1917" i="16"/>
  <c r="J1917" i="16"/>
  <c r="N1917" i="16" s="1"/>
  <c r="P1917" i="16"/>
  <c r="Q1917" i="16"/>
  <c r="R1917" i="16"/>
  <c r="L1918" i="16"/>
  <c r="C1918" i="16"/>
  <c r="K1918" i="16" s="1"/>
  <c r="E1918" i="16"/>
  <c r="F1918" i="16"/>
  <c r="O1918" i="16" s="1"/>
  <c r="G1918" i="16"/>
  <c r="I1918" i="16"/>
  <c r="B1919" i="16"/>
  <c r="D1863" i="16"/>
  <c r="J1863" i="16"/>
  <c r="N1863" i="16" s="1"/>
  <c r="P1863" i="16"/>
  <c r="Q1863" i="16"/>
  <c r="R1863" i="16"/>
  <c r="L1864" i="16"/>
  <c r="C1864" i="16"/>
  <c r="E1864" i="16"/>
  <c r="G1864" i="16"/>
  <c r="I1864" i="16"/>
  <c r="B1865" i="16"/>
  <c r="D1809" i="16"/>
  <c r="J1809" i="16"/>
  <c r="N1809" i="16" s="1"/>
  <c r="P1809" i="16"/>
  <c r="Q1809" i="16"/>
  <c r="R1809" i="16"/>
  <c r="L1810" i="16"/>
  <c r="C1810" i="16"/>
  <c r="E1810" i="16"/>
  <c r="G1810" i="16"/>
  <c r="I1810" i="16"/>
  <c r="B1811" i="16"/>
  <c r="N1754" i="16"/>
  <c r="M1754" i="16"/>
  <c r="D1755" i="16"/>
  <c r="J1755" i="16"/>
  <c r="P1755" i="16"/>
  <c r="Q1755" i="16"/>
  <c r="R1755" i="16"/>
  <c r="L1756" i="16"/>
  <c r="C1756" i="16"/>
  <c r="K1756" i="16" s="1"/>
  <c r="E1756" i="16"/>
  <c r="F1756" i="16"/>
  <c r="O1756" i="16" s="1"/>
  <c r="G1756" i="16"/>
  <c r="I1756" i="16"/>
  <c r="B1757" i="16"/>
  <c r="N1700" i="16"/>
  <c r="M1700" i="16"/>
  <c r="M1701" i="16"/>
  <c r="D1701" i="16"/>
  <c r="J1701" i="16"/>
  <c r="N1701" i="16" s="1"/>
  <c r="P1701" i="16"/>
  <c r="Q1701" i="16"/>
  <c r="R1701" i="16"/>
  <c r="L1702" i="16"/>
  <c r="C1702" i="16"/>
  <c r="K1702" i="16" s="1"/>
  <c r="E1702" i="16"/>
  <c r="F1702" i="16"/>
  <c r="O1702" i="16" s="1"/>
  <c r="G1702" i="16"/>
  <c r="I1702" i="16"/>
  <c r="B1703" i="16"/>
  <c r="D1647" i="16"/>
  <c r="J1647" i="16"/>
  <c r="N1647" i="16" s="1"/>
  <c r="P1647" i="16"/>
  <c r="Q1647" i="16"/>
  <c r="R1647" i="16"/>
  <c r="L1648" i="16"/>
  <c r="C1648" i="16"/>
  <c r="K1648" i="16" s="1"/>
  <c r="E1648" i="16"/>
  <c r="F1648" i="16"/>
  <c r="O1648" i="16" s="1"/>
  <c r="G1648" i="16"/>
  <c r="I1648" i="16"/>
  <c r="B1649" i="16"/>
  <c r="N1592" i="16"/>
  <c r="M1592" i="16"/>
  <c r="M1593" i="16"/>
  <c r="D1593" i="16"/>
  <c r="J1593" i="16"/>
  <c r="N1593" i="16" s="1"/>
  <c r="P1593" i="16"/>
  <c r="Q1593" i="16"/>
  <c r="R1593" i="16"/>
  <c r="L1594" i="16"/>
  <c r="C1594" i="16"/>
  <c r="K1594" i="16" s="1"/>
  <c r="E1594" i="16"/>
  <c r="F1594" i="16"/>
  <c r="O1594" i="16" s="1"/>
  <c r="G1594" i="16"/>
  <c r="I1594" i="16"/>
  <c r="B1595" i="16"/>
  <c r="N1538" i="16"/>
  <c r="M1538" i="16"/>
  <c r="M1539" i="16"/>
  <c r="D1539" i="16"/>
  <c r="J1539" i="16"/>
  <c r="N1539" i="16" s="1"/>
  <c r="P1539" i="16"/>
  <c r="Q1539" i="16"/>
  <c r="R1539" i="16"/>
  <c r="L1540" i="16"/>
  <c r="C1540" i="16"/>
  <c r="K1540" i="16" s="1"/>
  <c r="E1540" i="16"/>
  <c r="F1540" i="16"/>
  <c r="O1540" i="16" s="1"/>
  <c r="G1540" i="16"/>
  <c r="I1540" i="16"/>
  <c r="B1541" i="16"/>
  <c r="P1485" i="16"/>
  <c r="Q1485" i="16"/>
  <c r="R1485" i="16"/>
  <c r="L1486" i="16"/>
  <c r="B1487" i="16"/>
  <c r="I1486" i="16"/>
  <c r="E1486" i="16"/>
  <c r="G1486" i="16"/>
  <c r="C1486" i="16"/>
  <c r="J1485" i="16"/>
  <c r="D1485" i="16"/>
  <c r="M1484" i="16"/>
  <c r="N1484" i="16"/>
  <c r="N1430" i="16"/>
  <c r="M1430" i="16"/>
  <c r="D1431" i="16"/>
  <c r="J1431" i="16"/>
  <c r="P1431" i="16"/>
  <c r="Q1431" i="16"/>
  <c r="R1431" i="16"/>
  <c r="L1432" i="16"/>
  <c r="C1432" i="16"/>
  <c r="K1432" i="16" s="1"/>
  <c r="E1432" i="16"/>
  <c r="F1432" i="16"/>
  <c r="O1432" i="16" s="1"/>
  <c r="G1432" i="16"/>
  <c r="I1432" i="16"/>
  <c r="B1433" i="16"/>
  <c r="L1378" i="16"/>
  <c r="E1378" i="16"/>
  <c r="G1378" i="16"/>
  <c r="I1378" i="16"/>
  <c r="C1378" i="16"/>
  <c r="B1379" i="16"/>
  <c r="P1377" i="16"/>
  <c r="Q1377" i="16"/>
  <c r="R1377" i="16"/>
  <c r="D1377" i="16"/>
  <c r="J1377" i="16"/>
  <c r="N1376" i="16"/>
  <c r="M1376" i="16"/>
  <c r="N1322" i="16"/>
  <c r="M1322" i="16"/>
  <c r="M1323" i="16"/>
  <c r="J1323" i="16"/>
  <c r="N1323" i="16" s="1"/>
  <c r="D1323" i="16"/>
  <c r="L1324" i="16"/>
  <c r="C1324" i="16"/>
  <c r="B1325" i="16"/>
  <c r="I1324" i="16"/>
  <c r="G1324" i="16"/>
  <c r="E1324" i="16"/>
  <c r="P1323" i="16"/>
  <c r="Q1323" i="16"/>
  <c r="R1323" i="16"/>
  <c r="M1269" i="16"/>
  <c r="D1269" i="16"/>
  <c r="J1269" i="16"/>
  <c r="N1269" i="16" s="1"/>
  <c r="P1269" i="16"/>
  <c r="Q1269" i="16"/>
  <c r="R1269" i="16"/>
  <c r="L1270" i="16"/>
  <c r="G1270" i="16"/>
  <c r="B1271" i="16"/>
  <c r="E1270" i="16"/>
  <c r="C1270" i="16"/>
  <c r="I1270" i="16"/>
  <c r="N1268" i="16"/>
  <c r="M1268" i="16"/>
  <c r="N1214" i="16"/>
  <c r="M1214" i="16"/>
  <c r="D1215" i="16"/>
  <c r="J1215" i="16"/>
  <c r="P1215" i="16"/>
  <c r="Q1215" i="16"/>
  <c r="R1215" i="16"/>
  <c r="L1216" i="16"/>
  <c r="G1216" i="16"/>
  <c r="E1216" i="16"/>
  <c r="C1216" i="16"/>
  <c r="K1216" i="16" s="1"/>
  <c r="F1216" i="16"/>
  <c r="O1216" i="16" s="1"/>
  <c r="I1216" i="16"/>
  <c r="B1217" i="16"/>
  <c r="N1215" i="16"/>
  <c r="M1215" i="16"/>
  <c r="N1160" i="16"/>
  <c r="M1160" i="16"/>
  <c r="M1161" i="16"/>
  <c r="D1161" i="16"/>
  <c r="J1161" i="16"/>
  <c r="N1161" i="16" s="1"/>
  <c r="P1161" i="16"/>
  <c r="Q1161" i="16"/>
  <c r="R1161" i="16"/>
  <c r="L1162" i="16"/>
  <c r="C1162" i="16"/>
  <c r="E1162" i="16"/>
  <c r="G1162" i="16"/>
  <c r="I1162" i="16"/>
  <c r="B1163" i="16"/>
  <c r="N1106" i="16"/>
  <c r="M1106" i="16"/>
  <c r="D1107" i="16"/>
  <c r="J1107" i="16"/>
  <c r="P1107" i="16"/>
  <c r="Q1107" i="16"/>
  <c r="R1107" i="16"/>
  <c r="L1108" i="16"/>
  <c r="C1108" i="16"/>
  <c r="E1108" i="16"/>
  <c r="G1108" i="16"/>
  <c r="I1108" i="16"/>
  <c r="B1109" i="16"/>
  <c r="N1052" i="16"/>
  <c r="M1052" i="16"/>
  <c r="M1053" i="16"/>
  <c r="D1053" i="16"/>
  <c r="J1053" i="16"/>
  <c r="N1053" i="16" s="1"/>
  <c r="P1053" i="16"/>
  <c r="Q1053" i="16"/>
  <c r="R1053" i="16"/>
  <c r="L1054" i="16"/>
  <c r="C1054" i="16"/>
  <c r="K1054" i="16" s="1"/>
  <c r="E1054" i="16"/>
  <c r="F1054" i="16"/>
  <c r="O1054" i="16" s="1"/>
  <c r="G1054" i="16"/>
  <c r="I1054" i="16"/>
  <c r="B1055" i="16"/>
  <c r="L1000" i="16"/>
  <c r="G1000" i="16"/>
  <c r="B1001" i="16"/>
  <c r="I1000" i="16"/>
  <c r="E1000" i="16"/>
  <c r="C1000" i="16"/>
  <c r="P999" i="16"/>
  <c r="Q999" i="16"/>
  <c r="R999" i="16"/>
  <c r="J999" i="16"/>
  <c r="D999" i="16"/>
  <c r="M998" i="16"/>
  <c r="N998" i="16"/>
  <c r="D945" i="16"/>
  <c r="J945" i="16"/>
  <c r="N945" i="16" s="1"/>
  <c r="P945" i="16"/>
  <c r="Q945" i="16"/>
  <c r="R945" i="16"/>
  <c r="L946" i="16"/>
  <c r="C946" i="16"/>
  <c r="K946" i="16" s="1"/>
  <c r="E946" i="16"/>
  <c r="F946" i="16"/>
  <c r="O946" i="16" s="1"/>
  <c r="G946" i="16"/>
  <c r="I946" i="16"/>
  <c r="B947" i="16"/>
  <c r="D891" i="16"/>
  <c r="J891" i="16"/>
  <c r="N891" i="16" s="1"/>
  <c r="P891" i="16"/>
  <c r="Q891" i="16"/>
  <c r="R891" i="16"/>
  <c r="L892" i="16"/>
  <c r="C892" i="16"/>
  <c r="K892" i="16" s="1"/>
  <c r="E892" i="16"/>
  <c r="F892" i="16"/>
  <c r="O892" i="16" s="1"/>
  <c r="G892" i="16"/>
  <c r="I892" i="16"/>
  <c r="B893" i="16"/>
  <c r="D837" i="16"/>
  <c r="J837" i="16"/>
  <c r="N837" i="16" s="1"/>
  <c r="P837" i="16"/>
  <c r="Q837" i="16"/>
  <c r="R837" i="16"/>
  <c r="L838" i="16"/>
  <c r="C838" i="16"/>
  <c r="E838" i="16"/>
  <c r="G838" i="16"/>
  <c r="I838" i="16"/>
  <c r="B839" i="16"/>
  <c r="N782" i="16"/>
  <c r="M782" i="16"/>
  <c r="M783" i="16"/>
  <c r="D783" i="16"/>
  <c r="J783" i="16"/>
  <c r="N783" i="16" s="1"/>
  <c r="P783" i="16"/>
  <c r="Q783" i="16"/>
  <c r="R783" i="16"/>
  <c r="L784" i="16"/>
  <c r="C784" i="16"/>
  <c r="E784" i="16"/>
  <c r="G784" i="16"/>
  <c r="I784" i="16"/>
  <c r="B785" i="16"/>
  <c r="D729" i="16"/>
  <c r="J729" i="16"/>
  <c r="P729" i="16"/>
  <c r="Q729" i="16"/>
  <c r="R729" i="16"/>
  <c r="L730" i="16"/>
  <c r="C730" i="16"/>
  <c r="E730" i="16"/>
  <c r="G730" i="16"/>
  <c r="I730" i="16"/>
  <c r="B731" i="16"/>
  <c r="D675" i="16"/>
  <c r="J675" i="16"/>
  <c r="P675" i="16"/>
  <c r="Q675" i="16"/>
  <c r="R675" i="16"/>
  <c r="L676" i="16"/>
  <c r="C676" i="16"/>
  <c r="K676" i="16" s="1"/>
  <c r="E676" i="16"/>
  <c r="F676" i="16"/>
  <c r="O676" i="16" s="1"/>
  <c r="G676" i="16"/>
  <c r="I676" i="16"/>
  <c r="B677" i="16"/>
  <c r="M621" i="16"/>
  <c r="D621" i="16"/>
  <c r="J621" i="16"/>
  <c r="N621" i="16" s="1"/>
  <c r="P621" i="16"/>
  <c r="Q621" i="16"/>
  <c r="R621" i="16"/>
  <c r="L622" i="16"/>
  <c r="C622" i="16"/>
  <c r="E622" i="16"/>
  <c r="G622" i="16"/>
  <c r="I622" i="16"/>
  <c r="B623" i="16"/>
  <c r="N566" i="16"/>
  <c r="M566" i="16"/>
  <c r="M567" i="16"/>
  <c r="J567" i="16"/>
  <c r="N567" i="16" s="1"/>
  <c r="D567" i="16"/>
  <c r="P567" i="16"/>
  <c r="Q567" i="16"/>
  <c r="R567" i="16"/>
  <c r="L568" i="16"/>
  <c r="E568" i="16"/>
  <c r="I568" i="16"/>
  <c r="B569" i="16"/>
  <c r="C568" i="16"/>
  <c r="G568" i="16"/>
  <c r="D513" i="16"/>
  <c r="J513" i="16"/>
  <c r="N513" i="16" s="1"/>
  <c r="P513" i="16"/>
  <c r="Q513" i="16"/>
  <c r="R513" i="16"/>
  <c r="L514" i="16"/>
  <c r="C514" i="16"/>
  <c r="E514" i="16"/>
  <c r="G514" i="16"/>
  <c r="I514" i="16"/>
  <c r="B515" i="16"/>
  <c r="D459" i="16"/>
  <c r="J459" i="16"/>
  <c r="N459" i="16" s="1"/>
  <c r="P459" i="16"/>
  <c r="Q459" i="16"/>
  <c r="R459" i="16"/>
  <c r="L460" i="16"/>
  <c r="C460" i="16"/>
  <c r="E460" i="16"/>
  <c r="G460" i="16"/>
  <c r="I460" i="16"/>
  <c r="B461" i="16"/>
  <c r="D405" i="16"/>
  <c r="J405" i="16"/>
  <c r="P405" i="16"/>
  <c r="Q405" i="16"/>
  <c r="R405" i="16"/>
  <c r="L406" i="16"/>
  <c r="C406" i="16"/>
  <c r="E406" i="16"/>
  <c r="G406" i="16"/>
  <c r="I406" i="16"/>
  <c r="B407" i="16"/>
  <c r="N350" i="16"/>
  <c r="M350" i="16"/>
  <c r="D351" i="16"/>
  <c r="J351" i="16"/>
  <c r="P351" i="16"/>
  <c r="Q351" i="16"/>
  <c r="R351" i="16"/>
  <c r="L352" i="16"/>
  <c r="C352" i="16"/>
  <c r="K352" i="16" s="1"/>
  <c r="E352" i="16"/>
  <c r="F352" i="16"/>
  <c r="O352" i="16" s="1"/>
  <c r="G352" i="16"/>
  <c r="I352" i="16"/>
  <c r="B353" i="16"/>
  <c r="D297" i="16"/>
  <c r="J297" i="16"/>
  <c r="N297" i="16" s="1"/>
  <c r="P297" i="16"/>
  <c r="Q297" i="16"/>
  <c r="R297" i="16"/>
  <c r="L298" i="16"/>
  <c r="C298" i="16"/>
  <c r="E298" i="16"/>
  <c r="G298" i="16"/>
  <c r="I298" i="16"/>
  <c r="B299" i="16"/>
  <c r="N242" i="16"/>
  <c r="M242" i="16"/>
  <c r="M243" i="16"/>
  <c r="D243" i="16"/>
  <c r="J243" i="16"/>
  <c r="N243" i="16" s="1"/>
  <c r="P243" i="16"/>
  <c r="Q243" i="16"/>
  <c r="R243" i="16"/>
  <c r="L244" i="16"/>
  <c r="C244" i="16"/>
  <c r="E244" i="16"/>
  <c r="G244" i="16"/>
  <c r="I244" i="16"/>
  <c r="B245" i="16"/>
  <c r="M189" i="16"/>
  <c r="J189" i="16"/>
  <c r="N189" i="16" s="1"/>
  <c r="D189" i="16"/>
  <c r="P189" i="16"/>
  <c r="Q189" i="16"/>
  <c r="R189" i="16"/>
  <c r="L190" i="16"/>
  <c r="G190" i="16"/>
  <c r="I190" i="16"/>
  <c r="B191" i="16"/>
  <c r="C190" i="16"/>
  <c r="E190" i="16"/>
  <c r="N188" i="16"/>
  <c r="M188" i="16"/>
  <c r="P135" i="16"/>
  <c r="Q135" i="16"/>
  <c r="R135" i="16"/>
  <c r="L136" i="16"/>
  <c r="G136" i="16"/>
  <c r="C136" i="16"/>
  <c r="E136" i="16"/>
  <c r="B137" i="16"/>
  <c r="I136" i="16"/>
  <c r="J135" i="16"/>
  <c r="D135" i="16"/>
  <c r="N134" i="16"/>
  <c r="M134" i="16"/>
  <c r="D81" i="16"/>
  <c r="J81" i="16"/>
  <c r="P81" i="16"/>
  <c r="Q81" i="16"/>
  <c r="R81" i="16"/>
  <c r="L82" i="16"/>
  <c r="C82" i="16"/>
  <c r="K82" i="16" s="1"/>
  <c r="E82" i="16"/>
  <c r="F82" i="16"/>
  <c r="O82" i="16" s="1"/>
  <c r="G82" i="16"/>
  <c r="I82" i="16"/>
  <c r="B83" i="16"/>
  <c r="M19" i="4"/>
  <c r="D19" i="4"/>
  <c r="J19" i="4"/>
  <c r="N19" i="4" s="1"/>
  <c r="W19" i="4"/>
  <c r="P19" i="4"/>
  <c r="F19" i="5" s="1"/>
  <c r="Q19" i="4"/>
  <c r="G19" i="5" s="1"/>
  <c r="R19" i="4"/>
  <c r="H19" i="5" s="1"/>
  <c r="V19" i="4"/>
  <c r="L20" i="4"/>
  <c r="C20" i="4"/>
  <c r="K20" i="4" s="1"/>
  <c r="E20" i="4"/>
  <c r="F20" i="4"/>
  <c r="C20" i="5" s="1"/>
  <c r="G20" i="4"/>
  <c r="Y20" i="4" s="1"/>
  <c r="I20" i="4"/>
  <c r="B21" i="4"/>
  <c r="B20" i="5"/>
  <c r="Z16" i="4"/>
  <c r="B67" i="7"/>
  <c r="I67" i="7" s="1"/>
  <c r="Z15" i="4"/>
  <c r="Y17" i="4"/>
  <c r="Y18" i="4"/>
  <c r="Y19" i="4"/>
  <c r="T4675" i="16"/>
  <c r="N4567" i="16"/>
  <c r="M4567" i="16"/>
  <c r="L4568" i="16"/>
  <c r="L4567" i="16"/>
  <c r="U3751" i="16"/>
  <c r="S3751" i="16"/>
  <c r="T3751" i="16" s="1"/>
  <c r="U3697" i="16"/>
  <c r="S3697" i="16"/>
  <c r="T3697" i="16" s="1"/>
  <c r="U3698" i="16"/>
  <c r="S3698" i="16"/>
  <c r="T3698" i="16" s="1"/>
  <c r="U3643" i="16"/>
  <c r="S3643" i="16"/>
  <c r="T3643" i="16" s="1"/>
  <c r="U3644" i="16"/>
  <c r="S3644" i="16"/>
  <c r="T3644" i="16" s="1"/>
  <c r="U3589" i="16"/>
  <c r="S3589" i="16"/>
  <c r="T3589" i="16" s="1"/>
  <c r="U3535" i="16"/>
  <c r="S3535" i="16"/>
  <c r="T3535" i="16" s="1"/>
  <c r="U3427" i="16"/>
  <c r="S3427" i="16"/>
  <c r="T3427" i="16" s="1"/>
  <c r="U3373" i="16"/>
  <c r="S3373" i="16"/>
  <c r="T3373" i="16" s="1"/>
  <c r="U3374" i="16"/>
  <c r="S3374" i="16"/>
  <c r="T3374" i="16" s="1"/>
  <c r="U3319" i="16"/>
  <c r="S3319" i="16"/>
  <c r="T3319" i="16" s="1"/>
  <c r="U3265" i="16"/>
  <c r="S3265" i="16"/>
  <c r="T3265" i="16" s="1"/>
  <c r="U3211" i="16"/>
  <c r="S3211" i="16"/>
  <c r="T3211" i="16" s="1"/>
  <c r="U3212" i="16"/>
  <c r="S3212" i="16"/>
  <c r="T3212" i="16" s="1"/>
  <c r="U3157" i="16"/>
  <c r="S3157" i="16"/>
  <c r="T3157" i="16" s="1"/>
  <c r="U3158" i="16"/>
  <c r="S3158" i="16"/>
  <c r="T3158" i="16" s="1"/>
  <c r="U2941" i="16"/>
  <c r="S2941" i="16"/>
  <c r="T2941" i="16" s="1"/>
  <c r="U2942" i="16"/>
  <c r="S2942" i="16"/>
  <c r="T2942" i="16" s="1"/>
  <c r="U2509" i="16"/>
  <c r="S2509" i="16"/>
  <c r="T2509" i="16" s="1"/>
  <c r="U2510" i="16"/>
  <c r="S2510" i="16"/>
  <c r="T2510" i="16" s="1"/>
  <c r="U2293" i="16"/>
  <c r="U2294" i="16"/>
  <c r="U2077" i="16"/>
  <c r="S2077" i="16"/>
  <c r="T2077" i="16" s="1"/>
  <c r="U1861" i="16"/>
  <c r="U1862" i="16"/>
  <c r="U1807" i="16"/>
  <c r="S1807" i="16"/>
  <c r="T1807" i="16" s="1"/>
  <c r="U1808" i="16"/>
  <c r="S1808" i="16"/>
  <c r="T1808" i="16" s="1"/>
  <c r="U1645" i="16"/>
  <c r="S1645" i="16"/>
  <c r="T1645" i="16" s="1"/>
  <c r="U1646" i="16"/>
  <c r="S1646" i="16"/>
  <c r="T1646" i="16" s="1"/>
  <c r="U943" i="16"/>
  <c r="S943" i="16"/>
  <c r="T943" i="16" s="1"/>
  <c r="U944" i="16"/>
  <c r="S944" i="16"/>
  <c r="T944" i="16" s="1"/>
  <c r="U889" i="16"/>
  <c r="S889" i="16"/>
  <c r="T889" i="16" s="1"/>
  <c r="U835" i="16"/>
  <c r="S835" i="16"/>
  <c r="T835" i="16" s="1"/>
  <c r="U836" i="16"/>
  <c r="S836" i="16"/>
  <c r="T836" i="16" s="1"/>
  <c r="U727" i="16"/>
  <c r="S727" i="16"/>
  <c r="T727" i="16" s="1"/>
  <c r="U673" i="16"/>
  <c r="U674" i="16"/>
  <c r="U511" i="16"/>
  <c r="S511" i="16"/>
  <c r="T511" i="16" s="1"/>
  <c r="U512" i="16"/>
  <c r="S512" i="16"/>
  <c r="T512" i="16" s="1"/>
  <c r="U457" i="16"/>
  <c r="S457" i="16"/>
  <c r="T457" i="16" s="1"/>
  <c r="U458" i="16"/>
  <c r="S458" i="16"/>
  <c r="T458" i="16" s="1"/>
  <c r="U403" i="16"/>
  <c r="S403" i="16"/>
  <c r="T403" i="16" s="1"/>
  <c r="U404" i="16"/>
  <c r="S404" i="16"/>
  <c r="T404" i="16" s="1"/>
  <c r="U295" i="16"/>
  <c r="S295" i="16"/>
  <c r="T295" i="16" s="1"/>
  <c r="U296" i="16"/>
  <c r="U79" i="16"/>
  <c r="S79" i="16"/>
  <c r="T79" i="16" s="1"/>
  <c r="D30" i="6"/>
  <c r="G30" i="6"/>
  <c r="E61" i="9"/>
  <c r="C23" i="17"/>
  <c r="D23" i="17" s="1"/>
  <c r="B19" i="2"/>
  <c r="C11" i="6"/>
  <c r="C31" i="6"/>
  <c r="F31" i="6"/>
  <c r="E62" i="9"/>
  <c r="G62" i="9"/>
  <c r="C24" i="17"/>
  <c r="D24" i="17" s="1"/>
  <c r="C25" i="17"/>
  <c r="D25" i="17" s="1"/>
  <c r="C5" i="5"/>
  <c r="F4049" i="16"/>
  <c r="F4157" i="16"/>
  <c r="F4211" i="16"/>
  <c r="M4618" i="16"/>
  <c r="F4619" i="16" s="1"/>
  <c r="C26" i="17"/>
  <c r="D26" i="17" s="1"/>
  <c r="F4103" i="16"/>
  <c r="J19" i="2"/>
  <c r="C6" i="5"/>
  <c r="G7" i="5"/>
  <c r="A4049" i="16"/>
  <c r="B4049" i="16"/>
  <c r="A4157" i="16"/>
  <c r="A4211" i="16"/>
  <c r="B4211" i="16"/>
  <c r="N4618" i="16"/>
  <c r="C27" i="17"/>
  <c r="D27" i="17" s="1"/>
  <c r="A4103" i="16"/>
  <c r="B4103" i="16"/>
  <c r="B4157" i="16"/>
  <c r="F6" i="5"/>
  <c r="C7" i="5"/>
  <c r="F7" i="5"/>
  <c r="G4049" i="16"/>
  <c r="G4157" i="16"/>
  <c r="J4157" i="16" s="1"/>
  <c r="G4211" i="16"/>
  <c r="J4211" i="16" s="1"/>
  <c r="O4618" i="16"/>
  <c r="G4619" i="16" s="1"/>
  <c r="C28" i="17"/>
  <c r="D28" i="17" s="1"/>
  <c r="G4103" i="16"/>
  <c r="J4103" i="16" s="1"/>
  <c r="C8" i="5"/>
  <c r="G8" i="5"/>
  <c r="C29" i="17"/>
  <c r="D29" i="17" s="1"/>
  <c r="E4103" i="16"/>
  <c r="C9" i="5"/>
  <c r="H4049" i="16"/>
  <c r="K4049" i="16" s="1"/>
  <c r="H4211" i="16"/>
  <c r="K4211" i="16" s="1"/>
  <c r="P4618" i="16"/>
  <c r="H4619" i="16" s="1"/>
  <c r="K4619" i="16" s="1"/>
  <c r="C30" i="17"/>
  <c r="D30" i="17" s="1"/>
  <c r="H4103" i="16"/>
  <c r="K4103" i="16" s="1"/>
  <c r="H4157" i="16"/>
  <c r="K4157" i="16" s="1"/>
  <c r="G9" i="5"/>
  <c r="H8" i="5" s="1"/>
  <c r="C10" i="5"/>
  <c r="F32" i="6"/>
  <c r="G67" i="9"/>
  <c r="C31" i="17"/>
  <c r="D31" i="17" s="1"/>
  <c r="D19" i="6"/>
  <c r="C35" i="6"/>
  <c r="F35" i="6"/>
  <c r="E65" i="9"/>
  <c r="C34" i="17"/>
  <c r="D34" i="17" s="1"/>
  <c r="C22" i="6"/>
  <c r="C35" i="17"/>
  <c r="D35" i="17" s="1"/>
  <c r="B33" i="6"/>
  <c r="B34" i="6"/>
  <c r="E47" i="13"/>
  <c r="G47" i="13" s="1"/>
  <c r="E3" i="12"/>
  <c r="B5" i="11"/>
  <c r="U4051" i="16"/>
  <c r="U4213" i="16"/>
  <c r="U4214" i="16"/>
  <c r="U4105" i="16"/>
  <c r="C33" i="17"/>
  <c r="D33" i="17" s="1"/>
  <c r="U4159" i="16"/>
  <c r="H3" i="4"/>
  <c r="U17" i="4"/>
  <c r="U18" i="4"/>
  <c r="U4106" i="16"/>
  <c r="U3481" i="16"/>
  <c r="S3481" i="16"/>
  <c r="T3481" i="16" s="1"/>
  <c r="U2617" i="16"/>
  <c r="S2617" i="16"/>
  <c r="T2617" i="16" s="1"/>
  <c r="U2239" i="16"/>
  <c r="S2239" i="16"/>
  <c r="T2239" i="16" s="1"/>
  <c r="U619" i="16"/>
  <c r="S619" i="16"/>
  <c r="T619" i="16" s="1"/>
  <c r="U620" i="16"/>
  <c r="S620" i="16"/>
  <c r="T620" i="16" s="1"/>
  <c r="N4160" i="16"/>
  <c r="U4160" i="16" s="1"/>
  <c r="M4160" i="16"/>
  <c r="N3752" i="16"/>
  <c r="M3752" i="16"/>
  <c r="M3645" i="16"/>
  <c r="N3590" i="16"/>
  <c r="M3590" i="16"/>
  <c r="M3591" i="16"/>
  <c r="N3536" i="16"/>
  <c r="M3536" i="16"/>
  <c r="N3482" i="16"/>
  <c r="M3482" i="16"/>
  <c r="N3428" i="16"/>
  <c r="M3428" i="16"/>
  <c r="M3429" i="16"/>
  <c r="M3375" i="16"/>
  <c r="N3320" i="16"/>
  <c r="M3320" i="16"/>
  <c r="M3321" i="16"/>
  <c r="N3266" i="16"/>
  <c r="M3266" i="16"/>
  <c r="M3267" i="16"/>
  <c r="N2618" i="16"/>
  <c r="M2618" i="16"/>
  <c r="M2295" i="16"/>
  <c r="M2240" i="16"/>
  <c r="N2240" i="16"/>
  <c r="N2078" i="16"/>
  <c r="M2078" i="16"/>
  <c r="M1863" i="16"/>
  <c r="M1809" i="16"/>
  <c r="M1647" i="16"/>
  <c r="M945" i="16"/>
  <c r="N890" i="16"/>
  <c r="M890" i="16"/>
  <c r="M891" i="16"/>
  <c r="M837" i="16"/>
  <c r="N728" i="16"/>
  <c r="M728" i="16"/>
  <c r="M513" i="16"/>
  <c r="M459" i="16"/>
  <c r="N80" i="16"/>
  <c r="M80" i="16"/>
  <c r="M18" i="4"/>
  <c r="N18" i="4"/>
  <c r="O1971" i="16"/>
  <c r="O33" i="9"/>
  <c r="O728" i="16"/>
  <c r="F4515" i="16"/>
  <c r="K4515" i="16"/>
  <c r="F3753" i="16"/>
  <c r="O3753" i="16" s="1"/>
  <c r="K3753" i="16"/>
  <c r="K3537" i="16"/>
  <c r="F3537" i="16"/>
  <c r="O3537" i="16" s="1"/>
  <c r="F3483" i="16"/>
  <c r="O3483" i="16" s="1"/>
  <c r="K3483" i="16"/>
  <c r="K3105" i="16"/>
  <c r="F3105" i="16"/>
  <c r="O3105" i="16" s="1"/>
  <c r="K3051" i="16"/>
  <c r="F3051" i="16"/>
  <c r="O3051" i="16" s="1"/>
  <c r="F2943" i="16"/>
  <c r="O2943" i="16" s="1"/>
  <c r="K2943" i="16"/>
  <c r="F2781" i="16"/>
  <c r="O2781" i="16" s="1"/>
  <c r="K2781" i="16"/>
  <c r="K2727" i="16"/>
  <c r="F2727" i="16"/>
  <c r="O2727" i="16" s="1"/>
  <c r="K2673" i="16"/>
  <c r="F2673" i="16"/>
  <c r="O2673" i="16" s="1"/>
  <c r="F2619" i="16"/>
  <c r="O2619" i="16" s="1"/>
  <c r="K2619" i="16"/>
  <c r="F2079" i="16"/>
  <c r="O2079" i="16" s="1"/>
  <c r="K2079" i="16"/>
  <c r="K2025" i="16"/>
  <c r="F2025" i="16"/>
  <c r="O2025" i="16" s="1"/>
  <c r="K1755" i="16"/>
  <c r="F1755" i="16"/>
  <c r="O1755" i="16" s="1"/>
  <c r="K1485" i="16"/>
  <c r="F1485" i="16"/>
  <c r="O1485" i="16" s="1"/>
  <c r="F1431" i="16"/>
  <c r="O1431" i="16" s="1"/>
  <c r="K1431" i="16"/>
  <c r="F1377" i="16"/>
  <c r="O1377" i="16" s="1"/>
  <c r="K1377" i="16"/>
  <c r="K1107" i="16"/>
  <c r="F1107" i="16"/>
  <c r="O1107" i="16" s="1"/>
  <c r="F999" i="16"/>
  <c r="O999" i="16" s="1"/>
  <c r="K999" i="16"/>
  <c r="F729" i="16"/>
  <c r="O729" i="16" s="1"/>
  <c r="K729" i="16"/>
  <c r="F675" i="16"/>
  <c r="O675" i="16" s="1"/>
  <c r="K675" i="16"/>
  <c r="K405" i="16"/>
  <c r="F405" i="16"/>
  <c r="O405" i="16" s="1"/>
  <c r="F351" i="16"/>
  <c r="O351" i="16" s="1"/>
  <c r="K351" i="16"/>
  <c r="K135" i="16"/>
  <c r="F135" i="16"/>
  <c r="O135" i="16" s="1"/>
  <c r="K81" i="16"/>
  <c r="F81" i="16"/>
  <c r="O81" i="16" s="1"/>
  <c r="V11" i="9"/>
  <c r="C11" i="9"/>
  <c r="E11" i="9"/>
  <c r="O11" i="9"/>
  <c r="T11" i="9"/>
  <c r="D11" i="9"/>
  <c r="E10" i="9"/>
  <c r="V10" i="9"/>
  <c r="T10" i="9"/>
  <c r="O10" i="9"/>
  <c r="D10" i="9"/>
  <c r="C10" i="9"/>
  <c r="V26" i="9"/>
  <c r="T26" i="9"/>
  <c r="D21" i="9"/>
  <c r="E21" i="9"/>
  <c r="C21" i="9"/>
  <c r="C20" i="9"/>
  <c r="E20" i="9"/>
  <c r="D20" i="9"/>
  <c r="C19" i="9"/>
  <c r="D19" i="9"/>
  <c r="E19" i="9"/>
  <c r="C18" i="9"/>
  <c r="D18" i="9"/>
  <c r="E18" i="9"/>
  <c r="T18" i="9"/>
  <c r="O18" i="9"/>
  <c r="V18" i="9"/>
  <c r="G4331" i="16"/>
  <c r="I4331" i="16" s="1"/>
  <c r="H4331" i="16"/>
  <c r="G4327" i="16"/>
  <c r="I4327" i="16" s="1"/>
  <c r="H4327" i="16"/>
  <c r="G4326" i="16"/>
  <c r="I4326" i="16" s="1"/>
  <c r="H4320" i="16"/>
  <c r="G4320" i="16"/>
  <c r="I4320" i="16" s="1"/>
  <c r="G4318" i="16"/>
  <c r="I4318" i="16" s="1"/>
  <c r="H4318" i="16"/>
  <c r="G4311" i="16"/>
  <c r="H4311" i="16"/>
  <c r="G4301" i="16"/>
  <c r="H4301" i="16"/>
  <c r="G4300" i="16"/>
  <c r="H4300" i="16"/>
  <c r="G4297" i="16"/>
  <c r="I4297" i="16" s="1"/>
  <c r="H4297" i="16"/>
  <c r="G4290" i="16"/>
  <c r="I4290" i="16" s="1"/>
  <c r="H4290" i="16"/>
  <c r="H4286" i="16"/>
  <c r="G4286" i="16"/>
  <c r="I4286" i="16" s="1"/>
  <c r="G4278" i="16"/>
  <c r="I4278" i="16" s="1"/>
  <c r="H4279" i="16"/>
  <c r="G4279" i="16"/>
  <c r="I4279" i="16" s="1"/>
  <c r="H4282" i="16"/>
  <c r="G4282" i="16"/>
  <c r="I4282" i="16" s="1"/>
  <c r="G4274" i="16"/>
  <c r="I4274" i="16" s="1"/>
  <c r="H4275" i="16"/>
  <c r="I4275" i="16" s="1"/>
  <c r="H4273" i="16"/>
  <c r="G4273" i="16"/>
  <c r="I4273" i="16" s="1"/>
  <c r="H4269" i="16"/>
  <c r="G4269" i="16"/>
  <c r="I4269" i="16" s="1"/>
  <c r="H4270" i="16"/>
  <c r="G4270" i="16"/>
  <c r="I4270" i="16" s="1"/>
  <c r="O3644" i="16"/>
  <c r="O3643" i="16"/>
  <c r="O3698" i="16"/>
  <c r="O3697" i="16"/>
  <c r="O2996" i="16"/>
  <c r="O2995" i="16"/>
  <c r="O2294" i="16"/>
  <c r="S2294" i="16" s="1"/>
  <c r="T2294" i="16" s="1"/>
  <c r="O2293" i="16"/>
  <c r="S2293" i="16" s="1"/>
  <c r="T2293" i="16" s="1"/>
  <c r="O1970" i="16"/>
  <c r="O1969" i="16"/>
  <c r="O1916" i="16"/>
  <c r="O1915" i="16"/>
  <c r="S1915" i="16" s="1"/>
  <c r="T1915" i="16" s="1"/>
  <c r="O1862" i="16"/>
  <c r="S1862" i="16" s="1"/>
  <c r="T1862" i="16" s="1"/>
  <c r="O1861" i="16"/>
  <c r="S1861" i="16" s="1"/>
  <c r="T1861" i="16" s="1"/>
  <c r="O1538" i="16"/>
  <c r="O1537" i="16"/>
  <c r="O1484" i="16"/>
  <c r="O1483" i="16"/>
  <c r="O1106" i="16"/>
  <c r="O1105" i="16"/>
  <c r="O674" i="16"/>
  <c r="S674" i="16" s="1"/>
  <c r="T674" i="16" s="1"/>
  <c r="O673" i="16"/>
  <c r="S673" i="16" s="1"/>
  <c r="T673" i="16" s="1"/>
  <c r="G6" i="5" l="1"/>
  <c r="E4049" i="16"/>
  <c r="E4157" i="16"/>
  <c r="E4211" i="16"/>
  <c r="I4311" i="16"/>
  <c r="I4301" i="16"/>
  <c r="I4300" i="16"/>
  <c r="K3754" i="16"/>
  <c r="F3754" i="16"/>
  <c r="O3754" i="16" s="1"/>
  <c r="K3160" i="16"/>
  <c r="F3160" i="16"/>
  <c r="O3160" i="16" s="1"/>
  <c r="F3106" i="16"/>
  <c r="O3106" i="16" s="1"/>
  <c r="K3106" i="16"/>
  <c r="K2296" i="16"/>
  <c r="F2296" i="16"/>
  <c r="O2296" i="16" s="1"/>
  <c r="K1972" i="16"/>
  <c r="F1972" i="16"/>
  <c r="O1972" i="16" s="1"/>
  <c r="K1864" i="16"/>
  <c r="F1864" i="16"/>
  <c r="O1864" i="16" s="1"/>
  <c r="K1162" i="16"/>
  <c r="F1162" i="16"/>
  <c r="O1162" i="16" s="1"/>
  <c r="K1108" i="16"/>
  <c r="F1108" i="16"/>
  <c r="O1108" i="16" s="1"/>
  <c r="K514" i="16"/>
  <c r="F514" i="16"/>
  <c r="O514" i="16" s="1"/>
  <c r="F406" i="16"/>
  <c r="O406" i="16" s="1"/>
  <c r="K406" i="16"/>
  <c r="K298" i="16"/>
  <c r="F298" i="16"/>
  <c r="O298" i="16" s="1"/>
  <c r="K244" i="16"/>
  <c r="F244" i="16"/>
  <c r="O244" i="16" s="1"/>
  <c r="F136" i="16"/>
  <c r="O136" i="16" s="1"/>
  <c r="K136" i="16"/>
  <c r="U4677" i="16"/>
  <c r="S4677" i="16"/>
  <c r="M4678" i="16"/>
  <c r="D4678" i="16"/>
  <c r="J4678" i="16"/>
  <c r="N4678" i="16" s="1"/>
  <c r="P4678" i="16"/>
  <c r="Q4678" i="16"/>
  <c r="R4678" i="16"/>
  <c r="L4679" i="16"/>
  <c r="C4679" i="16"/>
  <c r="E4679" i="16"/>
  <c r="G4679" i="16"/>
  <c r="I4679" i="16"/>
  <c r="B4680" i="16"/>
  <c r="P4624" i="16"/>
  <c r="Q4624" i="16"/>
  <c r="R4624" i="16"/>
  <c r="C4625" i="16"/>
  <c r="E4625" i="16"/>
  <c r="G4625" i="16"/>
  <c r="B4626" i="16"/>
  <c r="D4570" i="16"/>
  <c r="J4570" i="16"/>
  <c r="N4570" i="16" s="1"/>
  <c r="P4570" i="16"/>
  <c r="Q4570" i="16"/>
  <c r="R4570" i="16"/>
  <c r="M4570" i="16"/>
  <c r="C4571" i="16"/>
  <c r="F4571" i="16" s="1"/>
  <c r="E4571" i="16"/>
  <c r="G4571" i="16"/>
  <c r="K4571" i="16"/>
  <c r="B4572" i="16"/>
  <c r="I4571" i="16"/>
  <c r="L4571" i="16"/>
  <c r="D4516" i="16"/>
  <c r="J4516" i="16"/>
  <c r="N4516" i="16" s="1"/>
  <c r="P4516" i="16"/>
  <c r="Q4516" i="16"/>
  <c r="R4516" i="16"/>
  <c r="M4516" i="16"/>
  <c r="C4517" i="16"/>
  <c r="F4517" i="16" s="1"/>
  <c r="E4517" i="16"/>
  <c r="G4517" i="16"/>
  <c r="K4517" i="16"/>
  <c r="B4518" i="16"/>
  <c r="I4517" i="16"/>
  <c r="L4517" i="16"/>
  <c r="D4216" i="16"/>
  <c r="J4216" i="16"/>
  <c r="N4216" i="16" s="1"/>
  <c r="P4216" i="16"/>
  <c r="Q4216" i="16"/>
  <c r="R4216" i="16"/>
  <c r="M4216" i="16"/>
  <c r="C4217" i="16"/>
  <c r="F4217" i="16" s="1"/>
  <c r="O4217" i="16" s="1"/>
  <c r="E4217" i="16"/>
  <c r="G4217" i="16"/>
  <c r="I4217" i="16"/>
  <c r="K4217" i="16"/>
  <c r="L4217" i="16"/>
  <c r="B4218" i="16"/>
  <c r="G4163" i="16"/>
  <c r="L4163" i="16"/>
  <c r="I4163" i="16"/>
  <c r="C4163" i="16"/>
  <c r="E4163" i="16"/>
  <c r="F4163" i="16"/>
  <c r="O4163" i="16" s="1"/>
  <c r="K4163" i="16"/>
  <c r="B4164" i="16"/>
  <c r="D4162" i="16"/>
  <c r="J4162" i="16"/>
  <c r="N4162" i="16" s="1"/>
  <c r="P4162" i="16"/>
  <c r="Q4162" i="16"/>
  <c r="R4162" i="16"/>
  <c r="M4162" i="16"/>
  <c r="J4108" i="16"/>
  <c r="N4108" i="16" s="1"/>
  <c r="D4108" i="16"/>
  <c r="P4108" i="16"/>
  <c r="Q4108" i="16"/>
  <c r="R4108" i="16"/>
  <c r="M4108" i="16"/>
  <c r="G4109" i="16"/>
  <c r="I4109" i="16"/>
  <c r="B4110" i="16"/>
  <c r="C4109" i="16"/>
  <c r="E4109" i="16"/>
  <c r="L4109" i="16"/>
  <c r="M4054" i="16"/>
  <c r="D4054" i="16"/>
  <c r="J4054" i="16"/>
  <c r="N4054" i="16" s="1"/>
  <c r="P4054" i="16"/>
  <c r="Q4054" i="16"/>
  <c r="R4054" i="16"/>
  <c r="L4055" i="16"/>
  <c r="C4055" i="16"/>
  <c r="E4055" i="16"/>
  <c r="G4055" i="16"/>
  <c r="I4055" i="16"/>
  <c r="B4056" i="16"/>
  <c r="M3754" i="16"/>
  <c r="D3754" i="16"/>
  <c r="J3754" i="16"/>
  <c r="N3754" i="16" s="1"/>
  <c r="P3754" i="16"/>
  <c r="Q3754" i="16"/>
  <c r="R3754" i="16"/>
  <c r="L3755" i="16"/>
  <c r="C3755" i="16"/>
  <c r="K3755" i="16" s="1"/>
  <c r="E3755" i="16"/>
  <c r="F3755" i="16"/>
  <c r="O3755" i="16" s="1"/>
  <c r="G3755" i="16"/>
  <c r="I3755" i="16"/>
  <c r="B3756" i="16"/>
  <c r="P3700" i="16"/>
  <c r="Q3700" i="16"/>
  <c r="R3700" i="16"/>
  <c r="L3701" i="16"/>
  <c r="E3701" i="16"/>
  <c r="G3701" i="16"/>
  <c r="C3701" i="16"/>
  <c r="I3701" i="16"/>
  <c r="B3702" i="16"/>
  <c r="D3700" i="16"/>
  <c r="J3700" i="16"/>
  <c r="D3646" i="16"/>
  <c r="J3646" i="16"/>
  <c r="P3646" i="16"/>
  <c r="Q3646" i="16"/>
  <c r="R3646" i="16"/>
  <c r="L3647" i="16"/>
  <c r="C3647" i="16"/>
  <c r="E3647" i="16"/>
  <c r="G3647" i="16"/>
  <c r="I3647" i="16"/>
  <c r="B3648" i="16"/>
  <c r="M3592" i="16"/>
  <c r="D3592" i="16"/>
  <c r="J3592" i="16"/>
  <c r="N3592" i="16" s="1"/>
  <c r="P3592" i="16"/>
  <c r="Q3592" i="16"/>
  <c r="R3592" i="16"/>
  <c r="L3593" i="16"/>
  <c r="C3593" i="16"/>
  <c r="E3593" i="16"/>
  <c r="G3593" i="16"/>
  <c r="I3593" i="16"/>
  <c r="B3594" i="16"/>
  <c r="M3538" i="16"/>
  <c r="D3538" i="16"/>
  <c r="J3538" i="16"/>
  <c r="N3538" i="16" s="1"/>
  <c r="P3538" i="16"/>
  <c r="Q3538" i="16"/>
  <c r="R3538" i="16"/>
  <c r="L3539" i="16"/>
  <c r="C3539" i="16"/>
  <c r="K3539" i="16" s="1"/>
  <c r="E3539" i="16"/>
  <c r="F3539" i="16"/>
  <c r="O3539" i="16" s="1"/>
  <c r="G3539" i="16"/>
  <c r="I3539" i="16"/>
  <c r="B3540" i="16"/>
  <c r="J3484" i="16"/>
  <c r="D3484" i="16"/>
  <c r="P3484" i="16"/>
  <c r="Q3484" i="16"/>
  <c r="R3484" i="16"/>
  <c r="L3485" i="16"/>
  <c r="C3485" i="16"/>
  <c r="K3485" i="16" s="1"/>
  <c r="E3485" i="16"/>
  <c r="F3485" i="16"/>
  <c r="O3485" i="16" s="1"/>
  <c r="G3485" i="16"/>
  <c r="I3485" i="16"/>
  <c r="B3486" i="16"/>
  <c r="D3430" i="16"/>
  <c r="J3430" i="16"/>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E3377" i="16"/>
  <c r="G3377" i="16"/>
  <c r="I3377" i="16"/>
  <c r="B3378" i="16"/>
  <c r="M3322" i="16"/>
  <c r="D3322" i="16"/>
  <c r="J3322" i="16"/>
  <c r="N3322" i="16" s="1"/>
  <c r="P3322" i="16"/>
  <c r="Q3322" i="16"/>
  <c r="R3322" i="16"/>
  <c r="L3323" i="16"/>
  <c r="C3323" i="16"/>
  <c r="E3323" i="16"/>
  <c r="G3323" i="16"/>
  <c r="I3323" i="16"/>
  <c r="B3324" i="16"/>
  <c r="M3268" i="16"/>
  <c r="D3268" i="16"/>
  <c r="J3268" i="16"/>
  <c r="N3268" i="16" s="1"/>
  <c r="P3268" i="16"/>
  <c r="Q3268" i="16"/>
  <c r="R3268" i="16"/>
  <c r="L3269" i="16"/>
  <c r="C3269" i="16"/>
  <c r="K3269" i="16" s="1"/>
  <c r="E3269" i="16"/>
  <c r="F3269" i="16"/>
  <c r="O3269" i="16" s="1"/>
  <c r="G3269" i="16"/>
  <c r="I3269" i="16"/>
  <c r="B3270" i="16"/>
  <c r="N3213" i="16"/>
  <c r="M3213" i="16"/>
  <c r="M3214" i="16"/>
  <c r="D3214" i="16"/>
  <c r="J3214" i="16"/>
  <c r="N3214" i="16" s="1"/>
  <c r="P3214" i="16"/>
  <c r="Q3214" i="16"/>
  <c r="R3214" i="16"/>
  <c r="L3215" i="16"/>
  <c r="G3215" i="16"/>
  <c r="I3215" i="16"/>
  <c r="B3216" i="16"/>
  <c r="C3215" i="16"/>
  <c r="E3215" i="16"/>
  <c r="N3159" i="16"/>
  <c r="M3159" i="16"/>
  <c r="M3160" i="16"/>
  <c r="D3160" i="16"/>
  <c r="J3160" i="16"/>
  <c r="N3160" i="16" s="1"/>
  <c r="P3160" i="16"/>
  <c r="Q3160" i="16"/>
  <c r="R3160" i="16"/>
  <c r="L3161" i="16"/>
  <c r="C3161" i="16"/>
  <c r="K3161" i="16" s="1"/>
  <c r="E3161" i="16"/>
  <c r="F3161" i="16"/>
  <c r="O3161" i="16" s="1"/>
  <c r="G3161" i="16"/>
  <c r="I3161" i="16"/>
  <c r="B3162" i="16"/>
  <c r="M3106" i="16"/>
  <c r="L3107" i="16"/>
  <c r="E3107" i="16"/>
  <c r="G3107" i="16"/>
  <c r="C3107" i="16"/>
  <c r="B3108" i="16"/>
  <c r="I3107" i="16"/>
  <c r="D3106" i="16"/>
  <c r="J3106" i="16"/>
  <c r="N3106" i="16" s="1"/>
  <c r="P3106" i="16"/>
  <c r="Q3106" i="16"/>
  <c r="R3106" i="16"/>
  <c r="U3104" i="16"/>
  <c r="S3104" i="16"/>
  <c r="T3104" i="16" s="1"/>
  <c r="U3050" i="16"/>
  <c r="S3050" i="16"/>
  <c r="T3050" i="16" s="1"/>
  <c r="P3052" i="16"/>
  <c r="Q3052" i="16"/>
  <c r="R3052" i="16"/>
  <c r="D3052" i="16"/>
  <c r="J3052" i="16"/>
  <c r="L3053" i="16"/>
  <c r="E3053" i="16"/>
  <c r="B3054" i="16"/>
  <c r="C3053" i="16"/>
  <c r="K3053" i="16" s="1"/>
  <c r="G3053" i="16"/>
  <c r="F3053" i="16"/>
  <c r="O3053" i="16" s="1"/>
  <c r="I3053" i="16"/>
  <c r="U2997" i="16"/>
  <c r="S2997" i="16"/>
  <c r="T2997" i="16" s="1"/>
  <c r="L2999" i="16"/>
  <c r="E2999" i="16"/>
  <c r="G2999" i="16"/>
  <c r="B3000" i="16"/>
  <c r="C2999" i="16"/>
  <c r="I2999" i="16"/>
  <c r="D2998" i="16"/>
  <c r="J2998" i="16"/>
  <c r="P2998" i="16"/>
  <c r="Q2998" i="16"/>
  <c r="R2998" i="16"/>
  <c r="U2996" i="16"/>
  <c r="S2996" i="16"/>
  <c r="T2996" i="16" s="1"/>
  <c r="D2944" i="16"/>
  <c r="J2944" i="16"/>
  <c r="P2944" i="16"/>
  <c r="Q2944" i="16"/>
  <c r="R2944" i="16"/>
  <c r="L2945" i="16"/>
  <c r="C2945" i="16"/>
  <c r="K2945" i="16" s="1"/>
  <c r="E2945" i="16"/>
  <c r="F2945" i="16"/>
  <c r="O2945" i="16" s="1"/>
  <c r="G2945" i="16"/>
  <c r="I2945" i="16"/>
  <c r="B2946" i="16"/>
  <c r="U2888" i="16"/>
  <c r="S2888" i="16"/>
  <c r="T2888" i="16" s="1"/>
  <c r="U2889" i="16"/>
  <c r="S2889" i="16"/>
  <c r="T2889" i="16" s="1"/>
  <c r="D2890" i="16"/>
  <c r="J2890" i="16"/>
  <c r="P2890" i="16"/>
  <c r="Q2890" i="16"/>
  <c r="R2890" i="16"/>
  <c r="L2891" i="16"/>
  <c r="C2891" i="16"/>
  <c r="E2891" i="16"/>
  <c r="G2891" i="16"/>
  <c r="I2891" i="16"/>
  <c r="B2892" i="16"/>
  <c r="U2835" i="16"/>
  <c r="S2835" i="16"/>
  <c r="T2835" i="16" s="1"/>
  <c r="P2836" i="16"/>
  <c r="Q2836" i="16"/>
  <c r="R2836" i="16"/>
  <c r="L2837" i="16"/>
  <c r="E2837" i="16"/>
  <c r="G2837" i="16"/>
  <c r="B2838" i="16"/>
  <c r="I2837" i="16"/>
  <c r="C2837" i="16"/>
  <c r="K2837" i="16" s="1"/>
  <c r="F2837" i="16"/>
  <c r="O2837" i="16" s="1"/>
  <c r="J2836" i="16"/>
  <c r="D2836" i="16"/>
  <c r="U2834" i="16"/>
  <c r="S2834" i="16"/>
  <c r="T2834" i="16" s="1"/>
  <c r="M2782" i="16"/>
  <c r="D2782" i="16"/>
  <c r="J2782" i="16"/>
  <c r="N2782" i="16" s="1"/>
  <c r="S2782" i="16" s="1"/>
  <c r="T2782" i="16" s="1"/>
  <c r="U2782" i="16" s="1"/>
  <c r="P2782" i="16"/>
  <c r="Q2782" i="16"/>
  <c r="R2782" i="16"/>
  <c r="L2783" i="16"/>
  <c r="C2783" i="16"/>
  <c r="E2783" i="16"/>
  <c r="G2783" i="16"/>
  <c r="I2783" i="16"/>
  <c r="B2784" i="16"/>
  <c r="L2729" i="16"/>
  <c r="E2729" i="16"/>
  <c r="G2729" i="16"/>
  <c r="I2729" i="16"/>
  <c r="B2730" i="16"/>
  <c r="C2729" i="16"/>
  <c r="P2728" i="16"/>
  <c r="Q2728" i="16"/>
  <c r="R2728" i="16"/>
  <c r="D2728" i="16"/>
  <c r="J2728" i="16"/>
  <c r="U2726" i="16"/>
  <c r="S2726" i="16"/>
  <c r="T2726" i="16" s="1"/>
  <c r="D2674" i="16"/>
  <c r="J2674" i="16"/>
  <c r="P2674" i="16"/>
  <c r="Q2674" i="16"/>
  <c r="R2674" i="16"/>
  <c r="L2675" i="16"/>
  <c r="G2675" i="16"/>
  <c r="C2675" i="16"/>
  <c r="I2675" i="16"/>
  <c r="B2676" i="16"/>
  <c r="E2675" i="16"/>
  <c r="U2672" i="16"/>
  <c r="S2672" i="16"/>
  <c r="T2672" i="16" s="1"/>
  <c r="P2620" i="16"/>
  <c r="Q2620" i="16"/>
  <c r="R2620" i="16"/>
  <c r="L2621" i="16"/>
  <c r="G2621" i="16"/>
  <c r="C2621" i="16"/>
  <c r="E2621" i="16"/>
  <c r="I2621" i="16"/>
  <c r="B2622" i="16"/>
  <c r="D2620" i="16"/>
  <c r="J2620" i="16"/>
  <c r="U2564" i="16"/>
  <c r="S2564" i="16"/>
  <c r="T2564" i="16" s="1"/>
  <c r="U2565" i="16"/>
  <c r="S2565" i="16"/>
  <c r="T2565" i="16" s="1"/>
  <c r="P2566" i="16"/>
  <c r="Q2566" i="16"/>
  <c r="R2566" i="16"/>
  <c r="J2566" i="16"/>
  <c r="D2566" i="16"/>
  <c r="L2567" i="16"/>
  <c r="G2567" i="16"/>
  <c r="B2568" i="16"/>
  <c r="C2567" i="16"/>
  <c r="E2567" i="16"/>
  <c r="I2567" i="16"/>
  <c r="N2511" i="16"/>
  <c r="M2511" i="16"/>
  <c r="M2512" i="16"/>
  <c r="D2512" i="16"/>
  <c r="J2512" i="16"/>
  <c r="N2512" i="16" s="1"/>
  <c r="P2512" i="16"/>
  <c r="Q2512" i="16"/>
  <c r="R2512" i="16"/>
  <c r="L2513" i="16"/>
  <c r="C2513" i="16"/>
  <c r="K2513" i="16" s="1"/>
  <c r="E2513" i="16"/>
  <c r="F2513" i="16"/>
  <c r="O2513" i="16" s="1"/>
  <c r="G2513" i="16"/>
  <c r="I2513" i="16"/>
  <c r="B2514" i="16"/>
  <c r="U2456" i="16"/>
  <c r="S2456" i="16"/>
  <c r="T2456" i="16" s="1"/>
  <c r="U2457" i="16"/>
  <c r="S2457" i="16"/>
  <c r="T2457" i="16" s="1"/>
  <c r="M2458" i="16"/>
  <c r="D2458" i="16"/>
  <c r="J2458" i="16"/>
  <c r="N2458" i="16" s="1"/>
  <c r="P2458" i="16"/>
  <c r="Q2458" i="16"/>
  <c r="R2458" i="16"/>
  <c r="L2459" i="16"/>
  <c r="C2459" i="16"/>
  <c r="K2459" i="16" s="1"/>
  <c r="E2459" i="16"/>
  <c r="F2459" i="16"/>
  <c r="O2459" i="16" s="1"/>
  <c r="G2459" i="16"/>
  <c r="I2459" i="16"/>
  <c r="B2460" i="16"/>
  <c r="U2402" i="16"/>
  <c r="S2402" i="16"/>
  <c r="T2402" i="16" s="1"/>
  <c r="U2403" i="16"/>
  <c r="S2403" i="16"/>
  <c r="T2403" i="16" s="1"/>
  <c r="D2404" i="16"/>
  <c r="J2404" i="16"/>
  <c r="P2404" i="16"/>
  <c r="Q2404" i="16"/>
  <c r="R2404" i="16"/>
  <c r="L2405" i="16"/>
  <c r="C2405" i="16"/>
  <c r="K2405" i="16" s="1"/>
  <c r="E2405" i="16"/>
  <c r="F2405" i="16"/>
  <c r="O2405" i="16" s="1"/>
  <c r="G2405" i="16"/>
  <c r="I2405" i="16"/>
  <c r="B2406" i="16"/>
  <c r="U2349" i="16"/>
  <c r="S2349" i="16"/>
  <c r="T2349" i="16" s="1"/>
  <c r="L2351" i="16"/>
  <c r="I2351" i="16"/>
  <c r="B2352" i="16"/>
  <c r="E2351" i="16"/>
  <c r="C2351" i="16"/>
  <c r="G2351" i="16"/>
  <c r="D2350" i="16"/>
  <c r="J2350" i="16"/>
  <c r="P2350" i="16"/>
  <c r="Q2350" i="16"/>
  <c r="R2350" i="16"/>
  <c r="U2348" i="16"/>
  <c r="S2348" i="16"/>
  <c r="T2348" i="16" s="1"/>
  <c r="M2296" i="16"/>
  <c r="D2296" i="16"/>
  <c r="J2296" i="16"/>
  <c r="N2296" i="16" s="1"/>
  <c r="P2296" i="16"/>
  <c r="Q2296" i="16"/>
  <c r="R2296" i="16"/>
  <c r="L2297" i="16"/>
  <c r="C2297" i="16"/>
  <c r="E2297" i="16"/>
  <c r="G2297" i="16"/>
  <c r="I2297" i="16"/>
  <c r="B2298" i="16"/>
  <c r="U2241" i="16"/>
  <c r="S2241" i="16"/>
  <c r="T2241" i="16" s="1"/>
  <c r="M2242" i="16"/>
  <c r="D2242" i="16"/>
  <c r="J2242" i="16"/>
  <c r="N2242" i="16" s="1"/>
  <c r="P2242" i="16"/>
  <c r="Q2242" i="16"/>
  <c r="R2242" i="16"/>
  <c r="L2243" i="16"/>
  <c r="C2243" i="16"/>
  <c r="E2243" i="16"/>
  <c r="G2243" i="16"/>
  <c r="I2243" i="16"/>
  <c r="B2244" i="16"/>
  <c r="U2186" i="16"/>
  <c r="S2186" i="16"/>
  <c r="T2186" i="16" s="1"/>
  <c r="U2187" i="16"/>
  <c r="S2187" i="16"/>
  <c r="T2187" i="16" s="1"/>
  <c r="M2188" i="16"/>
  <c r="D2188" i="16"/>
  <c r="J2188" i="16"/>
  <c r="N2188" i="16" s="1"/>
  <c r="P2188" i="16"/>
  <c r="Q2188" i="16"/>
  <c r="R2188" i="16"/>
  <c r="L2189" i="16"/>
  <c r="C2189" i="16"/>
  <c r="K2189" i="16" s="1"/>
  <c r="E2189" i="16"/>
  <c r="F2189" i="16"/>
  <c r="O2189" i="16" s="1"/>
  <c r="G2189" i="16"/>
  <c r="I2189" i="16"/>
  <c r="B2190" i="16"/>
  <c r="U2132" i="16"/>
  <c r="S2132" i="16"/>
  <c r="T2132" i="16" s="1"/>
  <c r="U2133" i="16"/>
  <c r="S2133" i="16"/>
  <c r="T2133" i="16" s="1"/>
  <c r="D2134" i="16"/>
  <c r="J2134" i="16"/>
  <c r="P2134" i="16"/>
  <c r="Q2134" i="16"/>
  <c r="R2134" i="16"/>
  <c r="L2135" i="16"/>
  <c r="C2135" i="16"/>
  <c r="K2135" i="16" s="1"/>
  <c r="E2135" i="16"/>
  <c r="F2135" i="16"/>
  <c r="O2135" i="16" s="1"/>
  <c r="G2135" i="16"/>
  <c r="I2135" i="16"/>
  <c r="B2136" i="16"/>
  <c r="D2080" i="16"/>
  <c r="J2080" i="16"/>
  <c r="P2080" i="16"/>
  <c r="Q2080" i="16"/>
  <c r="R2080" i="16"/>
  <c r="L2081" i="16"/>
  <c r="C2081" i="16"/>
  <c r="K2081" i="16" s="1"/>
  <c r="E2081" i="16"/>
  <c r="F2081" i="16"/>
  <c r="O2081" i="16" s="1"/>
  <c r="G2081" i="16"/>
  <c r="I2081" i="16"/>
  <c r="B2082" i="16"/>
  <c r="U2024" i="16"/>
  <c r="S2024" i="16"/>
  <c r="T2024" i="16" s="1"/>
  <c r="M2026" i="16"/>
  <c r="D2026" i="16"/>
  <c r="J2026" i="16"/>
  <c r="N2026" i="16" s="1"/>
  <c r="P2026" i="16"/>
  <c r="Q2026" i="16"/>
  <c r="R2026" i="16"/>
  <c r="L2027" i="16"/>
  <c r="C2027" i="16"/>
  <c r="K2027" i="16" s="1"/>
  <c r="E2027" i="16"/>
  <c r="F2027" i="16"/>
  <c r="O2027" i="16" s="1"/>
  <c r="G2027" i="16"/>
  <c r="I2027" i="16"/>
  <c r="B2028" i="16"/>
  <c r="U1970" i="16"/>
  <c r="S1970" i="16"/>
  <c r="T1970" i="16" s="1"/>
  <c r="U1971" i="16"/>
  <c r="S1971" i="16"/>
  <c r="T1971" i="16" s="1"/>
  <c r="M1972" i="16"/>
  <c r="D1972" i="16"/>
  <c r="J1972" i="16"/>
  <c r="N1972" i="16" s="1"/>
  <c r="P1972" i="16"/>
  <c r="Q1972" i="16"/>
  <c r="R1972" i="16"/>
  <c r="L1973" i="16"/>
  <c r="C1973" i="16"/>
  <c r="K1973" i="16" s="1"/>
  <c r="E1973" i="16"/>
  <c r="F1973" i="16"/>
  <c r="O1973" i="16" s="1"/>
  <c r="G1973" i="16"/>
  <c r="I1973" i="16"/>
  <c r="B1974" i="16"/>
  <c r="U1916" i="16"/>
  <c r="S1916" i="16"/>
  <c r="T1916" i="16" s="1"/>
  <c r="U1917" i="16"/>
  <c r="S1917" i="16"/>
  <c r="T1917" i="16" s="1"/>
  <c r="M1918" i="16"/>
  <c r="D1918" i="16"/>
  <c r="J1918" i="16"/>
  <c r="N1918" i="16" s="1"/>
  <c r="P1918" i="16"/>
  <c r="Q1918" i="16"/>
  <c r="R1918" i="16"/>
  <c r="L1919" i="16"/>
  <c r="C1919" i="16"/>
  <c r="K1919" i="16" s="1"/>
  <c r="E1919" i="16"/>
  <c r="F1919" i="16"/>
  <c r="O1919" i="16" s="1"/>
  <c r="G1919" i="16"/>
  <c r="I1919" i="16"/>
  <c r="B1920" i="16"/>
  <c r="M1864" i="16"/>
  <c r="D1864" i="16"/>
  <c r="J1864" i="16"/>
  <c r="N1864" i="16" s="1"/>
  <c r="P1864" i="16"/>
  <c r="Q1864" i="16"/>
  <c r="R1864" i="16"/>
  <c r="L1865" i="16"/>
  <c r="C1865" i="16"/>
  <c r="K1865" i="16" s="1"/>
  <c r="E1865" i="16"/>
  <c r="F1865" i="16"/>
  <c r="O1865" i="16" s="1"/>
  <c r="G1865" i="16"/>
  <c r="I1865" i="16"/>
  <c r="B1866" i="16"/>
  <c r="D1810" i="16"/>
  <c r="J1810" i="16"/>
  <c r="P1810" i="16"/>
  <c r="Q1810" i="16"/>
  <c r="R1810" i="16"/>
  <c r="L1811" i="16"/>
  <c r="C1811" i="16"/>
  <c r="K1811" i="16" s="1"/>
  <c r="E1811" i="16"/>
  <c r="F1811" i="16"/>
  <c r="O1811" i="16" s="1"/>
  <c r="G1811" i="16"/>
  <c r="I1811" i="16"/>
  <c r="B1812" i="16"/>
  <c r="U1754" i="16"/>
  <c r="S1754" i="16"/>
  <c r="T1754" i="16" s="1"/>
  <c r="M1756" i="16"/>
  <c r="D1756" i="16"/>
  <c r="J1756" i="16"/>
  <c r="N1756" i="16" s="1"/>
  <c r="P1756" i="16"/>
  <c r="Q1756" i="16"/>
  <c r="R1756" i="16"/>
  <c r="L1757" i="16"/>
  <c r="C1757" i="16"/>
  <c r="K1757" i="16" s="1"/>
  <c r="E1757" i="16"/>
  <c r="F1757" i="16"/>
  <c r="O1757" i="16" s="1"/>
  <c r="G1757" i="16"/>
  <c r="I1757" i="16"/>
  <c r="B1758" i="16"/>
  <c r="U1700" i="16"/>
  <c r="S1700" i="16"/>
  <c r="T1700" i="16" s="1"/>
  <c r="U1701" i="16"/>
  <c r="S1701" i="16"/>
  <c r="T1701" i="16" s="1"/>
  <c r="M1702" i="16"/>
  <c r="D1702" i="16"/>
  <c r="J1702" i="16"/>
  <c r="N1702" i="16" s="1"/>
  <c r="P1702" i="16"/>
  <c r="Q1702" i="16"/>
  <c r="R1702" i="16"/>
  <c r="L1703" i="16"/>
  <c r="C1703" i="16"/>
  <c r="K1703" i="16" s="1"/>
  <c r="E1703" i="16"/>
  <c r="F1703" i="16"/>
  <c r="O1703" i="16" s="1"/>
  <c r="G1703" i="16"/>
  <c r="I1703" i="16"/>
  <c r="B1704" i="16"/>
  <c r="M1648" i="16"/>
  <c r="D1648" i="16"/>
  <c r="J1648" i="16"/>
  <c r="N1648" i="16" s="1"/>
  <c r="P1648" i="16"/>
  <c r="Q1648" i="16"/>
  <c r="R1648" i="16"/>
  <c r="L1649" i="16"/>
  <c r="C1649" i="16"/>
  <c r="E1649" i="16"/>
  <c r="G1649" i="16"/>
  <c r="I1649" i="16"/>
  <c r="B1650" i="16"/>
  <c r="U1592" i="16"/>
  <c r="S1592" i="16"/>
  <c r="T1592" i="16" s="1"/>
  <c r="U1593" i="16"/>
  <c r="S1593" i="16"/>
  <c r="T1593" i="16" s="1"/>
  <c r="M1594" i="16"/>
  <c r="D1594" i="16"/>
  <c r="J1594" i="16"/>
  <c r="N1594" i="16" s="1"/>
  <c r="P1594" i="16"/>
  <c r="Q1594" i="16"/>
  <c r="R1594" i="16"/>
  <c r="L1595" i="16"/>
  <c r="C1595" i="16"/>
  <c r="K1595" i="16" s="1"/>
  <c r="E1595" i="16"/>
  <c r="F1595" i="16"/>
  <c r="O1595" i="16" s="1"/>
  <c r="G1595" i="16"/>
  <c r="I1595" i="16"/>
  <c r="B1596" i="16"/>
  <c r="U1538" i="16"/>
  <c r="S1538" i="16"/>
  <c r="T1538" i="16" s="1"/>
  <c r="U1539" i="16"/>
  <c r="S1539" i="16"/>
  <c r="T1539" i="16" s="1"/>
  <c r="M1540" i="16"/>
  <c r="D1540" i="16"/>
  <c r="J1540" i="16"/>
  <c r="N1540" i="16" s="1"/>
  <c r="P1540" i="16"/>
  <c r="Q1540" i="16"/>
  <c r="R1540" i="16"/>
  <c r="L1541" i="16"/>
  <c r="C1541" i="16"/>
  <c r="K1541" i="16" s="1"/>
  <c r="E1541" i="16"/>
  <c r="F1541" i="16"/>
  <c r="O1541" i="16" s="1"/>
  <c r="G1541" i="16"/>
  <c r="I1541" i="16"/>
  <c r="B1542" i="16"/>
  <c r="L1487" i="16"/>
  <c r="E1487" i="16"/>
  <c r="G1487" i="16"/>
  <c r="I1487" i="16"/>
  <c r="B1488" i="16"/>
  <c r="C1487" i="16"/>
  <c r="P1486" i="16"/>
  <c r="Q1486" i="16"/>
  <c r="R1486" i="16"/>
  <c r="J1486" i="16"/>
  <c r="D1486" i="16"/>
  <c r="U1484" i="16"/>
  <c r="S1484" i="16"/>
  <c r="T1484" i="16" s="1"/>
  <c r="U1430" i="16"/>
  <c r="S1430" i="16"/>
  <c r="T1430" i="16" s="1"/>
  <c r="M1432" i="16"/>
  <c r="D1432" i="16"/>
  <c r="J1432" i="16"/>
  <c r="N1432" i="16" s="1"/>
  <c r="P1432" i="16"/>
  <c r="Q1432" i="16"/>
  <c r="R1432" i="16"/>
  <c r="L1433" i="16"/>
  <c r="C1433" i="16"/>
  <c r="K1433" i="16" s="1"/>
  <c r="E1433" i="16"/>
  <c r="F1433" i="16"/>
  <c r="O1433" i="16" s="1"/>
  <c r="G1433" i="16"/>
  <c r="I1433" i="16"/>
  <c r="B1434" i="16"/>
  <c r="P1378" i="16"/>
  <c r="Q1378" i="16"/>
  <c r="R1378" i="16"/>
  <c r="J1378" i="16"/>
  <c r="D1378" i="16"/>
  <c r="L1379" i="16"/>
  <c r="I1379" i="16"/>
  <c r="E1379" i="16"/>
  <c r="B1380" i="16"/>
  <c r="C1379" i="16"/>
  <c r="G1379" i="16"/>
  <c r="U1376" i="16"/>
  <c r="S1376" i="16"/>
  <c r="T1376" i="16" s="1"/>
  <c r="U1322" i="16"/>
  <c r="S1322" i="16"/>
  <c r="T1322" i="16" s="1"/>
  <c r="U1323" i="16"/>
  <c r="S1323" i="16"/>
  <c r="T1323" i="16" s="1"/>
  <c r="D1324" i="16"/>
  <c r="J1324" i="16"/>
  <c r="L1325" i="16"/>
  <c r="I1325" i="16"/>
  <c r="C1325" i="16"/>
  <c r="E1325" i="16"/>
  <c r="G1325" i="16"/>
  <c r="B1326" i="16"/>
  <c r="P1324" i="16"/>
  <c r="Q1324" i="16"/>
  <c r="R1324" i="16"/>
  <c r="U1269" i="16"/>
  <c r="S1269" i="16"/>
  <c r="T1269" i="16" s="1"/>
  <c r="P1270" i="16"/>
  <c r="Q1270" i="16"/>
  <c r="R1270" i="16"/>
  <c r="L1271" i="16"/>
  <c r="E1271" i="16"/>
  <c r="G1271" i="16"/>
  <c r="C1271" i="16"/>
  <c r="I1271" i="16"/>
  <c r="B1272" i="16"/>
  <c r="J1270" i="16"/>
  <c r="D1270" i="16"/>
  <c r="U1268" i="16"/>
  <c r="S1268" i="16"/>
  <c r="T1268" i="16" s="1"/>
  <c r="U1214" i="16"/>
  <c r="S1214" i="16"/>
  <c r="T1214" i="16" s="1"/>
  <c r="P1216" i="16"/>
  <c r="Q1216" i="16"/>
  <c r="R1216" i="16"/>
  <c r="M1216" i="16"/>
  <c r="D1216" i="16"/>
  <c r="J1216" i="16"/>
  <c r="N1216" i="16" s="1"/>
  <c r="G1217" i="16"/>
  <c r="E1217" i="16"/>
  <c r="C1217" i="16"/>
  <c r="L1217" i="16"/>
  <c r="B1218" i="16"/>
  <c r="I1217" i="16"/>
  <c r="S1215" i="16"/>
  <c r="T1215" i="16" s="1"/>
  <c r="U1215" i="16"/>
  <c r="U1160" i="16"/>
  <c r="S1160" i="16"/>
  <c r="T1160" i="16" s="1"/>
  <c r="U1161" i="16"/>
  <c r="S1161" i="16"/>
  <c r="T1161" i="16" s="1"/>
  <c r="M1162" i="16"/>
  <c r="D1162" i="16"/>
  <c r="J1162" i="16"/>
  <c r="N1162" i="16" s="1"/>
  <c r="P1162" i="16"/>
  <c r="Q1162" i="16"/>
  <c r="R1162" i="16"/>
  <c r="L1163" i="16"/>
  <c r="C1163" i="16"/>
  <c r="K1163" i="16" s="1"/>
  <c r="E1163" i="16"/>
  <c r="F1163" i="16"/>
  <c r="O1163" i="16" s="1"/>
  <c r="G1163" i="16"/>
  <c r="I1163" i="16"/>
  <c r="B1164" i="16"/>
  <c r="U1106" i="16"/>
  <c r="S1106" i="16"/>
  <c r="T1106" i="16" s="1"/>
  <c r="M1108" i="16"/>
  <c r="D1108" i="16"/>
  <c r="J1108" i="16"/>
  <c r="N1108" i="16" s="1"/>
  <c r="P1108" i="16"/>
  <c r="Q1108" i="16"/>
  <c r="R1108" i="16"/>
  <c r="L1109" i="16"/>
  <c r="C1109" i="16"/>
  <c r="K1109" i="16" s="1"/>
  <c r="E1109" i="16"/>
  <c r="F1109" i="16"/>
  <c r="O1109" i="16" s="1"/>
  <c r="G1109" i="16"/>
  <c r="I1109" i="16"/>
  <c r="B1110" i="16"/>
  <c r="U1052" i="16"/>
  <c r="S1052" i="16"/>
  <c r="T1052" i="16" s="1"/>
  <c r="U1053" i="16"/>
  <c r="S1053" i="16"/>
  <c r="T1053" i="16" s="1"/>
  <c r="M1054" i="16"/>
  <c r="D1054" i="16"/>
  <c r="J1054" i="16"/>
  <c r="N1054" i="16" s="1"/>
  <c r="P1054" i="16"/>
  <c r="Q1054" i="16"/>
  <c r="R1054" i="16"/>
  <c r="L1055" i="16"/>
  <c r="C1055" i="16"/>
  <c r="K1055" i="16" s="1"/>
  <c r="E1055" i="16"/>
  <c r="F1055" i="16"/>
  <c r="O1055" i="16" s="1"/>
  <c r="G1055" i="16"/>
  <c r="I1055" i="16"/>
  <c r="B1056" i="16"/>
  <c r="P1000" i="16"/>
  <c r="Q1000" i="16"/>
  <c r="R1000" i="16"/>
  <c r="L1001" i="16"/>
  <c r="G1001" i="16"/>
  <c r="E1001" i="16"/>
  <c r="B1002" i="16"/>
  <c r="I1001" i="16"/>
  <c r="C1001" i="16"/>
  <c r="D1000" i="16"/>
  <c r="J1000" i="16"/>
  <c r="U998" i="16"/>
  <c r="S998" i="16"/>
  <c r="T998" i="16" s="1"/>
  <c r="M946" i="16"/>
  <c r="D946" i="16"/>
  <c r="J946" i="16"/>
  <c r="N946" i="16" s="1"/>
  <c r="P946" i="16"/>
  <c r="Q946" i="16"/>
  <c r="R946" i="16"/>
  <c r="L947" i="16"/>
  <c r="C947" i="16"/>
  <c r="K947" i="16" s="1"/>
  <c r="E947" i="16"/>
  <c r="F947" i="16"/>
  <c r="O947" i="16" s="1"/>
  <c r="G947" i="16"/>
  <c r="I947" i="16"/>
  <c r="B948" i="16"/>
  <c r="M892" i="16"/>
  <c r="D892" i="16"/>
  <c r="J892" i="16"/>
  <c r="N892" i="16" s="1"/>
  <c r="P892" i="16"/>
  <c r="Q892" i="16"/>
  <c r="R892" i="16"/>
  <c r="L893" i="16"/>
  <c r="C893" i="16"/>
  <c r="E893" i="16"/>
  <c r="G893" i="16"/>
  <c r="I893" i="16"/>
  <c r="B894" i="16"/>
  <c r="D838" i="16"/>
  <c r="J838" i="16"/>
  <c r="P838" i="16"/>
  <c r="Q838" i="16"/>
  <c r="R838" i="16"/>
  <c r="L839" i="16"/>
  <c r="C839" i="16"/>
  <c r="E839" i="16"/>
  <c r="G839" i="16"/>
  <c r="I839" i="16"/>
  <c r="B840" i="16"/>
  <c r="U782" i="16"/>
  <c r="S782" i="16"/>
  <c r="T782" i="16" s="1"/>
  <c r="U783" i="16"/>
  <c r="S783" i="16"/>
  <c r="T783" i="16" s="1"/>
  <c r="D784" i="16"/>
  <c r="J784" i="16"/>
  <c r="P784" i="16"/>
  <c r="Q784" i="16"/>
  <c r="R784" i="16"/>
  <c r="L785" i="16"/>
  <c r="C785" i="16"/>
  <c r="E785" i="16"/>
  <c r="G785" i="16"/>
  <c r="I785" i="16"/>
  <c r="B786" i="16"/>
  <c r="D730" i="16"/>
  <c r="J730" i="16"/>
  <c r="P730" i="16"/>
  <c r="Q730" i="16"/>
  <c r="R730" i="16"/>
  <c r="L731" i="16"/>
  <c r="C731" i="16"/>
  <c r="K731" i="16" s="1"/>
  <c r="E731" i="16"/>
  <c r="F731" i="16"/>
  <c r="O731" i="16" s="1"/>
  <c r="G731" i="16"/>
  <c r="I731" i="16"/>
  <c r="B732" i="16"/>
  <c r="M676" i="16"/>
  <c r="D676" i="16"/>
  <c r="J676" i="16"/>
  <c r="N676" i="16" s="1"/>
  <c r="P676" i="16"/>
  <c r="Q676" i="16"/>
  <c r="R676" i="16"/>
  <c r="L677" i="16"/>
  <c r="C677" i="16"/>
  <c r="K677" i="16" s="1"/>
  <c r="E677" i="16"/>
  <c r="F677" i="16"/>
  <c r="O677" i="16" s="1"/>
  <c r="G677" i="16"/>
  <c r="I677" i="16"/>
  <c r="B678" i="16"/>
  <c r="U621" i="16"/>
  <c r="S621" i="16"/>
  <c r="T621" i="16" s="1"/>
  <c r="D622" i="16"/>
  <c r="J622" i="16"/>
  <c r="P622" i="16"/>
  <c r="Q622" i="16"/>
  <c r="R622" i="16"/>
  <c r="L623" i="16"/>
  <c r="C623" i="16"/>
  <c r="E623" i="16"/>
  <c r="G623" i="16"/>
  <c r="I623" i="16"/>
  <c r="B624" i="16"/>
  <c r="U566" i="16"/>
  <c r="S566" i="16"/>
  <c r="T566" i="16" s="1"/>
  <c r="U567" i="16"/>
  <c r="S567" i="16"/>
  <c r="T567" i="16" s="1"/>
  <c r="L569" i="16"/>
  <c r="I569" i="16"/>
  <c r="C569" i="16"/>
  <c r="E569" i="16"/>
  <c r="G569" i="16"/>
  <c r="B570" i="16"/>
  <c r="J568" i="16"/>
  <c r="D568" i="16"/>
  <c r="P568" i="16"/>
  <c r="Q568" i="16"/>
  <c r="R568" i="16"/>
  <c r="M514" i="16"/>
  <c r="D514" i="16"/>
  <c r="J514" i="16"/>
  <c r="N514" i="16" s="1"/>
  <c r="P514" i="16"/>
  <c r="Q514" i="16"/>
  <c r="R514" i="16"/>
  <c r="L515" i="16"/>
  <c r="C515" i="16"/>
  <c r="K515" i="16" s="1"/>
  <c r="E515" i="16"/>
  <c r="F515" i="16"/>
  <c r="O515" i="16" s="1"/>
  <c r="G515" i="16"/>
  <c r="I515" i="16"/>
  <c r="B516" i="16"/>
  <c r="D460" i="16"/>
  <c r="J460" i="16"/>
  <c r="P460" i="16"/>
  <c r="Q460" i="16"/>
  <c r="R460" i="16"/>
  <c r="L461" i="16"/>
  <c r="C461" i="16"/>
  <c r="K461" i="16" s="1"/>
  <c r="E461" i="16"/>
  <c r="F461" i="16"/>
  <c r="O461" i="16" s="1"/>
  <c r="G461" i="16"/>
  <c r="I461" i="16"/>
  <c r="B462" i="16"/>
  <c r="M406" i="16"/>
  <c r="D406" i="16"/>
  <c r="J406" i="16"/>
  <c r="N406" i="16" s="1"/>
  <c r="P406" i="16"/>
  <c r="Q406" i="16"/>
  <c r="R406" i="16"/>
  <c r="L407" i="16"/>
  <c r="C407" i="16"/>
  <c r="K407" i="16" s="1"/>
  <c r="E407" i="16"/>
  <c r="F407" i="16"/>
  <c r="O407" i="16" s="1"/>
  <c r="G407" i="16"/>
  <c r="I407" i="16"/>
  <c r="B408" i="16"/>
  <c r="U350" i="16"/>
  <c r="S350" i="16"/>
  <c r="T350" i="16" s="1"/>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U242" i="16"/>
  <c r="S242" i="16"/>
  <c r="T242" i="16" s="1"/>
  <c r="U243" i="16"/>
  <c r="S243" i="16"/>
  <c r="T243" i="16" s="1"/>
  <c r="M244" i="16"/>
  <c r="D244" i="16"/>
  <c r="J244" i="16"/>
  <c r="N244" i="16" s="1"/>
  <c r="P244" i="16"/>
  <c r="Q244" i="16"/>
  <c r="R244" i="16"/>
  <c r="L245" i="16"/>
  <c r="C245" i="16"/>
  <c r="K245" i="16" s="1"/>
  <c r="E245" i="16"/>
  <c r="F245" i="16"/>
  <c r="O245" i="16" s="1"/>
  <c r="G245" i="16"/>
  <c r="I245" i="16"/>
  <c r="B246" i="16"/>
  <c r="U189" i="16"/>
  <c r="S189" i="16"/>
  <c r="T189" i="16" s="1"/>
  <c r="P190" i="16"/>
  <c r="Q190" i="16"/>
  <c r="R190" i="16"/>
  <c r="L191" i="16"/>
  <c r="B192" i="16"/>
  <c r="I191" i="16"/>
  <c r="C191" i="16"/>
  <c r="E191" i="16"/>
  <c r="G191" i="16"/>
  <c r="J190" i="16"/>
  <c r="D190" i="16"/>
  <c r="U188" i="16"/>
  <c r="S188" i="16"/>
  <c r="T188" i="16" s="1"/>
  <c r="M136" i="16"/>
  <c r="P136" i="16"/>
  <c r="Q136" i="16"/>
  <c r="R136" i="16"/>
  <c r="J136" i="16"/>
  <c r="N136" i="16" s="1"/>
  <c r="D136" i="16"/>
  <c r="L137" i="16"/>
  <c r="G137" i="16"/>
  <c r="C137" i="16"/>
  <c r="E137" i="16"/>
  <c r="I137" i="16"/>
  <c r="B138" i="16"/>
  <c r="U134" i="16"/>
  <c r="S134" i="16"/>
  <c r="T134" i="16" s="1"/>
  <c r="M82" i="16"/>
  <c r="D82" i="16"/>
  <c r="J82" i="16"/>
  <c r="N82" i="16" s="1"/>
  <c r="P82" i="16"/>
  <c r="Q82" i="16"/>
  <c r="R82" i="16"/>
  <c r="L83" i="16"/>
  <c r="C83" i="16"/>
  <c r="K83" i="16" s="1"/>
  <c r="E83" i="16"/>
  <c r="F83" i="16"/>
  <c r="O83" i="16" s="1"/>
  <c r="G83" i="16"/>
  <c r="I83" i="16"/>
  <c r="B84" i="16"/>
  <c r="M20" i="4"/>
  <c r="D20" i="4"/>
  <c r="J20" i="4"/>
  <c r="N20" i="4" s="1"/>
  <c r="X20" i="4"/>
  <c r="W20" i="4"/>
  <c r="P20" i="4"/>
  <c r="Q20" i="4"/>
  <c r="R20" i="4"/>
  <c r="V20" i="4"/>
  <c r="L21" i="4"/>
  <c r="C21" i="4"/>
  <c r="K21" i="4" s="1"/>
  <c r="E21" i="4"/>
  <c r="F21" i="4"/>
  <c r="C21" i="5" s="1"/>
  <c r="E21" i="5" s="1"/>
  <c r="O21" i="4" s="1"/>
  <c r="G21" i="4"/>
  <c r="I21" i="4"/>
  <c r="B22" i="4"/>
  <c r="B21" i="5"/>
  <c r="AA16" i="4"/>
  <c r="B68" i="7"/>
  <c r="I68" i="7" s="1"/>
  <c r="AA15" i="4"/>
  <c r="Z17" i="4"/>
  <c r="Z18" i="4"/>
  <c r="Z19" i="4"/>
  <c r="Z20" i="4"/>
  <c r="Z21" i="4"/>
  <c r="D31" i="6"/>
  <c r="F59" i="6"/>
  <c r="C60" i="6"/>
  <c r="E60" i="6"/>
  <c r="O4053" i="16"/>
  <c r="S4053" i="16" s="1"/>
  <c r="T4053" i="16" s="1"/>
  <c r="O4052" i="16"/>
  <c r="S4052" i="16" s="1"/>
  <c r="T4052" i="16" s="1"/>
  <c r="O4051" i="16"/>
  <c r="S4051" i="16" s="1"/>
  <c r="T4051" i="16" s="1"/>
  <c r="O4215" i="16"/>
  <c r="S4215" i="16" s="1"/>
  <c r="T4215" i="16" s="1"/>
  <c r="O4213" i="16"/>
  <c r="S4213" i="16" s="1"/>
  <c r="T4213" i="16" s="1"/>
  <c r="O4214" i="16"/>
  <c r="S4214" i="16" s="1"/>
  <c r="T4214" i="16" s="1"/>
  <c r="A4619" i="16"/>
  <c r="B4619" i="16"/>
  <c r="U3752" i="16"/>
  <c r="S3752" i="16"/>
  <c r="T3752" i="16" s="1"/>
  <c r="U3699" i="16"/>
  <c r="S3699" i="16"/>
  <c r="T3699" i="16" s="1"/>
  <c r="U3645" i="16"/>
  <c r="S3645" i="16"/>
  <c r="T3645" i="16" s="1"/>
  <c r="U3590" i="16"/>
  <c r="S3590" i="16"/>
  <c r="T3590" i="16" s="1"/>
  <c r="U3591" i="16"/>
  <c r="S3591" i="16"/>
  <c r="T3591" i="16" s="1"/>
  <c r="U3536" i="16"/>
  <c r="S3536" i="16"/>
  <c r="T3536" i="16" s="1"/>
  <c r="U3482" i="16"/>
  <c r="S3482" i="16"/>
  <c r="T3482" i="16" s="1"/>
  <c r="U3428" i="16"/>
  <c r="S3428" i="16"/>
  <c r="T3428" i="16" s="1"/>
  <c r="U3429" i="16"/>
  <c r="S3429" i="16"/>
  <c r="T3429" i="16" s="1"/>
  <c r="U3375" i="16"/>
  <c r="S3375" i="16"/>
  <c r="T3375" i="16" s="1"/>
  <c r="U3320" i="16"/>
  <c r="S3320" i="16"/>
  <c r="T3320" i="16" s="1"/>
  <c r="U3321" i="16"/>
  <c r="S3321" i="16"/>
  <c r="T3321" i="16" s="1"/>
  <c r="U3266" i="16"/>
  <c r="S3266" i="16"/>
  <c r="T3266" i="16" s="1"/>
  <c r="U3267" i="16"/>
  <c r="S3267" i="16"/>
  <c r="T3267" i="16" s="1"/>
  <c r="U2618" i="16"/>
  <c r="S2618" i="16"/>
  <c r="T2618" i="16" s="1"/>
  <c r="U2295" i="16"/>
  <c r="S2295" i="16"/>
  <c r="T2295" i="16" s="1"/>
  <c r="U2240" i="16"/>
  <c r="S2240" i="16"/>
  <c r="T2240" i="16" s="1"/>
  <c r="U2078" i="16"/>
  <c r="S2078" i="16"/>
  <c r="T2078" i="16" s="1"/>
  <c r="U1863" i="16"/>
  <c r="S1863" i="16"/>
  <c r="T1863" i="16" s="1"/>
  <c r="U1809" i="16"/>
  <c r="S1809" i="16"/>
  <c r="T1809" i="16" s="1"/>
  <c r="U1647" i="16"/>
  <c r="S1647" i="16"/>
  <c r="T1647" i="16" s="1"/>
  <c r="U945" i="16"/>
  <c r="S945" i="16"/>
  <c r="T945" i="16" s="1"/>
  <c r="U890" i="16"/>
  <c r="S890" i="16"/>
  <c r="T890" i="16" s="1"/>
  <c r="U891" i="16"/>
  <c r="S891" i="16"/>
  <c r="T891" i="16" s="1"/>
  <c r="U837" i="16"/>
  <c r="S837" i="16"/>
  <c r="T837" i="16" s="1"/>
  <c r="U728" i="16"/>
  <c r="S728" i="16"/>
  <c r="T728" i="16" s="1"/>
  <c r="U513" i="16"/>
  <c r="S513" i="16"/>
  <c r="T513" i="16" s="1"/>
  <c r="U459" i="16"/>
  <c r="S459" i="16"/>
  <c r="T459" i="16" s="1"/>
  <c r="U297" i="16"/>
  <c r="S297" i="16"/>
  <c r="T297" i="16" s="1"/>
  <c r="U80" i="16"/>
  <c r="S80" i="16"/>
  <c r="T80" i="16" s="1"/>
  <c r="N4515" i="16"/>
  <c r="M4515" i="16"/>
  <c r="M3753" i="16"/>
  <c r="N3753" i="16"/>
  <c r="M3537" i="16"/>
  <c r="N3537" i="16"/>
  <c r="N3483" i="16"/>
  <c r="M3483" i="16"/>
  <c r="N3105" i="16"/>
  <c r="M3105" i="16"/>
  <c r="M3051" i="16"/>
  <c r="N3051" i="16"/>
  <c r="M2943" i="16"/>
  <c r="N2943" i="16"/>
  <c r="N2781" i="16"/>
  <c r="S2781" i="16" s="1"/>
  <c r="T2781" i="16" s="1"/>
  <c r="U2781" i="16" s="1"/>
  <c r="M2781" i="16"/>
  <c r="M2727" i="16"/>
  <c r="N2727" i="16"/>
  <c r="M2673" i="16"/>
  <c r="N2673" i="16"/>
  <c r="N2619" i="16"/>
  <c r="M2619" i="16"/>
  <c r="M2079" i="16"/>
  <c r="N2079" i="16"/>
  <c r="M2025" i="16"/>
  <c r="N2025" i="16"/>
  <c r="M1755" i="16"/>
  <c r="N1755" i="16"/>
  <c r="N1485" i="16"/>
  <c r="M1485" i="16"/>
  <c r="M1431" i="16"/>
  <c r="N1431" i="16"/>
  <c r="N1377" i="16"/>
  <c r="M1377" i="16"/>
  <c r="M1107" i="16"/>
  <c r="N1107" i="16"/>
  <c r="N999" i="16"/>
  <c r="M999" i="16"/>
  <c r="M729" i="16"/>
  <c r="N729" i="16"/>
  <c r="M675" i="16"/>
  <c r="N675" i="16"/>
  <c r="M405" i="16"/>
  <c r="N405" i="16"/>
  <c r="M351" i="16"/>
  <c r="N351" i="16"/>
  <c r="M135" i="16"/>
  <c r="N135" i="16"/>
  <c r="M81" i="16"/>
  <c r="N81" i="16"/>
  <c r="S2995" i="16"/>
  <c r="T2995" i="16" s="1"/>
  <c r="S1969" i="16"/>
  <c r="T1969" i="16" s="1"/>
  <c r="S1537" i="16"/>
  <c r="T1537" i="16" s="1"/>
  <c r="S1483" i="16"/>
  <c r="T1483" i="16" s="1"/>
  <c r="S1105" i="16"/>
  <c r="T1105" i="16" s="1"/>
  <c r="G31" i="6"/>
  <c r="B46" i="17"/>
  <c r="I4049" i="16"/>
  <c r="O4054" i="16" s="1"/>
  <c r="I4157" i="16"/>
  <c r="O4160" i="16" s="1"/>
  <c r="S4160" i="16" s="1"/>
  <c r="T4160" i="16" s="1"/>
  <c r="I4211" i="16"/>
  <c r="O4216" i="16" s="1"/>
  <c r="I4103" i="16"/>
  <c r="H6" i="5"/>
  <c r="J4049" i="16"/>
  <c r="H7" i="5"/>
  <c r="L11" i="5" s="1"/>
  <c r="D15" i="13" s="1"/>
  <c r="U4215" i="16"/>
  <c r="U4161" i="16"/>
  <c r="U4107" i="16"/>
  <c r="U4053" i="16"/>
  <c r="F3700" i="16"/>
  <c r="O3700" i="16" s="1"/>
  <c r="K3700" i="16"/>
  <c r="K3646" i="16"/>
  <c r="F3646" i="16"/>
  <c r="O3646" i="16" s="1"/>
  <c r="K3484" i="16"/>
  <c r="F3484" i="16"/>
  <c r="O3484" i="16" s="1"/>
  <c r="F3430" i="16"/>
  <c r="O3430" i="16" s="1"/>
  <c r="K3430" i="16"/>
  <c r="K3052" i="16"/>
  <c r="F3052" i="16"/>
  <c r="O3052" i="16" s="1"/>
  <c r="K2998" i="16"/>
  <c r="F2998" i="16"/>
  <c r="O2998" i="16" s="1"/>
  <c r="K2944" i="16"/>
  <c r="F2944" i="16"/>
  <c r="O2944" i="16" s="1"/>
  <c r="K2890" i="16"/>
  <c r="F2890" i="16"/>
  <c r="O2890" i="16" s="1"/>
  <c r="K2836" i="16"/>
  <c r="F2836" i="16"/>
  <c r="O2836" i="16" s="1"/>
  <c r="F2728" i="16"/>
  <c r="O2728" i="16" s="1"/>
  <c r="K2728" i="16"/>
  <c r="F2674" i="16"/>
  <c r="O2674" i="16" s="1"/>
  <c r="K2674" i="16"/>
  <c r="K2620" i="16"/>
  <c r="F2620" i="16"/>
  <c r="O2620" i="16" s="1"/>
  <c r="K2566" i="16"/>
  <c r="F2566" i="16"/>
  <c r="O2566" i="16" s="1"/>
  <c r="K2404" i="16"/>
  <c r="F2404" i="16"/>
  <c r="O2404" i="16" s="1"/>
  <c r="K2350" i="16"/>
  <c r="F2350" i="16"/>
  <c r="O2350" i="16" s="1"/>
  <c r="K2134" i="16"/>
  <c r="F2134" i="16"/>
  <c r="O2134" i="16" s="1"/>
  <c r="K2080" i="16"/>
  <c r="F2080" i="16"/>
  <c r="O2080" i="16" s="1"/>
  <c r="F1810" i="16"/>
  <c r="O1810" i="16" s="1"/>
  <c r="K1810" i="16"/>
  <c r="K1486" i="16"/>
  <c r="F1486" i="16"/>
  <c r="O1486" i="16" s="1"/>
  <c r="K1378" i="16"/>
  <c r="F1378" i="16"/>
  <c r="O1378" i="16" s="1"/>
  <c r="K1324" i="16"/>
  <c r="F1324" i="16"/>
  <c r="O1324" i="16" s="1"/>
  <c r="K1270" i="16"/>
  <c r="F1270" i="16"/>
  <c r="O1270" i="16" s="1"/>
  <c r="F1000" i="16"/>
  <c r="O1000" i="16" s="1"/>
  <c r="K1000" i="16"/>
  <c r="K838" i="16"/>
  <c r="F838" i="16"/>
  <c r="O838" i="16" s="1"/>
  <c r="K784" i="16"/>
  <c r="F784" i="16"/>
  <c r="O784" i="16" s="1"/>
  <c r="F730" i="16"/>
  <c r="O730" i="16" s="1"/>
  <c r="K730" i="16"/>
  <c r="K622" i="16"/>
  <c r="F622" i="16"/>
  <c r="O622" i="16" s="1"/>
  <c r="F568" i="16"/>
  <c r="O568" i="16" s="1"/>
  <c r="K568" i="16"/>
  <c r="F460" i="16"/>
  <c r="O460" i="16" s="1"/>
  <c r="K460" i="16"/>
  <c r="K190" i="16"/>
  <c r="F190" i="16"/>
  <c r="O190" i="16" s="1"/>
  <c r="U19" i="4"/>
  <c r="K4679" i="16" l="1"/>
  <c r="F4679" i="16"/>
  <c r="D4625" i="16"/>
  <c r="F4625" i="16"/>
  <c r="K4109" i="16"/>
  <c r="F4109" i="16"/>
  <c r="O4109" i="16" s="1"/>
  <c r="K2999" i="16"/>
  <c r="F2999" i="16"/>
  <c r="O2999" i="16" s="1"/>
  <c r="K2297" i="16"/>
  <c r="F2297" i="16"/>
  <c r="O2297" i="16" s="1"/>
  <c r="K2243" i="16"/>
  <c r="F2243" i="16"/>
  <c r="O2243" i="16" s="1"/>
  <c r="K1649" i="16"/>
  <c r="F1649" i="16"/>
  <c r="O1649" i="16" s="1"/>
  <c r="K1001" i="16"/>
  <c r="F1001" i="16"/>
  <c r="O1001" i="16" s="1"/>
  <c r="K569" i="16"/>
  <c r="F569" i="16"/>
  <c r="O569" i="16" s="1"/>
  <c r="O4108" i="16"/>
  <c r="O4107" i="16"/>
  <c r="S4107" i="16" s="1"/>
  <c r="T4107" i="16" s="1"/>
  <c r="O4106" i="16"/>
  <c r="S4106" i="16" s="1"/>
  <c r="T4106" i="16" s="1"/>
  <c r="O4105" i="16"/>
  <c r="S4105" i="16" s="1"/>
  <c r="T4105" i="16" s="1"/>
  <c r="T4677" i="16"/>
  <c r="U4678" i="16"/>
  <c r="S4678" i="16"/>
  <c r="M4679" i="16"/>
  <c r="D4679" i="16"/>
  <c r="J4679" i="16"/>
  <c r="N4679" i="16" s="1"/>
  <c r="P4679" i="16"/>
  <c r="Q4679" i="16"/>
  <c r="R4679" i="16"/>
  <c r="L4680" i="16"/>
  <c r="C4680" i="16"/>
  <c r="K4680" i="16" s="1"/>
  <c r="E4680" i="16"/>
  <c r="F4680" i="16"/>
  <c r="G4680" i="16"/>
  <c r="I4680" i="16"/>
  <c r="B4681" i="16"/>
  <c r="P4625" i="16"/>
  <c r="Q4625" i="16"/>
  <c r="R4625" i="16"/>
  <c r="C4626" i="16"/>
  <c r="D4626" i="16" s="1"/>
  <c r="E4626" i="16"/>
  <c r="F4626" i="16"/>
  <c r="G4626" i="16"/>
  <c r="B4627" i="16"/>
  <c r="D4571" i="16"/>
  <c r="J4571" i="16"/>
  <c r="N4571" i="16" s="1"/>
  <c r="P4571" i="16"/>
  <c r="Q4571" i="16"/>
  <c r="R4571" i="16"/>
  <c r="M4571" i="16"/>
  <c r="L4572" i="16"/>
  <c r="C4572" i="16"/>
  <c r="E4572" i="16"/>
  <c r="G4572" i="16"/>
  <c r="B4573" i="16"/>
  <c r="I4572" i="16"/>
  <c r="D4517" i="16"/>
  <c r="J4517" i="16"/>
  <c r="N4517" i="16" s="1"/>
  <c r="P4517" i="16"/>
  <c r="Q4517" i="16"/>
  <c r="R4517" i="16"/>
  <c r="M4517" i="16"/>
  <c r="C4518" i="16"/>
  <c r="F4518" i="16" s="1"/>
  <c r="E4518" i="16"/>
  <c r="G4518" i="16"/>
  <c r="K4518" i="16"/>
  <c r="I4518" i="16"/>
  <c r="L4518" i="16"/>
  <c r="B4519" i="16"/>
  <c r="U4216" i="16"/>
  <c r="S4216" i="16"/>
  <c r="T4216" i="16" s="1"/>
  <c r="D4217" i="16"/>
  <c r="J4217" i="16"/>
  <c r="N4217" i="16" s="1"/>
  <c r="P4217" i="16"/>
  <c r="Q4217" i="16"/>
  <c r="R4217" i="16"/>
  <c r="M4217" i="16"/>
  <c r="L4218" i="16"/>
  <c r="C4218" i="16"/>
  <c r="K4218" i="16" s="1"/>
  <c r="E4218" i="16"/>
  <c r="F4218" i="16"/>
  <c r="O4218" i="16" s="1"/>
  <c r="G4218" i="16"/>
  <c r="I4218" i="16"/>
  <c r="B4219" i="16"/>
  <c r="P4163" i="16"/>
  <c r="Q4163" i="16"/>
  <c r="R4163" i="16"/>
  <c r="D4163" i="16"/>
  <c r="J4163" i="16"/>
  <c r="N4163" i="16" s="1"/>
  <c r="M4163" i="16"/>
  <c r="C4164" i="16"/>
  <c r="E4164" i="16"/>
  <c r="F4164" i="16"/>
  <c r="O4164" i="16" s="1"/>
  <c r="G4164" i="16"/>
  <c r="K4164" i="16"/>
  <c r="B4165" i="16"/>
  <c r="L4164" i="16"/>
  <c r="I4164" i="16"/>
  <c r="U4162" i="16"/>
  <c r="S4162" i="16"/>
  <c r="T4162" i="16" s="1"/>
  <c r="U4108" i="16"/>
  <c r="S4108" i="16"/>
  <c r="T4108" i="16" s="1"/>
  <c r="P4109" i="16"/>
  <c r="Q4109" i="16"/>
  <c r="R4109" i="16"/>
  <c r="M4109" i="16"/>
  <c r="C4110" i="16"/>
  <c r="F4110" i="16" s="1"/>
  <c r="O4110" i="16" s="1"/>
  <c r="E4110" i="16"/>
  <c r="G4110" i="16"/>
  <c r="I4110" i="16"/>
  <c r="K4110" i="16"/>
  <c r="L4110" i="16"/>
  <c r="B4111" i="16"/>
  <c r="D4109" i="16"/>
  <c r="J4109" i="16"/>
  <c r="N4109" i="16" s="1"/>
  <c r="U4054" i="16"/>
  <c r="S4054" i="16"/>
  <c r="T4054" i="16" s="1"/>
  <c r="D4055" i="16"/>
  <c r="J4055" i="16"/>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C3756" i="16"/>
  <c r="E3756" i="16"/>
  <c r="G3756" i="16"/>
  <c r="I3756" i="16"/>
  <c r="B3757" i="16"/>
  <c r="P3701" i="16"/>
  <c r="Q3701" i="16"/>
  <c r="R3701" i="16"/>
  <c r="D3701" i="16"/>
  <c r="J3701" i="16"/>
  <c r="L3702" i="16"/>
  <c r="I3702" i="16"/>
  <c r="C3702" i="16"/>
  <c r="K3702" i="16" s="1"/>
  <c r="E3702" i="16"/>
  <c r="F3702" i="16"/>
  <c r="O3702" i="16" s="1"/>
  <c r="G3702" i="16"/>
  <c r="B3703" i="16"/>
  <c r="D3647" i="16"/>
  <c r="J3647" i="16"/>
  <c r="P3647" i="16"/>
  <c r="Q3647" i="16"/>
  <c r="R3647" i="16"/>
  <c r="L3648" i="16"/>
  <c r="C3648" i="16"/>
  <c r="K3648" i="16" s="1"/>
  <c r="E3648" i="16"/>
  <c r="F3648" i="16"/>
  <c r="O3648" i="16" s="1"/>
  <c r="G3648" i="16"/>
  <c r="I3648" i="16"/>
  <c r="B3649" i="16"/>
  <c r="U3592" i="16"/>
  <c r="S3592" i="16"/>
  <c r="T3592" i="16" s="1"/>
  <c r="D3593" i="16"/>
  <c r="J3593" i="16"/>
  <c r="P3593" i="16"/>
  <c r="Q3593" i="16"/>
  <c r="R3593" i="16"/>
  <c r="L3594" i="16"/>
  <c r="C3594" i="16"/>
  <c r="K3594" i="16" s="1"/>
  <c r="E3594" i="16"/>
  <c r="F3594" i="16"/>
  <c r="O3594" i="16" s="1"/>
  <c r="G3594" i="16"/>
  <c r="I3594" i="16"/>
  <c r="B3595" i="16"/>
  <c r="U3538" i="16"/>
  <c r="S3538" i="16"/>
  <c r="T3538" i="16" s="1"/>
  <c r="M3539" i="16"/>
  <c r="D3539" i="16"/>
  <c r="J3539" i="16"/>
  <c r="N3539" i="16" s="1"/>
  <c r="P3539" i="16"/>
  <c r="Q3539" i="16"/>
  <c r="R3539" i="16"/>
  <c r="L3540" i="16"/>
  <c r="C3540" i="16"/>
  <c r="E3540" i="16"/>
  <c r="G3540" i="16"/>
  <c r="I3540" i="16"/>
  <c r="B3541" i="16"/>
  <c r="M3485" i="16"/>
  <c r="D3485" i="16"/>
  <c r="J3485" i="16"/>
  <c r="N3485" i="16" s="1"/>
  <c r="P3485" i="16"/>
  <c r="Q3485" i="16"/>
  <c r="R3485" i="16"/>
  <c r="L3486" i="16"/>
  <c r="C3486" i="16"/>
  <c r="K3486" i="16" s="1"/>
  <c r="E3486" i="16"/>
  <c r="F3486" i="16"/>
  <c r="O3486" i="16" s="1"/>
  <c r="G3486" i="16"/>
  <c r="I3486" i="16"/>
  <c r="B3487" i="16"/>
  <c r="M3431" i="16"/>
  <c r="D3431" i="16"/>
  <c r="J3431" i="16"/>
  <c r="N3431" i="16" s="1"/>
  <c r="P3431" i="16"/>
  <c r="Q3431" i="16"/>
  <c r="R3431" i="16"/>
  <c r="L3432" i="16"/>
  <c r="C3432" i="16"/>
  <c r="K3432" i="16" s="1"/>
  <c r="E3432" i="16"/>
  <c r="F3432" i="16"/>
  <c r="O3432" i="16" s="1"/>
  <c r="G3432" i="16"/>
  <c r="I3432" i="16"/>
  <c r="B3433" i="16"/>
  <c r="U3376" i="16"/>
  <c r="S3376" i="16"/>
  <c r="T3376" i="16" s="1"/>
  <c r="D3377" i="16"/>
  <c r="J3377" i="16"/>
  <c r="P3377" i="16"/>
  <c r="Q3377" i="16"/>
  <c r="R3377" i="16"/>
  <c r="L3378" i="16"/>
  <c r="C3378" i="16"/>
  <c r="K3378" i="16" s="1"/>
  <c r="E3378" i="16"/>
  <c r="F3378" i="16"/>
  <c r="O3378" i="16" s="1"/>
  <c r="G3378" i="16"/>
  <c r="I3378" i="16"/>
  <c r="B3379" i="16"/>
  <c r="U3322" i="16"/>
  <c r="S3322" i="16"/>
  <c r="T3322" i="16" s="1"/>
  <c r="D3323" i="16"/>
  <c r="J3323" i="16"/>
  <c r="P3323" i="16"/>
  <c r="Q3323" i="16"/>
  <c r="R3323" i="16"/>
  <c r="L3324" i="16"/>
  <c r="C3324" i="16"/>
  <c r="E3324" i="16"/>
  <c r="G3324" i="16"/>
  <c r="I3324" i="16"/>
  <c r="B3325" i="16"/>
  <c r="U3268" i="16"/>
  <c r="S3268" i="16"/>
  <c r="T3268" i="16" s="1"/>
  <c r="M3269" i="16"/>
  <c r="D3269" i="16"/>
  <c r="J3269" i="16"/>
  <c r="N3269" i="16" s="1"/>
  <c r="P3269" i="16"/>
  <c r="Q3269" i="16"/>
  <c r="R3269" i="16"/>
  <c r="L3270" i="16"/>
  <c r="C3270" i="16"/>
  <c r="E3270" i="16"/>
  <c r="G3270" i="16"/>
  <c r="I3270" i="16"/>
  <c r="B3271" i="16"/>
  <c r="U3213" i="16"/>
  <c r="S3213" i="16"/>
  <c r="T3213" i="16" s="1"/>
  <c r="S3214" i="16"/>
  <c r="T3214" i="16" s="1"/>
  <c r="U3214" i="16"/>
  <c r="P3215" i="16"/>
  <c r="Q3215" i="16"/>
  <c r="R3215" i="16"/>
  <c r="L3216" i="16"/>
  <c r="G3216" i="16"/>
  <c r="I3216" i="16"/>
  <c r="C3216" i="16"/>
  <c r="E3216" i="16"/>
  <c r="B3217" i="16"/>
  <c r="J3215" i="16"/>
  <c r="D3215" i="16"/>
  <c r="U3159" i="16"/>
  <c r="S3159" i="16"/>
  <c r="T3159" i="16" s="1"/>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P3107" i="16"/>
  <c r="Q3107" i="16"/>
  <c r="R3107" i="16"/>
  <c r="J3107" i="16"/>
  <c r="D3107" i="16"/>
  <c r="L3108" i="16"/>
  <c r="I3108" i="16"/>
  <c r="B3109" i="16"/>
  <c r="C3108" i="16"/>
  <c r="E3108" i="16"/>
  <c r="G3108" i="16"/>
  <c r="M3053" i="16"/>
  <c r="L3054" i="16"/>
  <c r="G3054" i="16"/>
  <c r="I3054" i="16"/>
  <c r="B3055" i="16"/>
  <c r="C3054" i="16"/>
  <c r="E3054" i="16"/>
  <c r="D3053" i="16"/>
  <c r="J3053" i="16"/>
  <c r="N3053" i="16" s="1"/>
  <c r="P3053" i="16"/>
  <c r="Q3053" i="16"/>
  <c r="R3053" i="16"/>
  <c r="M2999" i="16"/>
  <c r="P2999" i="16"/>
  <c r="Q2999" i="16"/>
  <c r="R2999" i="16"/>
  <c r="L3000" i="16"/>
  <c r="E3000" i="16"/>
  <c r="G3000" i="16"/>
  <c r="I3000" i="16"/>
  <c r="B3001" i="16"/>
  <c r="C3000" i="16"/>
  <c r="K3000" i="16" s="1"/>
  <c r="F3000" i="16"/>
  <c r="O3000" i="16" s="1"/>
  <c r="J2999" i="16"/>
  <c r="N2999" i="16" s="1"/>
  <c r="D2999" i="16"/>
  <c r="M2945" i="16"/>
  <c r="D2945" i="16"/>
  <c r="J2945" i="16"/>
  <c r="N2945" i="16" s="1"/>
  <c r="P2945" i="16"/>
  <c r="Q2945" i="16"/>
  <c r="R2945" i="16"/>
  <c r="L2946" i="16"/>
  <c r="C2946" i="16"/>
  <c r="K2946" i="16" s="1"/>
  <c r="E2946" i="16"/>
  <c r="F2946" i="16"/>
  <c r="O2946" i="16" s="1"/>
  <c r="G2946" i="16"/>
  <c r="I2946" i="16"/>
  <c r="B2947" i="16"/>
  <c r="D2891" i="16"/>
  <c r="J2891" i="16"/>
  <c r="P2891" i="16"/>
  <c r="Q2891" i="16"/>
  <c r="R2891" i="16"/>
  <c r="L2892" i="16"/>
  <c r="C2892" i="16"/>
  <c r="K2892" i="16" s="1"/>
  <c r="E2892" i="16"/>
  <c r="F2892" i="16"/>
  <c r="O2892" i="16" s="1"/>
  <c r="G2892" i="16"/>
  <c r="I2892" i="16"/>
  <c r="B2893" i="16"/>
  <c r="M2837" i="16"/>
  <c r="P2837" i="16"/>
  <c r="Q2837" i="16"/>
  <c r="R2837" i="16"/>
  <c r="L2838" i="16"/>
  <c r="I2838" i="16"/>
  <c r="C2838" i="16"/>
  <c r="K2838" i="16" s="1"/>
  <c r="E2838" i="16"/>
  <c r="F2838" i="16"/>
  <c r="O2838" i="16" s="1"/>
  <c r="G2838" i="16"/>
  <c r="B2839" i="16"/>
  <c r="J2837" i="16"/>
  <c r="N2837" i="16" s="1"/>
  <c r="D2837" i="16"/>
  <c r="J2783" i="16"/>
  <c r="D2783" i="16"/>
  <c r="P2783" i="16"/>
  <c r="Q2783" i="16"/>
  <c r="R2783" i="16"/>
  <c r="L2784" i="16"/>
  <c r="E2784" i="16"/>
  <c r="I2784" i="16"/>
  <c r="G2784" i="16"/>
  <c r="C2784" i="16"/>
  <c r="B2785" i="16"/>
  <c r="P2729" i="16"/>
  <c r="Q2729" i="16"/>
  <c r="R2729" i="16"/>
  <c r="L2730" i="16"/>
  <c r="B2731" i="16"/>
  <c r="I2730" i="16"/>
  <c r="C2730" i="16"/>
  <c r="E2730" i="16"/>
  <c r="G2730" i="16"/>
  <c r="J2729" i="16"/>
  <c r="D2729" i="16"/>
  <c r="P2675" i="16"/>
  <c r="Q2675" i="16"/>
  <c r="R2675" i="16"/>
  <c r="J2675" i="16"/>
  <c r="D2675" i="16"/>
  <c r="L2676" i="16"/>
  <c r="I2676" i="16"/>
  <c r="B2677" i="16"/>
  <c r="E2676" i="16"/>
  <c r="C2676" i="16"/>
  <c r="G2676" i="16"/>
  <c r="P2621" i="16"/>
  <c r="Q2621" i="16"/>
  <c r="R2621" i="16"/>
  <c r="D2621" i="16"/>
  <c r="J2621" i="16"/>
  <c r="L2622" i="16"/>
  <c r="C2622" i="16"/>
  <c r="K2622" i="16" s="1"/>
  <c r="F2622" i="16"/>
  <c r="O2622" i="16" s="1"/>
  <c r="I2622" i="16"/>
  <c r="E2622" i="16"/>
  <c r="B2623" i="16"/>
  <c r="G2622" i="16"/>
  <c r="P2567" i="16"/>
  <c r="Q2567" i="16"/>
  <c r="R2567" i="16"/>
  <c r="L2568" i="16"/>
  <c r="C2568" i="16"/>
  <c r="K2568" i="16" s="1"/>
  <c r="G2568" i="16"/>
  <c r="E2568" i="16"/>
  <c r="F2568" i="16"/>
  <c r="O2568" i="16" s="1"/>
  <c r="B2569" i="16"/>
  <c r="I2568" i="16"/>
  <c r="D2567" i="16"/>
  <c r="J2567" i="16"/>
  <c r="U2511" i="16"/>
  <c r="S2511" i="16"/>
  <c r="T2511" i="16" s="1"/>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M2405" i="16"/>
  <c r="D2405" i="16"/>
  <c r="J2405" i="16"/>
  <c r="N2405" i="16" s="1"/>
  <c r="P2405" i="16"/>
  <c r="Q2405" i="16"/>
  <c r="R2405" i="16"/>
  <c r="L2406" i="16"/>
  <c r="C2406" i="16"/>
  <c r="K2406" i="16" s="1"/>
  <c r="E2406" i="16"/>
  <c r="F2406" i="16"/>
  <c r="O2406" i="16" s="1"/>
  <c r="G2406" i="16"/>
  <c r="I2406" i="16"/>
  <c r="B2407" i="16"/>
  <c r="L2352" i="16"/>
  <c r="G2352" i="16"/>
  <c r="I2352" i="16"/>
  <c r="E2352" i="16"/>
  <c r="C2352" i="16"/>
  <c r="B2353" i="16"/>
  <c r="D2351" i="16"/>
  <c r="J2351" i="16"/>
  <c r="P2351" i="16"/>
  <c r="Q2351" i="16"/>
  <c r="R2351"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M2189" i="16"/>
  <c r="D2189" i="16"/>
  <c r="J2189" i="16"/>
  <c r="N2189" i="16" s="1"/>
  <c r="P2189" i="16"/>
  <c r="Q2189" i="16"/>
  <c r="R2189" i="16"/>
  <c r="L2190" i="16"/>
  <c r="C2190" i="16"/>
  <c r="K2190" i="16" s="1"/>
  <c r="E2190" i="16"/>
  <c r="F2190" i="16"/>
  <c r="O2190" i="16" s="1"/>
  <c r="G2190" i="16"/>
  <c r="I2190" i="16"/>
  <c r="B2191" i="16"/>
  <c r="M2135" i="16"/>
  <c r="D2135" i="16"/>
  <c r="J2135" i="16"/>
  <c r="N2135" i="16" s="1"/>
  <c r="P2135" i="16"/>
  <c r="Q2135" i="16"/>
  <c r="R2135" i="16"/>
  <c r="L2136" i="16"/>
  <c r="C2136" i="16"/>
  <c r="E2136" i="16"/>
  <c r="G2136" i="16"/>
  <c r="I2136" i="16"/>
  <c r="B2137" i="16"/>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U1972" i="16"/>
  <c r="S1972" i="16"/>
  <c r="T1972" i="16" s="1"/>
  <c r="M1973" i="16"/>
  <c r="D1973" i="16"/>
  <c r="J1973" i="16"/>
  <c r="N1973" i="16" s="1"/>
  <c r="P1973" i="16"/>
  <c r="Q1973" i="16"/>
  <c r="R1973" i="16"/>
  <c r="L1974" i="16"/>
  <c r="C1974" i="16"/>
  <c r="K1974" i="16" s="1"/>
  <c r="E1974" i="16"/>
  <c r="F1974" i="16"/>
  <c r="O1974" i="16" s="1"/>
  <c r="G1974" i="16"/>
  <c r="I1974" i="16"/>
  <c r="B1975" i="16"/>
  <c r="U1918" i="16"/>
  <c r="S1918" i="16"/>
  <c r="T1918" i="16" s="1"/>
  <c r="M1919" i="16"/>
  <c r="D1919" i="16"/>
  <c r="J1919" i="16"/>
  <c r="N1919" i="16" s="1"/>
  <c r="P1919" i="16"/>
  <c r="Q1919" i="16"/>
  <c r="R1919" i="16"/>
  <c r="L1920" i="16"/>
  <c r="C1920" i="16"/>
  <c r="K1920" i="16" s="1"/>
  <c r="E1920" i="16"/>
  <c r="F1920" i="16"/>
  <c r="O1920" i="16" s="1"/>
  <c r="G1920" i="16"/>
  <c r="I1920" i="16"/>
  <c r="B1921" i="16"/>
  <c r="U1864" i="16"/>
  <c r="S1864" i="16"/>
  <c r="T1864" i="16" s="1"/>
  <c r="M1865" i="16"/>
  <c r="D1865" i="16"/>
  <c r="J1865" i="16"/>
  <c r="N1865" i="16" s="1"/>
  <c r="P1865" i="16"/>
  <c r="Q1865" i="16"/>
  <c r="R1865" i="16"/>
  <c r="L1866" i="16"/>
  <c r="C1866" i="16"/>
  <c r="K1866" i="16" s="1"/>
  <c r="E1866" i="16"/>
  <c r="F1866" i="16"/>
  <c r="O1866" i="16" s="1"/>
  <c r="G1866" i="16"/>
  <c r="I1866" i="16"/>
  <c r="B1867" i="16"/>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U1702" i="16"/>
  <c r="S1702" i="16"/>
  <c r="T1702" i="16" s="1"/>
  <c r="M1703" i="16"/>
  <c r="D1703" i="16"/>
  <c r="J1703" i="16"/>
  <c r="N1703" i="16" s="1"/>
  <c r="P1703" i="16"/>
  <c r="Q1703" i="16"/>
  <c r="R1703" i="16"/>
  <c r="L1704" i="16"/>
  <c r="C1704" i="16"/>
  <c r="E1704" i="16"/>
  <c r="G1704" i="16"/>
  <c r="I1704" i="16"/>
  <c r="B1705"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M1541" i="16"/>
  <c r="D1541" i="16"/>
  <c r="J1541" i="16"/>
  <c r="N1541" i="16" s="1"/>
  <c r="P1541" i="16"/>
  <c r="Q1541" i="16"/>
  <c r="R1541" i="16"/>
  <c r="L1542" i="16"/>
  <c r="C1542" i="16"/>
  <c r="E1542" i="16"/>
  <c r="G1542" i="16"/>
  <c r="I1542" i="16"/>
  <c r="B1543" i="16"/>
  <c r="P1487" i="16"/>
  <c r="Q1487" i="16"/>
  <c r="R1487" i="16"/>
  <c r="L1488" i="16"/>
  <c r="G1488" i="16"/>
  <c r="I1488" i="16"/>
  <c r="E1488" i="16"/>
  <c r="C1488" i="16"/>
  <c r="B1489" i="16"/>
  <c r="D1487" i="16"/>
  <c r="J1487" i="16"/>
  <c r="U1432" i="16"/>
  <c r="S1432" i="16"/>
  <c r="T1432" i="16" s="1"/>
  <c r="M1433" i="16"/>
  <c r="D1433" i="16"/>
  <c r="J1433" i="16"/>
  <c r="N1433" i="16" s="1"/>
  <c r="P1433" i="16"/>
  <c r="Q1433" i="16"/>
  <c r="R1433" i="16"/>
  <c r="L1434" i="16"/>
  <c r="C1434" i="16"/>
  <c r="E1434" i="16"/>
  <c r="G1434" i="16"/>
  <c r="I1434" i="16"/>
  <c r="B1435" i="16"/>
  <c r="L1380" i="16"/>
  <c r="B1381" i="16"/>
  <c r="E1380" i="16"/>
  <c r="I1380" i="16"/>
  <c r="G1380" i="16"/>
  <c r="C1380" i="16"/>
  <c r="D1379" i="16"/>
  <c r="J1379" i="16"/>
  <c r="P1379" i="16"/>
  <c r="Q1379" i="16"/>
  <c r="R1379" i="16"/>
  <c r="D1325" i="16"/>
  <c r="J1325" i="16"/>
  <c r="P1325" i="16"/>
  <c r="Q1325" i="16"/>
  <c r="R1325" i="16"/>
  <c r="L1326" i="16"/>
  <c r="B1327" i="16"/>
  <c r="I1326" i="16"/>
  <c r="C1326" i="16"/>
  <c r="E1326" i="16"/>
  <c r="G1326" i="16"/>
  <c r="P1271" i="16"/>
  <c r="Q1271" i="16"/>
  <c r="R1271" i="16"/>
  <c r="J1271" i="16"/>
  <c r="D1271" i="16"/>
  <c r="L1272" i="16"/>
  <c r="G1272" i="16"/>
  <c r="E1272" i="16"/>
  <c r="C1272" i="16"/>
  <c r="K1272" i="16" s="1"/>
  <c r="F1272" i="16"/>
  <c r="O1272" i="16" s="1"/>
  <c r="I1272" i="16"/>
  <c r="B1273" i="16"/>
  <c r="S1216" i="16"/>
  <c r="T1216" i="16" s="1"/>
  <c r="U1216" i="16"/>
  <c r="P1217" i="16"/>
  <c r="Q1217" i="16"/>
  <c r="R1217" i="16"/>
  <c r="J1217" i="16"/>
  <c r="D1217" i="16"/>
  <c r="L1218" i="16"/>
  <c r="C1218" i="16"/>
  <c r="F1218" i="16" s="1"/>
  <c r="O1218" i="16" s="1"/>
  <c r="G1218" i="16"/>
  <c r="B1219" i="16"/>
  <c r="I1218" i="16"/>
  <c r="E1218" i="16"/>
  <c r="K1218" i="16"/>
  <c r="U1162" i="16"/>
  <c r="S1162" i="16"/>
  <c r="T1162" i="16" s="1"/>
  <c r="M1163" i="16"/>
  <c r="D1163" i="16"/>
  <c r="J1163" i="16"/>
  <c r="N1163" i="16" s="1"/>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U1054" i="16"/>
  <c r="S1054" i="16"/>
  <c r="T1054" i="16" s="1"/>
  <c r="M1055" i="16"/>
  <c r="D1055" i="16"/>
  <c r="J1055" i="16"/>
  <c r="N1055" i="16" s="1"/>
  <c r="P1055" i="16"/>
  <c r="Q1055" i="16"/>
  <c r="R1055" i="16"/>
  <c r="L1056" i="16"/>
  <c r="C1056" i="16"/>
  <c r="K1056" i="16" s="1"/>
  <c r="E1056" i="16"/>
  <c r="F1056" i="16"/>
  <c r="O1056" i="16" s="1"/>
  <c r="G1056" i="16"/>
  <c r="I1056" i="16"/>
  <c r="B1057" i="16"/>
  <c r="M1001" i="16"/>
  <c r="P1001" i="16"/>
  <c r="Q1001" i="16"/>
  <c r="R1001" i="16"/>
  <c r="L1002" i="16"/>
  <c r="C1002" i="16"/>
  <c r="K1002" i="16" s="1"/>
  <c r="B1003" i="16"/>
  <c r="F1002" i="16"/>
  <c r="O1002" i="16" s="1"/>
  <c r="G1002" i="16"/>
  <c r="I1002" i="16"/>
  <c r="E1002" i="16"/>
  <c r="D1001" i="16"/>
  <c r="J1001" i="16"/>
  <c r="N1001" i="16" s="1"/>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D893" i="16"/>
  <c r="J893" i="16"/>
  <c r="P893" i="16"/>
  <c r="Q893" i="16"/>
  <c r="R893" i="16"/>
  <c r="L894" i="16"/>
  <c r="C894" i="16"/>
  <c r="K894" i="16" s="1"/>
  <c r="E894" i="16"/>
  <c r="F894" i="16"/>
  <c r="O894" i="16" s="1"/>
  <c r="G894" i="16"/>
  <c r="I894" i="16"/>
  <c r="B895" i="16"/>
  <c r="D839" i="16"/>
  <c r="J839" i="16"/>
  <c r="P839" i="16"/>
  <c r="Q839" i="16"/>
  <c r="R839" i="16"/>
  <c r="L840" i="16"/>
  <c r="C840" i="16"/>
  <c r="K840" i="16" s="1"/>
  <c r="E840" i="16"/>
  <c r="F840" i="16"/>
  <c r="O840" i="16" s="1"/>
  <c r="G840" i="16"/>
  <c r="I840" i="16"/>
  <c r="B841" i="16"/>
  <c r="D785" i="16"/>
  <c r="J785" i="16"/>
  <c r="P785" i="16"/>
  <c r="Q785" i="16"/>
  <c r="R785" i="16"/>
  <c r="L786" i="16"/>
  <c r="C786" i="16"/>
  <c r="K786" i="16" s="1"/>
  <c r="E786" i="16"/>
  <c r="F786" i="16"/>
  <c r="O786" i="16" s="1"/>
  <c r="G786" i="16"/>
  <c r="I786" i="16"/>
  <c r="B787" i="16"/>
  <c r="M731" i="16"/>
  <c r="D731" i="16"/>
  <c r="J731" i="16"/>
  <c r="N731" i="16" s="1"/>
  <c r="P731" i="16"/>
  <c r="Q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D623" i="16"/>
  <c r="J623" i="16"/>
  <c r="P623" i="16"/>
  <c r="Q623" i="16"/>
  <c r="R623" i="16"/>
  <c r="L624" i="16"/>
  <c r="C624" i="16"/>
  <c r="K624" i="16" s="1"/>
  <c r="E624" i="16"/>
  <c r="F624" i="16"/>
  <c r="O624" i="16" s="1"/>
  <c r="G624" i="16"/>
  <c r="I624" i="16"/>
  <c r="B625" i="16"/>
  <c r="M569" i="16"/>
  <c r="J569" i="16"/>
  <c r="N569" i="16" s="1"/>
  <c r="D569" i="16"/>
  <c r="P569" i="16"/>
  <c r="Q569" i="16"/>
  <c r="R569" i="16"/>
  <c r="L570" i="16"/>
  <c r="G570" i="16"/>
  <c r="I570" i="16"/>
  <c r="C570" i="16"/>
  <c r="E570" i="16"/>
  <c r="B571" i="16"/>
  <c r="U514" i="16"/>
  <c r="S514" i="16"/>
  <c r="T514" i="16" s="1"/>
  <c r="M515" i="16"/>
  <c r="D515" i="16"/>
  <c r="J515" i="16"/>
  <c r="N515" i="16" s="1"/>
  <c r="P515" i="16"/>
  <c r="Q515" i="16"/>
  <c r="R515" i="16"/>
  <c r="L516" i="16"/>
  <c r="C516" i="16"/>
  <c r="K516" i="16" s="1"/>
  <c r="E516" i="16"/>
  <c r="F516" i="16"/>
  <c r="O516" i="16" s="1"/>
  <c r="G516" i="16"/>
  <c r="I516" i="16"/>
  <c r="B517" i="16"/>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E408" i="16"/>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E300" i="16"/>
  <c r="G300" i="16"/>
  <c r="I300" i="16"/>
  <c r="B301" i="16"/>
  <c r="U244" i="16"/>
  <c r="S244" i="16"/>
  <c r="T244" i="16" s="1"/>
  <c r="M245" i="16"/>
  <c r="D245" i="16"/>
  <c r="J245" i="16"/>
  <c r="N245" i="16" s="1"/>
  <c r="P245" i="16"/>
  <c r="Q245" i="16"/>
  <c r="R245" i="16"/>
  <c r="L246" i="16"/>
  <c r="C246" i="16"/>
  <c r="E246" i="16"/>
  <c r="G246" i="16"/>
  <c r="I246" i="16"/>
  <c r="B247" i="16"/>
  <c r="L192" i="16"/>
  <c r="I192" i="16"/>
  <c r="C192" i="16"/>
  <c r="E192" i="16"/>
  <c r="G192" i="16"/>
  <c r="B193" i="16"/>
  <c r="D191" i="16"/>
  <c r="J191" i="16"/>
  <c r="P191" i="16"/>
  <c r="Q191" i="16"/>
  <c r="R191" i="16"/>
  <c r="U136" i="16"/>
  <c r="S136" i="16"/>
  <c r="T136" i="16" s="1"/>
  <c r="P137" i="16"/>
  <c r="Q137" i="16"/>
  <c r="R137" i="16"/>
  <c r="J137" i="16"/>
  <c r="D137" i="16"/>
  <c r="L138" i="16"/>
  <c r="C138" i="16"/>
  <c r="K138" i="16" s="1"/>
  <c r="E138" i="16"/>
  <c r="F138" i="16"/>
  <c r="O138" i="16" s="1"/>
  <c r="G138" i="16"/>
  <c r="B139" i="16"/>
  <c r="I138" i="16"/>
  <c r="U82" i="16"/>
  <c r="S82" i="16"/>
  <c r="T82" i="16" s="1"/>
  <c r="M83" i="16"/>
  <c r="D83" i="16"/>
  <c r="J83" i="16"/>
  <c r="N83" i="16" s="1"/>
  <c r="P83" i="16"/>
  <c r="Q83" i="16"/>
  <c r="R83" i="16"/>
  <c r="L84" i="16"/>
  <c r="C84" i="16"/>
  <c r="K84" i="16" s="1"/>
  <c r="E84" i="16"/>
  <c r="F84" i="16"/>
  <c r="O84" i="16" s="1"/>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AA22" i="4" s="1"/>
  <c r="I22" i="4"/>
  <c r="B23" i="4"/>
  <c r="B22" i="5"/>
  <c r="AB16" i="4"/>
  <c r="B69" i="7"/>
  <c r="I69" i="7" s="1"/>
  <c r="AB15" i="4"/>
  <c r="AA17" i="4"/>
  <c r="AA18" i="4"/>
  <c r="AA19" i="4"/>
  <c r="AA20" i="4"/>
  <c r="AA21" i="4"/>
  <c r="E31" i="6"/>
  <c r="D32" i="6"/>
  <c r="D60" i="6"/>
  <c r="E4619" i="16"/>
  <c r="J4619" i="16"/>
  <c r="U3753" i="16"/>
  <c r="S3753" i="16"/>
  <c r="T3753" i="16" s="1"/>
  <c r="U3537" i="16"/>
  <c r="S3537" i="16"/>
  <c r="T3537" i="16" s="1"/>
  <c r="U3483" i="16"/>
  <c r="S3483" i="16"/>
  <c r="T3483" i="16" s="1"/>
  <c r="U3105" i="16"/>
  <c r="S3105" i="16"/>
  <c r="T3105" i="16" s="1"/>
  <c r="U3051" i="16"/>
  <c r="S3051" i="16"/>
  <c r="T3051" i="16" s="1"/>
  <c r="U2943" i="16"/>
  <c r="S2943" i="16"/>
  <c r="T2943" i="16" s="1"/>
  <c r="U2727" i="16"/>
  <c r="S2727" i="16"/>
  <c r="T2727" i="16" s="1"/>
  <c r="U2673" i="16"/>
  <c r="S2673" i="16"/>
  <c r="T2673" i="16" s="1"/>
  <c r="U2619" i="16"/>
  <c r="S2619" i="16"/>
  <c r="T2619" i="16" s="1"/>
  <c r="U2079" i="16"/>
  <c r="S2079" i="16"/>
  <c r="T2079" i="16" s="1"/>
  <c r="U2025" i="16"/>
  <c r="S2025" i="16"/>
  <c r="T2025" i="16" s="1"/>
  <c r="U1755" i="16"/>
  <c r="S1755" i="16"/>
  <c r="T1755" i="16" s="1"/>
  <c r="U1485" i="16"/>
  <c r="S1485" i="16"/>
  <c r="T1485" i="16" s="1"/>
  <c r="U1431" i="16"/>
  <c r="S1431" i="16"/>
  <c r="T1431" i="16" s="1"/>
  <c r="U1377" i="16"/>
  <c r="S1377" i="16"/>
  <c r="T1377" i="16" s="1"/>
  <c r="U1107" i="16"/>
  <c r="S1107" i="16"/>
  <c r="T1107" i="16" s="1"/>
  <c r="U999" i="16"/>
  <c r="S999" i="16"/>
  <c r="T999" i="16" s="1"/>
  <c r="U729" i="16"/>
  <c r="S729" i="16"/>
  <c r="T729" i="16" s="1"/>
  <c r="U675" i="16"/>
  <c r="S675" i="16"/>
  <c r="T675" i="16" s="1"/>
  <c r="U405" i="16"/>
  <c r="S405" i="16"/>
  <c r="T405" i="16" s="1"/>
  <c r="U351" i="16"/>
  <c r="S351" i="16"/>
  <c r="T351" i="16" s="1"/>
  <c r="U135" i="16"/>
  <c r="S135" i="16"/>
  <c r="T135" i="16" s="1"/>
  <c r="U81" i="16"/>
  <c r="S81" i="16"/>
  <c r="T81" i="16" s="1"/>
  <c r="G32" i="6"/>
  <c r="H31" i="6"/>
  <c r="G17" i="13"/>
  <c r="M3700" i="16"/>
  <c r="N3700" i="16"/>
  <c r="M3646" i="16"/>
  <c r="N3646" i="16"/>
  <c r="M3484" i="16"/>
  <c r="N3484" i="16"/>
  <c r="M3430" i="16"/>
  <c r="N3430" i="16"/>
  <c r="N3052" i="16"/>
  <c r="M3052" i="16"/>
  <c r="N2998" i="16"/>
  <c r="M2998" i="16"/>
  <c r="M2944" i="16"/>
  <c r="N2944" i="16"/>
  <c r="M2890" i="16"/>
  <c r="N2890" i="16"/>
  <c r="N2836" i="16"/>
  <c r="M2836" i="16"/>
  <c r="N2728" i="16"/>
  <c r="M2728" i="16"/>
  <c r="M2674" i="16"/>
  <c r="N2674" i="16"/>
  <c r="N2620" i="16"/>
  <c r="M2620" i="16"/>
  <c r="M2566" i="16"/>
  <c r="N2566" i="16"/>
  <c r="M2404" i="16"/>
  <c r="N2404" i="16"/>
  <c r="N2350" i="16"/>
  <c r="M2350" i="16"/>
  <c r="M2134" i="16"/>
  <c r="N2134" i="16"/>
  <c r="M2080" i="16"/>
  <c r="N2080" i="16"/>
  <c r="M1810" i="16"/>
  <c r="N1810" i="16"/>
  <c r="M1486" i="16"/>
  <c r="N1486" i="16"/>
  <c r="M1378" i="16"/>
  <c r="N1378" i="16"/>
  <c r="N1324" i="16"/>
  <c r="M1324" i="16"/>
  <c r="M1270" i="16"/>
  <c r="N1270" i="16"/>
  <c r="M1000" i="16"/>
  <c r="N1000" i="16"/>
  <c r="M838" i="16"/>
  <c r="N838" i="16"/>
  <c r="M784" i="16"/>
  <c r="N784" i="16"/>
  <c r="M730" i="16"/>
  <c r="N730" i="16"/>
  <c r="M622" i="16"/>
  <c r="N622" i="16"/>
  <c r="M568" i="16"/>
  <c r="N568" i="16"/>
  <c r="M460" i="16"/>
  <c r="N460" i="16"/>
  <c r="N190" i="16"/>
  <c r="M190" i="16"/>
  <c r="K4055" i="16"/>
  <c r="F4055" i="16"/>
  <c r="O4055" i="16" s="1"/>
  <c r="F3701" i="16"/>
  <c r="O3701" i="16" s="1"/>
  <c r="K3701" i="16"/>
  <c r="F3647" i="16"/>
  <c r="O3647" i="16" s="1"/>
  <c r="K3647" i="16"/>
  <c r="K3593" i="16"/>
  <c r="F3593" i="16"/>
  <c r="O3593" i="16" s="1"/>
  <c r="K3377" i="16"/>
  <c r="F3377" i="16"/>
  <c r="O3377" i="16" s="1"/>
  <c r="F3323" i="16"/>
  <c r="O3323" i="16" s="1"/>
  <c r="K3323" i="16"/>
  <c r="F3215" i="16"/>
  <c r="O3215" i="16" s="1"/>
  <c r="K3215" i="16"/>
  <c r="K3107" i="16"/>
  <c r="F3107" i="16"/>
  <c r="O3107" i="16" s="1"/>
  <c r="K2891" i="16"/>
  <c r="F2891" i="16"/>
  <c r="O2891" i="16" s="1"/>
  <c r="K2783" i="16"/>
  <c r="F2783" i="16"/>
  <c r="O2783" i="16" s="1"/>
  <c r="K2729" i="16"/>
  <c r="F2729" i="16"/>
  <c r="O2729" i="16" s="1"/>
  <c r="F2675" i="16"/>
  <c r="O2675" i="16" s="1"/>
  <c r="K2675" i="16"/>
  <c r="F2621" i="16"/>
  <c r="O2621" i="16" s="1"/>
  <c r="K2621" i="16"/>
  <c r="K2567" i="16"/>
  <c r="F2567" i="16"/>
  <c r="O2567" i="16" s="1"/>
  <c r="K2351" i="16"/>
  <c r="F2351" i="16"/>
  <c r="O2351" i="16" s="1"/>
  <c r="K1487" i="16"/>
  <c r="F1487" i="16"/>
  <c r="O1487" i="16" s="1"/>
  <c r="K1379" i="16"/>
  <c r="F1379" i="16"/>
  <c r="O1379" i="16" s="1"/>
  <c r="F1325" i="16"/>
  <c r="O1325" i="16" s="1"/>
  <c r="K1325" i="16"/>
  <c r="K1271" i="16"/>
  <c r="F1271" i="16"/>
  <c r="O1271" i="16" s="1"/>
  <c r="K1217" i="16"/>
  <c r="F1217" i="16"/>
  <c r="O1217" i="16" s="1"/>
  <c r="K893" i="16"/>
  <c r="F893" i="16"/>
  <c r="O893" i="16" s="1"/>
  <c r="F839" i="16"/>
  <c r="O839" i="16" s="1"/>
  <c r="K839" i="16"/>
  <c r="K785" i="16"/>
  <c r="F785" i="16"/>
  <c r="O785" i="16" s="1"/>
  <c r="F623" i="16"/>
  <c r="O623" i="16" s="1"/>
  <c r="K623" i="16"/>
  <c r="K191" i="16"/>
  <c r="F191" i="16"/>
  <c r="O191" i="16" s="1"/>
  <c r="K137" i="16"/>
  <c r="F137" i="16"/>
  <c r="O137" i="16" s="1"/>
  <c r="F20" i="5"/>
  <c r="G20" i="5"/>
  <c r="H20" i="5"/>
  <c r="O4162" i="16"/>
  <c r="O4159" i="16"/>
  <c r="O4161" i="16"/>
  <c r="S4161" i="16" s="1"/>
  <c r="T4161" i="16" s="1"/>
  <c r="E20" i="5"/>
  <c r="O20" i="4" s="1"/>
  <c r="E17" i="5"/>
  <c r="E19" i="5"/>
  <c r="O19" i="4" s="1"/>
  <c r="S19" i="4" s="1"/>
  <c r="T19" i="4" s="1"/>
  <c r="E18" i="5"/>
  <c r="O18" i="4" s="1"/>
  <c r="S18" i="4" s="1"/>
  <c r="T18" i="4" s="1"/>
  <c r="K3756" i="16" l="1"/>
  <c r="F3756" i="16"/>
  <c r="O3756" i="16" s="1"/>
  <c r="K3324" i="16"/>
  <c r="F3324" i="16"/>
  <c r="O3324" i="16" s="1"/>
  <c r="K2676" i="16"/>
  <c r="F2676" i="16"/>
  <c r="O2676" i="16" s="1"/>
  <c r="K1542" i="16"/>
  <c r="F1542" i="16"/>
  <c r="O1542" i="16" s="1"/>
  <c r="K1434" i="16"/>
  <c r="F1434" i="16"/>
  <c r="O1434" i="16" s="1"/>
  <c r="K1326" i="16"/>
  <c r="F1326" i="16"/>
  <c r="O1326" i="16" s="1"/>
  <c r="K300" i="16"/>
  <c r="F300" i="16"/>
  <c r="O300" i="16" s="1"/>
  <c r="K246" i="16"/>
  <c r="F246" i="16"/>
  <c r="O246" i="16" s="1"/>
  <c r="K192" i="16"/>
  <c r="F192" i="16"/>
  <c r="O192" i="16" s="1"/>
  <c r="U4679" i="16"/>
  <c r="S4679" i="16"/>
  <c r="T4679" i="16" s="1"/>
  <c r="M4680" i="16"/>
  <c r="D4680" i="16"/>
  <c r="J4680" i="16"/>
  <c r="N4680" i="16" s="1"/>
  <c r="P4680" i="16"/>
  <c r="Q4680" i="16"/>
  <c r="R4680" i="16"/>
  <c r="L4681" i="16"/>
  <c r="C4681" i="16"/>
  <c r="K4681" i="16" s="1"/>
  <c r="E4681" i="16"/>
  <c r="F4681" i="16"/>
  <c r="G4681" i="16"/>
  <c r="I4681" i="16"/>
  <c r="B4682" i="16"/>
  <c r="P4626" i="16"/>
  <c r="Q4626" i="16"/>
  <c r="R4626" i="16"/>
  <c r="C4627" i="16"/>
  <c r="E4627" i="16"/>
  <c r="G4627" i="16"/>
  <c r="B4628" i="16"/>
  <c r="J4572" i="16"/>
  <c r="D4572" i="16"/>
  <c r="P4572" i="16"/>
  <c r="Q4572" i="16"/>
  <c r="R4572" i="16"/>
  <c r="L4573" i="16"/>
  <c r="C4573" i="16"/>
  <c r="E4573" i="16"/>
  <c r="G4573" i="16"/>
  <c r="I4573" i="16"/>
  <c r="B4574" i="16"/>
  <c r="D4518" i="16"/>
  <c r="J4518" i="16"/>
  <c r="N4518" i="16" s="1"/>
  <c r="P4518" i="16"/>
  <c r="Q4518" i="16"/>
  <c r="R4518" i="16"/>
  <c r="M4518" i="16"/>
  <c r="I4519" i="16"/>
  <c r="L4519" i="16"/>
  <c r="B4520" i="16"/>
  <c r="C4519" i="16"/>
  <c r="E4519" i="16"/>
  <c r="G4519"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D4164" i="16"/>
  <c r="J4164" i="16"/>
  <c r="N4164" i="16" s="1"/>
  <c r="Q4164" i="16"/>
  <c r="P4164" i="16"/>
  <c r="R4164" i="16"/>
  <c r="M4164" i="16"/>
  <c r="G4165" i="16"/>
  <c r="L4165" i="16"/>
  <c r="B4166" i="16"/>
  <c r="C4165" i="16"/>
  <c r="E4165" i="16"/>
  <c r="I4165" i="16"/>
  <c r="U4109" i="16"/>
  <c r="S4109" i="16"/>
  <c r="T4109" i="16" s="1"/>
  <c r="J4110" i="16"/>
  <c r="N4110" i="16" s="1"/>
  <c r="D4110" i="16"/>
  <c r="Q4110" i="16"/>
  <c r="P4110" i="16"/>
  <c r="R4110" i="16"/>
  <c r="M4110" i="16"/>
  <c r="G4111" i="16"/>
  <c r="B4112" i="16"/>
  <c r="C4111" i="16"/>
  <c r="E4111" i="16"/>
  <c r="I4111" i="16"/>
  <c r="L4111" i="16"/>
  <c r="M4056" i="16"/>
  <c r="D4056" i="16"/>
  <c r="J4056" i="16"/>
  <c r="N4056" i="16" s="1"/>
  <c r="P4056" i="16"/>
  <c r="Q4056" i="16"/>
  <c r="R4056" i="16"/>
  <c r="L4057" i="16"/>
  <c r="C4057" i="16"/>
  <c r="K4057" i="16" s="1"/>
  <c r="E4057" i="16"/>
  <c r="F4057" i="16"/>
  <c r="O4057" i="16" s="1"/>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M3702" i="16"/>
  <c r="J3702" i="16"/>
  <c r="N3702" i="16" s="1"/>
  <c r="D3702" i="16"/>
  <c r="P3702" i="16"/>
  <c r="Q3702" i="16"/>
  <c r="R3702" i="16"/>
  <c r="L3703" i="16"/>
  <c r="C3703" i="16"/>
  <c r="K3703" i="16" s="1"/>
  <c r="E3703" i="16"/>
  <c r="F3703" i="16"/>
  <c r="O3703" i="16" s="1"/>
  <c r="G3703" i="16"/>
  <c r="B3704" i="16"/>
  <c r="I3703" i="16"/>
  <c r="M3648" i="16"/>
  <c r="D3648" i="16"/>
  <c r="J3648" i="16"/>
  <c r="N3648" i="16" s="1"/>
  <c r="P3648" i="16"/>
  <c r="Q3648" i="16"/>
  <c r="R3648" i="16"/>
  <c r="L3649" i="16"/>
  <c r="C3649" i="16"/>
  <c r="K3649" i="16" s="1"/>
  <c r="E3649" i="16"/>
  <c r="F3649" i="16"/>
  <c r="O3649" i="16" s="1"/>
  <c r="G3649" i="16"/>
  <c r="I3649" i="16"/>
  <c r="B3650" i="16"/>
  <c r="M3594" i="16"/>
  <c r="D3594" i="16"/>
  <c r="J3594" i="16"/>
  <c r="N3594" i="16" s="1"/>
  <c r="P3594" i="16"/>
  <c r="Q3594" i="16"/>
  <c r="R3594" i="16"/>
  <c r="L3595" i="16"/>
  <c r="C3595" i="16"/>
  <c r="K3595" i="16" s="1"/>
  <c r="E3595" i="16"/>
  <c r="F3595" i="16"/>
  <c r="O3595" i="16" s="1"/>
  <c r="G3595" i="16"/>
  <c r="I3595" i="16"/>
  <c r="B3596" i="16"/>
  <c r="U3539" i="16"/>
  <c r="S3539" i="16"/>
  <c r="T3539" i="16" s="1"/>
  <c r="D3540" i="16"/>
  <c r="J3540" i="16"/>
  <c r="P3540" i="16"/>
  <c r="Q3540" i="16"/>
  <c r="R3540" i="16"/>
  <c r="L3541" i="16"/>
  <c r="C3541" i="16"/>
  <c r="K3541" i="16" s="1"/>
  <c r="E3541" i="16"/>
  <c r="F3541" i="16"/>
  <c r="O3541" i="16" s="1"/>
  <c r="G3541" i="16"/>
  <c r="I3541" i="16"/>
  <c r="B3542" i="16"/>
  <c r="U3485" i="16"/>
  <c r="S3485" i="16"/>
  <c r="T3485" i="16" s="1"/>
  <c r="M3486" i="16"/>
  <c r="D3486" i="16"/>
  <c r="J3486" i="16"/>
  <c r="N3486" i="16" s="1"/>
  <c r="P3486" i="16"/>
  <c r="Q3486" i="16"/>
  <c r="R3486" i="16"/>
  <c r="L3487" i="16"/>
  <c r="C3487" i="16"/>
  <c r="E3487" i="16"/>
  <c r="G3487" i="16"/>
  <c r="B3488" i="16"/>
  <c r="I3487" i="16"/>
  <c r="U3431" i="16"/>
  <c r="S3431" i="16"/>
  <c r="T3431" i="16" s="1"/>
  <c r="M3432" i="16"/>
  <c r="D3432" i="16"/>
  <c r="J3432" i="16"/>
  <c r="N3432" i="16" s="1"/>
  <c r="P3432" i="16"/>
  <c r="Q3432" i="16"/>
  <c r="R3432" i="16"/>
  <c r="L3433" i="16"/>
  <c r="C3433" i="16"/>
  <c r="E3433" i="16"/>
  <c r="G3433" i="16"/>
  <c r="I3433" i="16"/>
  <c r="B3434" i="16"/>
  <c r="M3378" i="16"/>
  <c r="D3378" i="16"/>
  <c r="J3378" i="16"/>
  <c r="N3378" i="16" s="1"/>
  <c r="P3378" i="16"/>
  <c r="Q3378" i="16"/>
  <c r="R3378" i="16"/>
  <c r="L3379" i="16"/>
  <c r="C3379" i="16"/>
  <c r="E3379" i="16"/>
  <c r="G3379" i="16"/>
  <c r="I3379" i="16"/>
  <c r="B3380" i="16"/>
  <c r="M3324" i="16"/>
  <c r="D3324" i="16"/>
  <c r="J3324" i="16"/>
  <c r="N3324" i="16" s="1"/>
  <c r="P3324" i="16"/>
  <c r="Q3324" i="16"/>
  <c r="R3324" i="16"/>
  <c r="L3325" i="16"/>
  <c r="C3325" i="16"/>
  <c r="E3325" i="16"/>
  <c r="G3325" i="16"/>
  <c r="I3325" i="16"/>
  <c r="B3326" i="16"/>
  <c r="U3269" i="16"/>
  <c r="S3269" i="16"/>
  <c r="T3269" i="16" s="1"/>
  <c r="D3270" i="16"/>
  <c r="J3270" i="16"/>
  <c r="P3270" i="16"/>
  <c r="Q3270" i="16"/>
  <c r="R3270" i="16"/>
  <c r="L3271" i="16"/>
  <c r="C3271" i="16"/>
  <c r="K3271" i="16" s="1"/>
  <c r="E3271" i="16"/>
  <c r="F3271" i="16"/>
  <c r="O3271" i="16" s="1"/>
  <c r="G3271" i="16"/>
  <c r="I3271" i="16"/>
  <c r="B3272" i="16"/>
  <c r="P3216" i="16"/>
  <c r="Q3216" i="16"/>
  <c r="R3216" i="16"/>
  <c r="J3216" i="16"/>
  <c r="D3216" i="16"/>
  <c r="L3217" i="16"/>
  <c r="G3217" i="16"/>
  <c r="C3217" i="16"/>
  <c r="E3217" i="16"/>
  <c r="B3218" i="16"/>
  <c r="I3217" i="16"/>
  <c r="U3161" i="16"/>
  <c r="S3161" i="16"/>
  <c r="T3161" i="16" s="1"/>
  <c r="M3162" i="16"/>
  <c r="D3162" i="16"/>
  <c r="J3162" i="16"/>
  <c r="N3162" i="16" s="1"/>
  <c r="P3162" i="16"/>
  <c r="Q3162" i="16"/>
  <c r="R3162" i="16"/>
  <c r="L3163" i="16"/>
  <c r="C3163" i="16"/>
  <c r="E3163" i="16"/>
  <c r="G3163" i="16"/>
  <c r="I3163" i="16"/>
  <c r="B3164" i="16"/>
  <c r="L3109" i="16"/>
  <c r="E3109" i="16"/>
  <c r="G3109" i="16"/>
  <c r="I3109" i="16"/>
  <c r="B3110" i="16"/>
  <c r="C3109" i="16"/>
  <c r="D3108" i="16"/>
  <c r="J3108" i="16"/>
  <c r="P3108" i="16"/>
  <c r="Q3108" i="16"/>
  <c r="R3108" i="16"/>
  <c r="U3053" i="16"/>
  <c r="S3053" i="16"/>
  <c r="T3053" i="16" s="1"/>
  <c r="P3054" i="16"/>
  <c r="Q3054" i="16"/>
  <c r="R3054" i="16"/>
  <c r="L3055" i="16"/>
  <c r="E3055" i="16"/>
  <c r="G3055" i="16"/>
  <c r="B3056" i="16"/>
  <c r="I3055" i="16"/>
  <c r="C3055" i="16"/>
  <c r="K3055" i="16" s="1"/>
  <c r="F3055" i="16"/>
  <c r="O3055" i="16" s="1"/>
  <c r="J3054" i="16"/>
  <c r="D3054" i="16"/>
  <c r="U2999" i="16"/>
  <c r="S2999" i="16"/>
  <c r="T2999" i="16" s="1"/>
  <c r="M3000" i="16"/>
  <c r="P3000" i="16"/>
  <c r="Q3000" i="16"/>
  <c r="R3000" i="16"/>
  <c r="L3001" i="16"/>
  <c r="E3001" i="16"/>
  <c r="I3001" i="16"/>
  <c r="C3001" i="16"/>
  <c r="K3001" i="16" s="1"/>
  <c r="G3001" i="16"/>
  <c r="F3001" i="16"/>
  <c r="O3001" i="16" s="1"/>
  <c r="B3002" i="16"/>
  <c r="D3000" i="16"/>
  <c r="J3000" i="16"/>
  <c r="N3000" i="16" s="1"/>
  <c r="U2945" i="16"/>
  <c r="S2945" i="16"/>
  <c r="T2945" i="16" s="1"/>
  <c r="M2946" i="16"/>
  <c r="D2946" i="16"/>
  <c r="J2946" i="16"/>
  <c r="N2946" i="16" s="1"/>
  <c r="P2946" i="16"/>
  <c r="Q2946" i="16"/>
  <c r="R2946" i="16"/>
  <c r="L2947" i="16"/>
  <c r="C2947" i="16"/>
  <c r="K2947" i="16" s="1"/>
  <c r="E2947" i="16"/>
  <c r="F2947" i="16"/>
  <c r="O2947" i="16" s="1"/>
  <c r="G2947" i="16"/>
  <c r="I2947" i="16"/>
  <c r="B2948" i="16"/>
  <c r="M2892" i="16"/>
  <c r="D2892" i="16"/>
  <c r="J2892" i="16"/>
  <c r="N2892" i="16" s="1"/>
  <c r="P2892" i="16"/>
  <c r="Q2892" i="16"/>
  <c r="R2892" i="16"/>
  <c r="L2893" i="16"/>
  <c r="C2893" i="16"/>
  <c r="E2893" i="16"/>
  <c r="G2893" i="16"/>
  <c r="I2893" i="16"/>
  <c r="B2894" i="16"/>
  <c r="U2837" i="16"/>
  <c r="S2837" i="16"/>
  <c r="T2837" i="16" s="1"/>
  <c r="M2838" i="16"/>
  <c r="D2838" i="16"/>
  <c r="J2838" i="16"/>
  <c r="N2838" i="16" s="1"/>
  <c r="P2838" i="16"/>
  <c r="Q2838" i="16"/>
  <c r="R2838" i="16"/>
  <c r="L2839" i="16"/>
  <c r="E2839" i="16"/>
  <c r="C2839" i="16"/>
  <c r="K2839" i="16" s="1"/>
  <c r="I2839" i="16"/>
  <c r="B2840" i="16"/>
  <c r="G2839" i="16"/>
  <c r="F2839" i="16"/>
  <c r="O2839" i="16" s="1"/>
  <c r="P2784" i="16"/>
  <c r="Q2784" i="16"/>
  <c r="R2784" i="16"/>
  <c r="J2784" i="16"/>
  <c r="D2784" i="16"/>
  <c r="L2785" i="16"/>
  <c r="E2785" i="16"/>
  <c r="G2785" i="16"/>
  <c r="I2785" i="16"/>
  <c r="B2786" i="16"/>
  <c r="C2785" i="16"/>
  <c r="L2731" i="16"/>
  <c r="B2732" i="16"/>
  <c r="I2731" i="16"/>
  <c r="C2731" i="16"/>
  <c r="E2731" i="16"/>
  <c r="G2731" i="16"/>
  <c r="J2730" i="16"/>
  <c r="D2730" i="16"/>
  <c r="P2730" i="16"/>
  <c r="Q2730" i="16"/>
  <c r="R2730" i="16"/>
  <c r="M2676" i="16"/>
  <c r="L2677" i="16"/>
  <c r="C2677" i="16"/>
  <c r="K2677" i="16" s="1"/>
  <c r="I2677" i="16"/>
  <c r="F2677" i="16"/>
  <c r="O2677" i="16" s="1"/>
  <c r="E2677" i="16"/>
  <c r="G2677" i="16"/>
  <c r="B2678" i="16"/>
  <c r="D2676" i="16"/>
  <c r="J2676" i="16"/>
  <c r="N2676" i="16" s="1"/>
  <c r="P2676" i="16"/>
  <c r="Q2676" i="16"/>
  <c r="R2676" i="16"/>
  <c r="M2622" i="16"/>
  <c r="J2622" i="16"/>
  <c r="N2622" i="16" s="1"/>
  <c r="D2622" i="16"/>
  <c r="E2623" i="16"/>
  <c r="I2623" i="16"/>
  <c r="L2623" i="16"/>
  <c r="B2624" i="16"/>
  <c r="G2623" i="16"/>
  <c r="C2623" i="16"/>
  <c r="P2622" i="16"/>
  <c r="Q2622" i="16"/>
  <c r="R2622" i="16"/>
  <c r="M2568" i="16"/>
  <c r="D2568" i="16"/>
  <c r="J2568" i="16"/>
  <c r="N2568" i="16" s="1"/>
  <c r="P2568" i="16"/>
  <c r="Q2568" i="16"/>
  <c r="R2568" i="16"/>
  <c r="L2569" i="16"/>
  <c r="I2569" i="16"/>
  <c r="E2569" i="16"/>
  <c r="C2569" i="16"/>
  <c r="K2569" i="16" s="1"/>
  <c r="G2569" i="16"/>
  <c r="F2569" i="16"/>
  <c r="O2569" i="16" s="1"/>
  <c r="B2570"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E2461" i="16"/>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P2352" i="16"/>
  <c r="Q2352" i="16"/>
  <c r="R2352" i="16"/>
  <c r="J2352" i="16"/>
  <c r="D2352" i="16"/>
  <c r="L2353" i="16"/>
  <c r="E2353" i="16"/>
  <c r="B2354" i="16"/>
  <c r="C2353" i="16"/>
  <c r="G2353" i="16"/>
  <c r="I2353"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U2189" i="16"/>
  <c r="S2189" i="16"/>
  <c r="T2189" i="16" s="1"/>
  <c r="M2190" i="16"/>
  <c r="D2190" i="16"/>
  <c r="J2190" i="16"/>
  <c r="N2190" i="16" s="1"/>
  <c r="P2190" i="16"/>
  <c r="Q2190" i="16"/>
  <c r="R2190" i="16"/>
  <c r="L2191" i="16"/>
  <c r="C2191" i="16"/>
  <c r="K2191" i="16" s="1"/>
  <c r="E2191" i="16"/>
  <c r="F2191" i="16"/>
  <c r="O2191" i="16" s="1"/>
  <c r="G2191" i="16"/>
  <c r="I2191" i="16"/>
  <c r="B2192" i="16"/>
  <c r="U2135" i="16"/>
  <c r="S2135" i="16"/>
  <c r="T2135" i="16" s="1"/>
  <c r="D2136" i="16"/>
  <c r="J2136" i="16"/>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U1973" i="16"/>
  <c r="S1973" i="16"/>
  <c r="T1973" i="16" s="1"/>
  <c r="M1974" i="16"/>
  <c r="D1974" i="16"/>
  <c r="J1974" i="16"/>
  <c r="N1974" i="16" s="1"/>
  <c r="P1974" i="16"/>
  <c r="Q1974" i="16"/>
  <c r="R1974" i="16"/>
  <c r="L1975" i="16"/>
  <c r="C1975" i="16"/>
  <c r="K1975" i="16" s="1"/>
  <c r="E1975" i="16"/>
  <c r="F1975" i="16"/>
  <c r="O1975" i="16" s="1"/>
  <c r="G1975" i="16"/>
  <c r="I1975" i="16"/>
  <c r="B1976" i="16"/>
  <c r="U1919" i="16"/>
  <c r="S1919" i="16"/>
  <c r="T1919" i="16" s="1"/>
  <c r="M1920" i="16"/>
  <c r="D1920" i="16"/>
  <c r="J1920" i="16"/>
  <c r="N1920" i="16" s="1"/>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E1759" i="16"/>
  <c r="G1759" i="16"/>
  <c r="I1759" i="16"/>
  <c r="B1760" i="16"/>
  <c r="U1703" i="16"/>
  <c r="S1703" i="16"/>
  <c r="T1703" i="16" s="1"/>
  <c r="D1704" i="16"/>
  <c r="J1704" i="16"/>
  <c r="P1704" i="16"/>
  <c r="Q1704" i="16"/>
  <c r="R1704" i="16"/>
  <c r="L1705" i="16"/>
  <c r="C1705" i="16"/>
  <c r="E1705" i="16"/>
  <c r="G1705" i="16"/>
  <c r="I1705" i="16"/>
  <c r="B1706" i="16"/>
  <c r="U1649" i="16"/>
  <c r="S1649" i="16"/>
  <c r="T1649" i="16" s="1"/>
  <c r="M1650" i="16"/>
  <c r="D1650" i="16"/>
  <c r="J1650" i="16"/>
  <c r="N1650" i="16" s="1"/>
  <c r="P1650" i="16"/>
  <c r="Q1650" i="16"/>
  <c r="R1650" i="16"/>
  <c r="L1651" i="16"/>
  <c r="C1651" i="16"/>
  <c r="K1651" i="16" s="1"/>
  <c r="E1651" i="16"/>
  <c r="F1651" i="16"/>
  <c r="O1651" i="16" s="1"/>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P1488" i="16"/>
  <c r="Q1488" i="16"/>
  <c r="R1488" i="16"/>
  <c r="D1488" i="16"/>
  <c r="J1488" i="16"/>
  <c r="L1489" i="16"/>
  <c r="I1489" i="16"/>
  <c r="E1489" i="16"/>
  <c r="B1490" i="16"/>
  <c r="G1489" i="16"/>
  <c r="C1489" i="16"/>
  <c r="U1433" i="16"/>
  <c r="S1433" i="16"/>
  <c r="T1433" i="16" s="1"/>
  <c r="M1434" i="16"/>
  <c r="D1434" i="16"/>
  <c r="J1434" i="16"/>
  <c r="N1434" i="16" s="1"/>
  <c r="P1434" i="16"/>
  <c r="Q1434" i="16"/>
  <c r="R1434" i="16"/>
  <c r="L1435" i="16"/>
  <c r="C1435" i="16"/>
  <c r="K1435" i="16" s="1"/>
  <c r="E1435" i="16"/>
  <c r="F1435" i="16"/>
  <c r="O1435" i="16" s="1"/>
  <c r="G1435" i="16"/>
  <c r="I1435" i="16"/>
  <c r="B1436" i="16"/>
  <c r="L1381" i="16"/>
  <c r="C1381" i="16"/>
  <c r="K1381" i="16" s="1"/>
  <c r="F1381" i="16"/>
  <c r="O1381" i="16" s="1"/>
  <c r="B1382" i="16"/>
  <c r="I1381" i="16"/>
  <c r="G1381" i="16"/>
  <c r="E1381" i="16"/>
  <c r="P1380" i="16"/>
  <c r="Q1380" i="16"/>
  <c r="R1380" i="16"/>
  <c r="J1380" i="16"/>
  <c r="D1380" i="16"/>
  <c r="M1326" i="16"/>
  <c r="L1327" i="16"/>
  <c r="I1327" i="16"/>
  <c r="B1328" i="16"/>
  <c r="C1327" i="16"/>
  <c r="G1327" i="16"/>
  <c r="E1327" i="16"/>
  <c r="D1326" i="16"/>
  <c r="J1326" i="16"/>
  <c r="N1326" i="16" s="1"/>
  <c r="P1326" i="16"/>
  <c r="Q1326" i="16"/>
  <c r="R1326" i="16"/>
  <c r="M1272" i="16"/>
  <c r="P1272" i="16"/>
  <c r="Q1272" i="16"/>
  <c r="R1272" i="16"/>
  <c r="J1272" i="16"/>
  <c r="N1272" i="16" s="1"/>
  <c r="D1272" i="16"/>
  <c r="L1273" i="16"/>
  <c r="E1273" i="16"/>
  <c r="I1273" i="16"/>
  <c r="B1274" i="16"/>
  <c r="G1273" i="16"/>
  <c r="C1273" i="16"/>
  <c r="K1273" i="16" s="1"/>
  <c r="F1273" i="16"/>
  <c r="O1273" i="16" s="1"/>
  <c r="D1218" i="16"/>
  <c r="J1218" i="16"/>
  <c r="N1218" i="16" s="1"/>
  <c r="P1218" i="16"/>
  <c r="Q1218" i="16"/>
  <c r="R1218" i="16"/>
  <c r="B1220" i="16"/>
  <c r="E1219" i="16"/>
  <c r="C1219" i="16"/>
  <c r="L1219" i="16"/>
  <c r="G1219" i="16"/>
  <c r="I1219" i="16"/>
  <c r="M1218"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E1111" i="16"/>
  <c r="G1111" i="16"/>
  <c r="I1111" i="16"/>
  <c r="B1112" i="16"/>
  <c r="U1055" i="16"/>
  <c r="S1055" i="16"/>
  <c r="T1055" i="16" s="1"/>
  <c r="M1056" i="16"/>
  <c r="D1056" i="16"/>
  <c r="J1056" i="16"/>
  <c r="N1056" i="16" s="1"/>
  <c r="P1056" i="16"/>
  <c r="Q1056" i="16"/>
  <c r="R1056" i="16"/>
  <c r="L1057" i="16"/>
  <c r="C1057" i="16"/>
  <c r="K1057" i="16" s="1"/>
  <c r="E1057" i="16"/>
  <c r="F1057" i="16"/>
  <c r="O1057" i="16" s="1"/>
  <c r="G1057" i="16"/>
  <c r="I1057" i="16"/>
  <c r="B1058" i="16"/>
  <c r="U1001" i="16"/>
  <c r="S1001" i="16"/>
  <c r="T1001" i="16" s="1"/>
  <c r="M1002" i="16"/>
  <c r="J1002" i="16"/>
  <c r="N1002" i="16" s="1"/>
  <c r="D1002" i="16"/>
  <c r="L1003" i="16"/>
  <c r="G1003" i="16"/>
  <c r="I1003" i="16"/>
  <c r="E1003" i="16"/>
  <c r="C1003" i="16"/>
  <c r="B1004" i="16"/>
  <c r="P1002" i="16"/>
  <c r="Q1002" i="16"/>
  <c r="R1002" i="16"/>
  <c r="U947" i="16"/>
  <c r="S947" i="16"/>
  <c r="T947" i="16" s="1"/>
  <c r="M948" i="16"/>
  <c r="D948" i="16"/>
  <c r="J948" i="16"/>
  <c r="N948" i="16" s="1"/>
  <c r="P948" i="16"/>
  <c r="Q948" i="16"/>
  <c r="R948" i="16"/>
  <c r="L949" i="16"/>
  <c r="C949" i="16"/>
  <c r="K949" i="16" s="1"/>
  <c r="E949" i="16"/>
  <c r="F949" i="16"/>
  <c r="O949" i="16" s="1"/>
  <c r="G949" i="16"/>
  <c r="I949" i="16"/>
  <c r="B950" i="16"/>
  <c r="M894" i="16"/>
  <c r="D894" i="16"/>
  <c r="J894" i="16"/>
  <c r="N894" i="16" s="1"/>
  <c r="P894" i="16"/>
  <c r="Q894" i="16"/>
  <c r="R894" i="16"/>
  <c r="L895" i="16"/>
  <c r="C895" i="16"/>
  <c r="K895" i="16" s="1"/>
  <c r="E895" i="16"/>
  <c r="F895" i="16"/>
  <c r="O895" i="16" s="1"/>
  <c r="G895" i="16"/>
  <c r="I895" i="16"/>
  <c r="B896" i="16"/>
  <c r="M840" i="16"/>
  <c r="D840" i="16"/>
  <c r="J840" i="16"/>
  <c r="N840" i="16" s="1"/>
  <c r="P840" i="16"/>
  <c r="Q840" i="16"/>
  <c r="R840" i="16"/>
  <c r="L841" i="16"/>
  <c r="C841" i="16"/>
  <c r="K841" i="16" s="1"/>
  <c r="E841" i="16"/>
  <c r="F841" i="16"/>
  <c r="O841" i="16" s="1"/>
  <c r="G841" i="16"/>
  <c r="I841" i="16"/>
  <c r="B842" i="16"/>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M624" i="16"/>
  <c r="D624" i="16"/>
  <c r="J624" i="16"/>
  <c r="N624" i="16" s="1"/>
  <c r="P624" i="16"/>
  <c r="Q624" i="16"/>
  <c r="R624" i="16"/>
  <c r="L625" i="16"/>
  <c r="C625" i="16"/>
  <c r="K625" i="16" s="1"/>
  <c r="E625" i="16"/>
  <c r="F625" i="16"/>
  <c r="O625" i="16" s="1"/>
  <c r="G625" i="16"/>
  <c r="I625" i="16"/>
  <c r="B626" i="16"/>
  <c r="U569" i="16"/>
  <c r="S569" i="16"/>
  <c r="T569" i="16" s="1"/>
  <c r="P570" i="16"/>
  <c r="Q570" i="16"/>
  <c r="R570" i="16"/>
  <c r="J570" i="16"/>
  <c r="D570" i="16"/>
  <c r="L571" i="16"/>
  <c r="G571" i="16"/>
  <c r="C571" i="16"/>
  <c r="E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D408" i="16"/>
  <c r="J408" i="16"/>
  <c r="P408" i="16"/>
  <c r="Q408" i="16"/>
  <c r="R408" i="16"/>
  <c r="L409" i="16"/>
  <c r="C409" i="16"/>
  <c r="K409" i="16" s="1"/>
  <c r="E409" i="16"/>
  <c r="F409" i="16"/>
  <c r="O409" i="16" s="1"/>
  <c r="G409" i="16"/>
  <c r="I409" i="16"/>
  <c r="B410"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M192" i="16"/>
  <c r="D192" i="16"/>
  <c r="J192" i="16"/>
  <c r="N192" i="16" s="1"/>
  <c r="P192" i="16"/>
  <c r="Q192" i="16"/>
  <c r="R192" i="16"/>
  <c r="L193" i="16"/>
  <c r="E193" i="16"/>
  <c r="I193" i="16"/>
  <c r="C193" i="16"/>
  <c r="K193" i="16" s="1"/>
  <c r="F193" i="16"/>
  <c r="O193" i="16" s="1"/>
  <c r="G193" i="16"/>
  <c r="B194" i="16"/>
  <c r="M138" i="16"/>
  <c r="D138" i="16"/>
  <c r="J138" i="16"/>
  <c r="N138" i="16" s="1"/>
  <c r="P138" i="16"/>
  <c r="Q138" i="16"/>
  <c r="R138" i="16"/>
  <c r="L139" i="16"/>
  <c r="E139" i="16"/>
  <c r="G139" i="16"/>
  <c r="C139" i="16"/>
  <c r="K139" i="16" s="1"/>
  <c r="F139" i="16"/>
  <c r="O139" i="16" s="1"/>
  <c r="I139" i="16"/>
  <c r="B140" i="16"/>
  <c r="U83" i="16"/>
  <c r="S83" i="16"/>
  <c r="T83" i="16" s="1"/>
  <c r="N84" i="16"/>
  <c r="M84" i="16"/>
  <c r="D84" i="16"/>
  <c r="J84" i="16"/>
  <c r="P84" i="16"/>
  <c r="Q84" i="16"/>
  <c r="R84" i="16"/>
  <c r="L85" i="16"/>
  <c r="C85" i="16"/>
  <c r="K85" i="16" s="1"/>
  <c r="E85" i="16"/>
  <c r="F85" i="16"/>
  <c r="O85" i="16" s="1"/>
  <c r="G85" i="16"/>
  <c r="I85" i="16"/>
  <c r="B86" i="16"/>
  <c r="U21" i="4"/>
  <c r="S21" i="4"/>
  <c r="T21" i="4" s="1"/>
  <c r="M22" i="4"/>
  <c r="D22" i="4"/>
  <c r="J22" i="4"/>
  <c r="N22" i="4" s="1"/>
  <c r="Z22" i="4"/>
  <c r="Y22" i="4"/>
  <c r="X22" i="4"/>
  <c r="W22" i="4"/>
  <c r="P22" i="4"/>
  <c r="F22" i="5" s="1"/>
  <c r="Q22" i="4"/>
  <c r="G22" i="5" s="1"/>
  <c r="R22" i="4"/>
  <c r="H22" i="5" s="1"/>
  <c r="V22" i="4"/>
  <c r="L23" i="4"/>
  <c r="C23" i="4"/>
  <c r="K23" i="4" s="1"/>
  <c r="E23" i="4"/>
  <c r="F23" i="4"/>
  <c r="C23" i="5" s="1"/>
  <c r="E23" i="5" s="1"/>
  <c r="O23" i="4" s="1"/>
  <c r="G23" i="4"/>
  <c r="I23" i="4"/>
  <c r="B24" i="4"/>
  <c r="B23" i="5"/>
  <c r="AC16" i="4"/>
  <c r="B70" i="7"/>
  <c r="I70" i="7" s="1"/>
  <c r="AC15" i="4"/>
  <c r="AB17" i="4"/>
  <c r="AB18" i="4"/>
  <c r="AB19" i="4"/>
  <c r="AB20" i="4"/>
  <c r="AB21" i="4"/>
  <c r="AB22" i="4"/>
  <c r="AB23" i="4"/>
  <c r="E32" i="6"/>
  <c r="H32" i="6"/>
  <c r="U3700" i="16"/>
  <c r="S3700" i="16"/>
  <c r="T3700" i="16" s="1"/>
  <c r="U3646" i="16"/>
  <c r="S3646" i="16"/>
  <c r="T3646" i="16" s="1"/>
  <c r="U3484" i="16"/>
  <c r="S3484" i="16"/>
  <c r="T3484" i="16" s="1"/>
  <c r="U3430" i="16"/>
  <c r="S3430" i="16"/>
  <c r="T3430" i="16" s="1"/>
  <c r="U3052" i="16"/>
  <c r="S3052" i="16"/>
  <c r="T3052" i="16" s="1"/>
  <c r="U2998" i="16"/>
  <c r="S2998" i="16"/>
  <c r="T2998" i="16" s="1"/>
  <c r="U2944" i="16"/>
  <c r="S2944" i="16"/>
  <c r="T2944" i="16" s="1"/>
  <c r="U2890" i="16"/>
  <c r="S2890" i="16"/>
  <c r="T2890" i="16" s="1"/>
  <c r="U2836" i="16"/>
  <c r="S2836" i="16"/>
  <c r="T2836" i="16" s="1"/>
  <c r="U2728" i="16"/>
  <c r="S2728" i="16"/>
  <c r="T2728" i="16" s="1"/>
  <c r="U2674" i="16"/>
  <c r="S2674" i="16"/>
  <c r="T2674" i="16" s="1"/>
  <c r="U2620" i="16"/>
  <c r="S2620" i="16"/>
  <c r="T2620" i="16" s="1"/>
  <c r="U2566" i="16"/>
  <c r="S2566" i="16"/>
  <c r="T2566" i="16" s="1"/>
  <c r="U2404" i="16"/>
  <c r="S2404" i="16"/>
  <c r="T2404" i="16" s="1"/>
  <c r="U2350" i="16"/>
  <c r="S2350" i="16"/>
  <c r="T2350" i="16" s="1"/>
  <c r="U2134" i="16"/>
  <c r="S2134" i="16"/>
  <c r="T2134" i="16" s="1"/>
  <c r="U2080" i="16"/>
  <c r="S2080" i="16"/>
  <c r="T2080" i="16" s="1"/>
  <c r="U1810" i="16"/>
  <c r="S1810" i="16"/>
  <c r="T1810" i="16" s="1"/>
  <c r="U1486" i="16"/>
  <c r="S1486" i="16"/>
  <c r="T1486" i="16" s="1"/>
  <c r="U1378" i="16"/>
  <c r="S1378" i="16"/>
  <c r="T1378" i="16" s="1"/>
  <c r="U1324" i="16"/>
  <c r="S1324" i="16"/>
  <c r="T1324" i="16" s="1"/>
  <c r="U1270" i="16"/>
  <c r="S1270" i="16"/>
  <c r="T1270" i="16" s="1"/>
  <c r="U1000" i="16"/>
  <c r="S1000" i="16"/>
  <c r="T1000" i="16" s="1"/>
  <c r="U838" i="16"/>
  <c r="S838" i="16"/>
  <c r="T838" i="16" s="1"/>
  <c r="U784" i="16"/>
  <c r="S784" i="16"/>
  <c r="T784" i="16" s="1"/>
  <c r="U730" i="16"/>
  <c r="S730" i="16"/>
  <c r="T730" i="16" s="1"/>
  <c r="U622" i="16"/>
  <c r="S622" i="16"/>
  <c r="T622" i="16" s="1"/>
  <c r="U568" i="16"/>
  <c r="S568" i="16"/>
  <c r="T568" i="16" s="1"/>
  <c r="U460" i="16"/>
  <c r="S460" i="16"/>
  <c r="T460" i="16" s="1"/>
  <c r="U190" i="16"/>
  <c r="S190" i="16"/>
  <c r="T190" i="16" s="1"/>
  <c r="M4055" i="16"/>
  <c r="N4055" i="16"/>
  <c r="N3701" i="16"/>
  <c r="M3701" i="16"/>
  <c r="M3647" i="16"/>
  <c r="N3647" i="16"/>
  <c r="M3593" i="16"/>
  <c r="N3593" i="16"/>
  <c r="M3377" i="16"/>
  <c r="N3377" i="16"/>
  <c r="M3323" i="16"/>
  <c r="N3323" i="16"/>
  <c r="M3215" i="16"/>
  <c r="N3215" i="16"/>
  <c r="N3107" i="16"/>
  <c r="M3107" i="16"/>
  <c r="M2891" i="16"/>
  <c r="N2891" i="16"/>
  <c r="N2783" i="16"/>
  <c r="S2783" i="16" s="1"/>
  <c r="T2783" i="16" s="1"/>
  <c r="U2783" i="16" s="1"/>
  <c r="M2783" i="16"/>
  <c r="N2729" i="16"/>
  <c r="M2729" i="16"/>
  <c r="M2675" i="16"/>
  <c r="N2675" i="16"/>
  <c r="M2621" i="16"/>
  <c r="N2621" i="16"/>
  <c r="M2567" i="16"/>
  <c r="N2567" i="16"/>
  <c r="N2351" i="16"/>
  <c r="M2351" i="16"/>
  <c r="N1487" i="16"/>
  <c r="M1487" i="16"/>
  <c r="M1379" i="16"/>
  <c r="N1379" i="16"/>
  <c r="M1325" i="16"/>
  <c r="N1325" i="16"/>
  <c r="N1271" i="16"/>
  <c r="M1271" i="16"/>
  <c r="M1217" i="16"/>
  <c r="N1217" i="16"/>
  <c r="M893" i="16"/>
  <c r="N893" i="16"/>
  <c r="M839" i="16"/>
  <c r="N839" i="16"/>
  <c r="M785" i="16"/>
  <c r="N785" i="16"/>
  <c r="M623" i="16"/>
  <c r="N623" i="16"/>
  <c r="M191" i="16"/>
  <c r="N191" i="16"/>
  <c r="N137" i="16"/>
  <c r="M137" i="16"/>
  <c r="S4159" i="16"/>
  <c r="T4159" i="16" s="1"/>
  <c r="O17" i="4"/>
  <c r="S17" i="4" s="1"/>
  <c r="T17" i="4" s="1"/>
  <c r="T4678" i="16"/>
  <c r="F4572" i="16"/>
  <c r="K4572" i="16"/>
  <c r="F3540" i="16"/>
  <c r="O3540" i="16" s="1"/>
  <c r="K3540" i="16"/>
  <c r="F3270" i="16"/>
  <c r="O3270" i="16" s="1"/>
  <c r="K3270" i="16"/>
  <c r="K3216" i="16"/>
  <c r="F3216" i="16"/>
  <c r="O3216" i="16" s="1"/>
  <c r="K3108" i="16"/>
  <c r="F3108" i="16"/>
  <c r="O3108" i="16" s="1"/>
  <c r="K3054" i="16"/>
  <c r="F3054" i="16"/>
  <c r="O3054" i="16" s="1"/>
  <c r="K2784" i="16"/>
  <c r="F2784" i="16"/>
  <c r="O2784" i="16" s="1"/>
  <c r="K2730" i="16"/>
  <c r="F2730" i="16"/>
  <c r="O2730" i="16" s="1"/>
  <c r="K2352" i="16"/>
  <c r="F2352" i="16"/>
  <c r="O2352" i="16" s="1"/>
  <c r="F2136" i="16"/>
  <c r="O2136" i="16" s="1"/>
  <c r="K2136" i="16"/>
  <c r="K1704" i="16"/>
  <c r="F1704" i="16"/>
  <c r="O1704" i="16" s="1"/>
  <c r="F1488" i="16"/>
  <c r="O1488" i="16" s="1"/>
  <c r="K1488" i="16"/>
  <c r="F1380" i="16"/>
  <c r="O1380" i="16" s="1"/>
  <c r="K1380" i="16"/>
  <c r="F570" i="16"/>
  <c r="O570" i="16" s="1"/>
  <c r="K570" i="16"/>
  <c r="F408" i="16"/>
  <c r="O408" i="16" s="1"/>
  <c r="K408" i="16"/>
  <c r="F21" i="5"/>
  <c r="G21" i="5"/>
  <c r="H21" i="5"/>
  <c r="I4619" i="16"/>
  <c r="O4625" i="16"/>
  <c r="D4627" i="16" l="1"/>
  <c r="F4627" i="16"/>
  <c r="O4627" i="16" s="1"/>
  <c r="K3433" i="16"/>
  <c r="F3433" i="16"/>
  <c r="O3433" i="16" s="1"/>
  <c r="K3163" i="16"/>
  <c r="F3163" i="16"/>
  <c r="O3163" i="16" s="1"/>
  <c r="K3109" i="16"/>
  <c r="F3109" i="16"/>
  <c r="O3109" i="16" s="1"/>
  <c r="K2785" i="16"/>
  <c r="F2785" i="16"/>
  <c r="O2785" i="16" s="1"/>
  <c r="K1759" i="16"/>
  <c r="F1759" i="16"/>
  <c r="O1759" i="16" s="1"/>
  <c r="K1111" i="16"/>
  <c r="F1111" i="16"/>
  <c r="O1111" i="16" s="1"/>
  <c r="O4624" i="16"/>
  <c r="O4623" i="16"/>
  <c r="O4622" i="16"/>
  <c r="O4621" i="16"/>
  <c r="O4626" i="16"/>
  <c r="U4680" i="16"/>
  <c r="S4680" i="16"/>
  <c r="D4681" i="16"/>
  <c r="M4681" i="16" s="1"/>
  <c r="J4681" i="16"/>
  <c r="P4681" i="16"/>
  <c r="Q4681" i="16"/>
  <c r="R4681" i="16"/>
  <c r="L4682" i="16"/>
  <c r="C4682" i="16"/>
  <c r="E4682" i="16"/>
  <c r="G4682" i="16"/>
  <c r="I4682" i="16"/>
  <c r="B4683" i="16"/>
  <c r="P4627" i="16"/>
  <c r="Q4627" i="16"/>
  <c r="R4627" i="16"/>
  <c r="C4628" i="16"/>
  <c r="D4628" i="16" s="1"/>
  <c r="E4628" i="16"/>
  <c r="F4628" i="16"/>
  <c r="O4628" i="16" s="1"/>
  <c r="G4628" i="16"/>
  <c r="B4629" i="16"/>
  <c r="D4573" i="16"/>
  <c r="J4573" i="16"/>
  <c r="P4573" i="16"/>
  <c r="Q4573" i="16"/>
  <c r="R4573" i="16"/>
  <c r="L4574" i="16"/>
  <c r="C4574" i="16"/>
  <c r="K4574" i="16" s="1"/>
  <c r="E4574" i="16"/>
  <c r="F4574" i="16"/>
  <c r="G4574" i="16"/>
  <c r="I4574" i="16"/>
  <c r="B4575" i="16"/>
  <c r="C4520" i="16"/>
  <c r="E4520" i="16"/>
  <c r="F4520" i="16"/>
  <c r="G4520" i="16"/>
  <c r="B4521" i="16"/>
  <c r="I4520" i="16"/>
  <c r="K4520" i="16"/>
  <c r="L4520" i="16"/>
  <c r="D4519" i="16"/>
  <c r="J4519" i="16"/>
  <c r="Q4519" i="16"/>
  <c r="P4519" i="16"/>
  <c r="R4519" i="16"/>
  <c r="U4218" i="16"/>
  <c r="S4218" i="16"/>
  <c r="T4218" i="16" s="1"/>
  <c r="D4219" i="16"/>
  <c r="M4219" i="16" s="1"/>
  <c r="J4219" i="16"/>
  <c r="P4219" i="16"/>
  <c r="Q4219" i="16"/>
  <c r="R4219" i="16"/>
  <c r="L4220" i="16"/>
  <c r="C4220" i="16"/>
  <c r="K4220" i="16" s="1"/>
  <c r="E4220" i="16"/>
  <c r="F4220" i="16"/>
  <c r="O4220" i="16" s="1"/>
  <c r="G4220" i="16"/>
  <c r="I4220" i="16"/>
  <c r="B4221" i="16"/>
  <c r="U4164" i="16"/>
  <c r="S4164" i="16"/>
  <c r="T4164" i="16" s="1"/>
  <c r="P4165" i="16"/>
  <c r="Q4165" i="16"/>
  <c r="R4165" i="16"/>
  <c r="E4166" i="16"/>
  <c r="G4166" i="16"/>
  <c r="C4166" i="16"/>
  <c r="I4166" i="16"/>
  <c r="L4166" i="16"/>
  <c r="B4167" i="16"/>
  <c r="D4165" i="16"/>
  <c r="J4165" i="16"/>
  <c r="U4110" i="16"/>
  <c r="S4110" i="16"/>
  <c r="T4110" i="16" s="1"/>
  <c r="P4111" i="16"/>
  <c r="Q4111" i="16"/>
  <c r="R4111" i="16"/>
  <c r="C4112" i="16"/>
  <c r="K4112" i="16" s="1"/>
  <c r="E4112" i="16"/>
  <c r="F4112" i="16"/>
  <c r="O4112" i="16" s="1"/>
  <c r="G4112" i="16"/>
  <c r="I4112" i="16"/>
  <c r="L4112" i="16"/>
  <c r="B4113" i="16"/>
  <c r="D4111" i="16"/>
  <c r="J4111"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K3758" i="16" s="1"/>
  <c r="E3758" i="16"/>
  <c r="F3758" i="16"/>
  <c r="O3758" i="16" s="1"/>
  <c r="G3758" i="16"/>
  <c r="I3758" i="16"/>
  <c r="B3759" i="16"/>
  <c r="U3702" i="16"/>
  <c r="S3702" i="16"/>
  <c r="T3702" i="16" s="1"/>
  <c r="M3703" i="16"/>
  <c r="D3703" i="16"/>
  <c r="J3703" i="16"/>
  <c r="N3703" i="16" s="1"/>
  <c r="P3703" i="16"/>
  <c r="Q3703" i="16"/>
  <c r="R3703" i="16"/>
  <c r="L3704" i="16"/>
  <c r="C3704" i="16"/>
  <c r="E3704" i="16"/>
  <c r="G3704" i="16"/>
  <c r="I3704" i="16"/>
  <c r="B3705"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M3541" i="16"/>
  <c r="D3541" i="16"/>
  <c r="J3541" i="16"/>
  <c r="N3541" i="16" s="1"/>
  <c r="P3541" i="16"/>
  <c r="Q3541" i="16"/>
  <c r="R3541" i="16"/>
  <c r="L3542" i="16"/>
  <c r="C3542" i="16"/>
  <c r="K3542" i="16" s="1"/>
  <c r="E3542" i="16"/>
  <c r="F3542" i="16"/>
  <c r="O3542" i="16" s="1"/>
  <c r="G3542" i="16"/>
  <c r="I3542" i="16"/>
  <c r="B3543" i="16"/>
  <c r="U3486" i="16"/>
  <c r="S3486" i="16"/>
  <c r="T3486" i="16" s="1"/>
  <c r="D3487" i="16"/>
  <c r="J3487" i="16"/>
  <c r="P3487" i="16"/>
  <c r="Q3487" i="16"/>
  <c r="R3487" i="16"/>
  <c r="L3488" i="16"/>
  <c r="C3488" i="16"/>
  <c r="K3488" i="16" s="1"/>
  <c r="E3488" i="16"/>
  <c r="F3488" i="16"/>
  <c r="O3488" i="16" s="1"/>
  <c r="G3488" i="16"/>
  <c r="I3488" i="16"/>
  <c r="B3489" i="16"/>
  <c r="U3432" i="16"/>
  <c r="S3432" i="16"/>
  <c r="T3432" i="16" s="1"/>
  <c r="M3433" i="16"/>
  <c r="D3433" i="16"/>
  <c r="J3433" i="16"/>
  <c r="N3433" i="16" s="1"/>
  <c r="P3433" i="16"/>
  <c r="Q3433" i="16"/>
  <c r="R3433" i="16"/>
  <c r="L3434" i="16"/>
  <c r="C3434" i="16"/>
  <c r="K3434" i="16" s="1"/>
  <c r="E3434" i="16"/>
  <c r="F3434" i="16"/>
  <c r="O3434" i="16" s="1"/>
  <c r="G3434" i="16"/>
  <c r="I3434" i="16"/>
  <c r="B3435" i="16"/>
  <c r="U3378" i="16"/>
  <c r="S3378" i="16"/>
  <c r="T3378" i="16" s="1"/>
  <c r="D3379" i="16"/>
  <c r="J3379" i="16"/>
  <c r="P3379" i="16"/>
  <c r="Q3379" i="16"/>
  <c r="R3379" i="16"/>
  <c r="L3380" i="16"/>
  <c r="C3380" i="16"/>
  <c r="K3380" i="16" s="1"/>
  <c r="E3380" i="16"/>
  <c r="F3380" i="16"/>
  <c r="O3380" i="16" s="1"/>
  <c r="G3380" i="16"/>
  <c r="I3380" i="16"/>
  <c r="B3381" i="16"/>
  <c r="U3324" i="16"/>
  <c r="S3324" i="16"/>
  <c r="T3324" i="16" s="1"/>
  <c r="D3325" i="16"/>
  <c r="J3325" i="16"/>
  <c r="P3325" i="16"/>
  <c r="Q3325" i="16"/>
  <c r="R3325" i="16"/>
  <c r="L3326" i="16"/>
  <c r="C3326" i="16"/>
  <c r="E3326" i="16"/>
  <c r="G3326" i="16"/>
  <c r="I3326" i="16"/>
  <c r="B3327" i="16"/>
  <c r="M3271" i="16"/>
  <c r="D3271" i="16"/>
  <c r="J3271" i="16"/>
  <c r="N3271" i="16" s="1"/>
  <c r="P3271" i="16"/>
  <c r="Q3271" i="16"/>
  <c r="R3271" i="16"/>
  <c r="L3272" i="16"/>
  <c r="C3272" i="16"/>
  <c r="E3272" i="16"/>
  <c r="G3272" i="16"/>
  <c r="I3272" i="16"/>
  <c r="B3273" i="16"/>
  <c r="P3217" i="16"/>
  <c r="Q3217" i="16"/>
  <c r="R3217" i="16"/>
  <c r="D3217" i="16"/>
  <c r="J3217" i="16"/>
  <c r="L3218" i="16"/>
  <c r="G3218" i="16"/>
  <c r="I3218" i="16"/>
  <c r="B3219" i="16"/>
  <c r="C3218" i="16"/>
  <c r="E3218" i="16"/>
  <c r="U3162" i="16"/>
  <c r="S3162" i="16"/>
  <c r="T3162" i="16" s="1"/>
  <c r="M3163" i="16"/>
  <c r="D3163" i="16"/>
  <c r="J3163" i="16"/>
  <c r="N3163" i="16" s="1"/>
  <c r="P3163" i="16"/>
  <c r="Q3163" i="16"/>
  <c r="R3163" i="16"/>
  <c r="L3164" i="16"/>
  <c r="C3164" i="16"/>
  <c r="K3164" i="16" s="1"/>
  <c r="E3164" i="16"/>
  <c r="F3164" i="16"/>
  <c r="O3164" i="16" s="1"/>
  <c r="G3164" i="16"/>
  <c r="I3164" i="16"/>
  <c r="B3165" i="16"/>
  <c r="M3109" i="16"/>
  <c r="P3109" i="16"/>
  <c r="Q3109" i="16"/>
  <c r="R3109" i="16"/>
  <c r="L3110" i="16"/>
  <c r="E3110" i="16"/>
  <c r="G3110" i="16"/>
  <c r="I3110" i="16"/>
  <c r="B3111" i="16"/>
  <c r="C3110" i="16"/>
  <c r="D3109" i="16"/>
  <c r="J3109" i="16"/>
  <c r="N3109" i="16" s="1"/>
  <c r="M3055" i="16"/>
  <c r="P3055" i="16"/>
  <c r="Q3055" i="16"/>
  <c r="R3055" i="16"/>
  <c r="L3056" i="16"/>
  <c r="I3056" i="16"/>
  <c r="C3056" i="16"/>
  <c r="E3056" i="16"/>
  <c r="G3056" i="16"/>
  <c r="B3057" i="16"/>
  <c r="J3055" i="16"/>
  <c r="N3055" i="16" s="1"/>
  <c r="D3055" i="16"/>
  <c r="U3000" i="16"/>
  <c r="S3000" i="16"/>
  <c r="T3000" i="16" s="1"/>
  <c r="M3001" i="16"/>
  <c r="D3001" i="16"/>
  <c r="J3001" i="16"/>
  <c r="N3001" i="16" s="1"/>
  <c r="P3001" i="16"/>
  <c r="Q3001" i="16"/>
  <c r="R3001" i="16"/>
  <c r="L3002" i="16"/>
  <c r="E3002" i="16"/>
  <c r="C3002" i="16"/>
  <c r="K3002" i="16" s="1"/>
  <c r="F3002" i="16"/>
  <c r="O3002" i="16" s="1"/>
  <c r="G3002" i="16"/>
  <c r="B3003" i="16"/>
  <c r="I3002" i="16"/>
  <c r="U2946" i="16"/>
  <c r="S2946" i="16"/>
  <c r="T2946" i="16" s="1"/>
  <c r="M2947" i="16"/>
  <c r="D2947" i="16"/>
  <c r="J2947" i="16"/>
  <c r="N2947" i="16" s="1"/>
  <c r="P2947" i="16"/>
  <c r="Q2947" i="16"/>
  <c r="R2947" i="16"/>
  <c r="L2948" i="16"/>
  <c r="C2948" i="16"/>
  <c r="K2948" i="16" s="1"/>
  <c r="E2948" i="16"/>
  <c r="F2948" i="16"/>
  <c r="O2948" i="16" s="1"/>
  <c r="G2948" i="16"/>
  <c r="I2948" i="16"/>
  <c r="B2949" i="16"/>
  <c r="U2892" i="16"/>
  <c r="S2892" i="16"/>
  <c r="T2892" i="16" s="1"/>
  <c r="D2893" i="16"/>
  <c r="J2893" i="16"/>
  <c r="P2893" i="16"/>
  <c r="Q2893" i="16"/>
  <c r="R2893" i="16"/>
  <c r="L2894" i="16"/>
  <c r="C2894" i="16"/>
  <c r="K2894" i="16" s="1"/>
  <c r="E2894" i="16"/>
  <c r="F2894" i="16"/>
  <c r="O2894" i="16" s="1"/>
  <c r="G2894" i="16"/>
  <c r="I2894" i="16"/>
  <c r="B2895" i="16"/>
  <c r="U2838" i="16"/>
  <c r="S2838" i="16"/>
  <c r="T2838" i="16" s="1"/>
  <c r="M2839" i="16"/>
  <c r="D2839" i="16"/>
  <c r="J2839" i="16"/>
  <c r="N2839" i="16" s="1"/>
  <c r="L2840" i="16"/>
  <c r="C2840" i="16"/>
  <c r="G2840" i="16"/>
  <c r="B2841" i="16"/>
  <c r="I2840" i="16"/>
  <c r="E2840" i="16"/>
  <c r="P2839" i="16"/>
  <c r="Q2839" i="16"/>
  <c r="R2839" i="16"/>
  <c r="M2785" i="16"/>
  <c r="P2785" i="16"/>
  <c r="Q2785" i="16"/>
  <c r="R2785" i="16"/>
  <c r="L2786" i="16"/>
  <c r="E2786" i="16"/>
  <c r="B2787" i="16"/>
  <c r="C2786" i="16"/>
  <c r="G2786" i="16"/>
  <c r="I2786" i="16"/>
  <c r="D2785" i="16"/>
  <c r="J2785" i="16"/>
  <c r="N2785" i="16" s="1"/>
  <c r="S2785" i="16" s="1"/>
  <c r="T2785" i="16" s="1"/>
  <c r="U2785" i="16" s="1"/>
  <c r="L2732" i="16"/>
  <c r="B2733" i="16"/>
  <c r="I2732" i="16"/>
  <c r="C2732" i="16"/>
  <c r="G2732" i="16"/>
  <c r="E2732" i="16"/>
  <c r="D2731" i="16"/>
  <c r="J2731" i="16"/>
  <c r="P2731" i="16"/>
  <c r="Q2731" i="16"/>
  <c r="R2731" i="16"/>
  <c r="U2676" i="16"/>
  <c r="S2676" i="16"/>
  <c r="T2676" i="16" s="1"/>
  <c r="M2677" i="16"/>
  <c r="D2677" i="16"/>
  <c r="J2677" i="16"/>
  <c r="N2677" i="16" s="1"/>
  <c r="P2677" i="16"/>
  <c r="Q2677" i="16"/>
  <c r="R2677" i="16"/>
  <c r="L2678" i="16"/>
  <c r="E2678" i="16"/>
  <c r="C2678" i="16"/>
  <c r="G2678" i="16"/>
  <c r="I2678" i="16"/>
  <c r="B2679" i="16"/>
  <c r="U2622" i="16"/>
  <c r="S2622" i="16"/>
  <c r="T2622" i="16" s="1"/>
  <c r="L2624" i="16"/>
  <c r="I2624" i="16"/>
  <c r="E2624" i="16"/>
  <c r="C2624" i="16"/>
  <c r="B2625" i="16"/>
  <c r="G2624" i="16"/>
  <c r="P2623" i="16"/>
  <c r="Q2623" i="16"/>
  <c r="R2623" i="16"/>
  <c r="J2623" i="16"/>
  <c r="D2623" i="16"/>
  <c r="U2568" i="16"/>
  <c r="S2568" i="16"/>
  <c r="T2568" i="16" s="1"/>
  <c r="M2569" i="16"/>
  <c r="J2569" i="16"/>
  <c r="N2569" i="16" s="1"/>
  <c r="D2569" i="16"/>
  <c r="P2569" i="16"/>
  <c r="Q2569" i="16"/>
  <c r="R2569" i="16"/>
  <c r="L2570" i="16"/>
  <c r="G2570" i="16"/>
  <c r="B2571" i="16"/>
  <c r="E2570" i="16"/>
  <c r="I2570" i="16"/>
  <c r="C2570"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D2461" i="16"/>
  <c r="J2461" i="16"/>
  <c r="P2461" i="16"/>
  <c r="Q2461" i="16"/>
  <c r="R2461" i="16"/>
  <c r="L2462" i="16"/>
  <c r="C2462" i="16"/>
  <c r="K2462" i="16" s="1"/>
  <c r="E2462" i="16"/>
  <c r="F2462" i="16"/>
  <c r="O2462" i="16" s="1"/>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L2354" i="16"/>
  <c r="B2355" i="16"/>
  <c r="G2354" i="16"/>
  <c r="I2354" i="16"/>
  <c r="C2354" i="16"/>
  <c r="E2354" i="16"/>
  <c r="D2353" i="16"/>
  <c r="J2353" i="16"/>
  <c r="Q2353" i="16"/>
  <c r="P2353" i="16"/>
  <c r="R2353" i="16"/>
  <c r="U2298" i="16"/>
  <c r="S2298" i="16"/>
  <c r="T2298" i="16" s="1"/>
  <c r="M2299" i="16"/>
  <c r="D2299" i="16"/>
  <c r="J2299" i="16"/>
  <c r="N2299" i="16" s="1"/>
  <c r="P2299" i="16"/>
  <c r="Q2299" i="16"/>
  <c r="R2299" i="16"/>
  <c r="L2300" i="16"/>
  <c r="C2300" i="16"/>
  <c r="K2300" i="16" s="1"/>
  <c r="E2300" i="16"/>
  <c r="F2300" i="16"/>
  <c r="O2300" i="16" s="1"/>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M2137" i="16"/>
  <c r="D2137" i="16"/>
  <c r="J2137" i="16"/>
  <c r="N2137" i="16" s="1"/>
  <c r="P2137" i="16"/>
  <c r="Q2137" i="16"/>
  <c r="R2137" i="16"/>
  <c r="L2138" i="16"/>
  <c r="C2138" i="16"/>
  <c r="E2138" i="16"/>
  <c r="G2138" i="16"/>
  <c r="I2138" i="16"/>
  <c r="B2139" i="16"/>
  <c r="U2082" i="16"/>
  <c r="S2082" i="16"/>
  <c r="T2082" i="16" s="1"/>
  <c r="M2083" i="16"/>
  <c r="D2083" i="16"/>
  <c r="J2083" i="16"/>
  <c r="N2083" i="16" s="1"/>
  <c r="P2083" i="16"/>
  <c r="Q2083" i="16"/>
  <c r="R2083" i="16"/>
  <c r="L2084" i="16"/>
  <c r="C2084" i="16"/>
  <c r="E2084" i="16"/>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M1921" i="16"/>
  <c r="D1921" i="16"/>
  <c r="J1921" i="16"/>
  <c r="N1921" i="16" s="1"/>
  <c r="P1921" i="16"/>
  <c r="Q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K1814" i="16" s="1"/>
  <c r="E1814" i="16"/>
  <c r="F1814" i="16"/>
  <c r="O1814" i="16" s="1"/>
  <c r="G1814" i="16"/>
  <c r="I1814" i="16"/>
  <c r="B1815" i="16"/>
  <c r="U1758" i="16"/>
  <c r="S1758" i="16"/>
  <c r="T1758" i="16" s="1"/>
  <c r="M1759" i="16"/>
  <c r="D1759" i="16"/>
  <c r="J1759" i="16"/>
  <c r="N1759" i="16" s="1"/>
  <c r="P1759" i="16"/>
  <c r="Q1759" i="16"/>
  <c r="R1759" i="16"/>
  <c r="L1760" i="16"/>
  <c r="C1760" i="16"/>
  <c r="K1760" i="16" s="1"/>
  <c r="E1760" i="16"/>
  <c r="F1760" i="16"/>
  <c r="O1760" i="16" s="1"/>
  <c r="G1760" i="16"/>
  <c r="I1760" i="16"/>
  <c r="B1761" i="16"/>
  <c r="D1705" i="16"/>
  <c r="J1705" i="16"/>
  <c r="P1705" i="16"/>
  <c r="Q1705" i="16"/>
  <c r="R1705" i="16"/>
  <c r="L1706" i="16"/>
  <c r="C1706" i="16"/>
  <c r="E1706" i="16"/>
  <c r="G1706" i="16"/>
  <c r="I1706" i="16"/>
  <c r="B1707" i="16"/>
  <c r="U1650" i="16"/>
  <c r="S1650" i="16"/>
  <c r="T1650" i="16" s="1"/>
  <c r="M1651" i="16"/>
  <c r="D1651" i="16"/>
  <c r="J1651" i="16"/>
  <c r="N1651" i="16" s="1"/>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K1544" i="16" s="1"/>
  <c r="E1544" i="16"/>
  <c r="F1544" i="16"/>
  <c r="O1544" i="16" s="1"/>
  <c r="G1544" i="16"/>
  <c r="I1544" i="16"/>
  <c r="B1545" i="16"/>
  <c r="L1490" i="16"/>
  <c r="C1490" i="16"/>
  <c r="K1490" i="16" s="1"/>
  <c r="F1490" i="16"/>
  <c r="O1490" i="16" s="1"/>
  <c r="E1490" i="16"/>
  <c r="I1490" i="16"/>
  <c r="G1490" i="16"/>
  <c r="B1491" i="16"/>
  <c r="P1489" i="16"/>
  <c r="Q1489" i="16"/>
  <c r="R1489" i="16"/>
  <c r="D1489" i="16"/>
  <c r="J1489" i="16"/>
  <c r="U1434" i="16"/>
  <c r="S1434" i="16"/>
  <c r="T1434" i="16" s="1"/>
  <c r="M1435" i="16"/>
  <c r="D1435" i="16"/>
  <c r="J1435" i="16"/>
  <c r="N1435" i="16" s="1"/>
  <c r="P1435" i="16"/>
  <c r="Q1435" i="16"/>
  <c r="R1435" i="16"/>
  <c r="L1436" i="16"/>
  <c r="C1436" i="16"/>
  <c r="E1436" i="16"/>
  <c r="G1436" i="16"/>
  <c r="I1436" i="16"/>
  <c r="B1437" i="16"/>
  <c r="M1381" i="16"/>
  <c r="D1381" i="16"/>
  <c r="J1381" i="16"/>
  <c r="N1381" i="16" s="1"/>
  <c r="L1382" i="16"/>
  <c r="I1382" i="16"/>
  <c r="G1382" i="16"/>
  <c r="B1383" i="16"/>
  <c r="E1382" i="16"/>
  <c r="C1382" i="16"/>
  <c r="P1381" i="16"/>
  <c r="Q1381" i="16"/>
  <c r="R1381" i="16"/>
  <c r="U1326" i="16"/>
  <c r="S1326" i="16"/>
  <c r="T1326" i="16" s="1"/>
  <c r="L1328" i="16"/>
  <c r="G1328" i="16"/>
  <c r="E1328" i="16"/>
  <c r="C1328" i="16"/>
  <c r="B1329" i="16"/>
  <c r="I1328" i="16"/>
  <c r="J1327" i="16"/>
  <c r="D1327" i="16"/>
  <c r="P1327" i="16"/>
  <c r="Q1327" i="16"/>
  <c r="R1327" i="16"/>
  <c r="U1272" i="16"/>
  <c r="S1272" i="16"/>
  <c r="T1272" i="16" s="1"/>
  <c r="M1273" i="16"/>
  <c r="L1274" i="16"/>
  <c r="E1274" i="16"/>
  <c r="I1274" i="16"/>
  <c r="C1274" i="16"/>
  <c r="K1274" i="16" s="1"/>
  <c r="G1274" i="16"/>
  <c r="F1274" i="16"/>
  <c r="O1274" i="16" s="1"/>
  <c r="B1275" i="16"/>
  <c r="P1273" i="16"/>
  <c r="Q1273" i="16"/>
  <c r="R1273" i="16"/>
  <c r="J1273" i="16"/>
  <c r="N1273" i="16" s="1"/>
  <c r="D1273" i="16"/>
  <c r="L1220" i="16"/>
  <c r="G1220" i="16"/>
  <c r="C1220" i="16"/>
  <c r="K1220" i="16" s="1"/>
  <c r="E1220" i="16"/>
  <c r="F1220" i="16"/>
  <c r="O1220" i="16" s="1"/>
  <c r="B1221" i="16"/>
  <c r="I1220" i="16"/>
  <c r="J1219" i="16"/>
  <c r="D1219" i="16"/>
  <c r="P1219" i="16"/>
  <c r="Q1219" i="16"/>
  <c r="R1219" i="16"/>
  <c r="U1218" i="16"/>
  <c r="S1218" i="16"/>
  <c r="T1218" i="16" s="1"/>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K1058" i="16" s="1"/>
  <c r="E1058" i="16"/>
  <c r="F1058" i="16"/>
  <c r="O1058" i="16" s="1"/>
  <c r="G1058" i="16"/>
  <c r="I1058" i="16"/>
  <c r="B1059" i="16"/>
  <c r="U1002" i="16"/>
  <c r="S1002" i="16"/>
  <c r="T1002" i="16" s="1"/>
  <c r="P1003" i="16"/>
  <c r="Q1003" i="16"/>
  <c r="R1003" i="16"/>
  <c r="D1003" i="16"/>
  <c r="J1003" i="16"/>
  <c r="L1004" i="16"/>
  <c r="G1004" i="16"/>
  <c r="B1005" i="16"/>
  <c r="I1004" i="16"/>
  <c r="E1004" i="16"/>
  <c r="C1004" i="16"/>
  <c r="U948" i="16"/>
  <c r="S948" i="16"/>
  <c r="T948" i="16" s="1"/>
  <c r="M949" i="16"/>
  <c r="D949" i="16"/>
  <c r="J949" i="16"/>
  <c r="N949" i="16" s="1"/>
  <c r="P949" i="16"/>
  <c r="Q949" i="16"/>
  <c r="R949" i="16"/>
  <c r="L950" i="16"/>
  <c r="C950" i="16"/>
  <c r="E950" i="16"/>
  <c r="G950" i="16"/>
  <c r="I950" i="16"/>
  <c r="B951" i="16"/>
  <c r="U894" i="16"/>
  <c r="S894" i="16"/>
  <c r="T894" i="16" s="1"/>
  <c r="M895" i="16"/>
  <c r="D895" i="16"/>
  <c r="J895" i="16"/>
  <c r="N895" i="16" s="1"/>
  <c r="P895" i="16"/>
  <c r="Q895" i="16"/>
  <c r="R895" i="16"/>
  <c r="L896" i="16"/>
  <c r="C896" i="16"/>
  <c r="E896" i="16"/>
  <c r="G896" i="16"/>
  <c r="I896" i="16"/>
  <c r="B897" i="16"/>
  <c r="U840" i="16"/>
  <c r="S840" i="16"/>
  <c r="T840" i="16" s="1"/>
  <c r="M841" i="16"/>
  <c r="D841" i="16"/>
  <c r="J841" i="16"/>
  <c r="N841" i="16" s="1"/>
  <c r="P841" i="16"/>
  <c r="Q841" i="16"/>
  <c r="R841" i="16"/>
  <c r="L842" i="16"/>
  <c r="C842" i="16"/>
  <c r="E842" i="16"/>
  <c r="G842" i="16"/>
  <c r="I842" i="16"/>
  <c r="B843" i="16"/>
  <c r="U786" i="16"/>
  <c r="S786" i="16"/>
  <c r="T786" i="16" s="1"/>
  <c r="N787" i="16"/>
  <c r="M787" i="16"/>
  <c r="D787" i="16"/>
  <c r="J787" i="16"/>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E626" i="16"/>
  <c r="G626" i="16"/>
  <c r="I626" i="16"/>
  <c r="B627" i="16"/>
  <c r="P571" i="16"/>
  <c r="Q571" i="16"/>
  <c r="R571" i="16"/>
  <c r="D571" i="16"/>
  <c r="J571" i="16"/>
  <c r="L572" i="16"/>
  <c r="G572" i="16"/>
  <c r="C572" i="16"/>
  <c r="E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M409" i="16"/>
  <c r="D409" i="16"/>
  <c r="J409" i="16"/>
  <c r="N409" i="16" s="1"/>
  <c r="P409" i="16"/>
  <c r="Q409" i="16"/>
  <c r="R409" i="16"/>
  <c r="L410" i="16"/>
  <c r="C410" i="16"/>
  <c r="E410" i="16"/>
  <c r="G410" i="16"/>
  <c r="I410" i="16"/>
  <c r="B411" i="16"/>
  <c r="U354" i="16"/>
  <c r="S354" i="16"/>
  <c r="T354" i="16" s="1"/>
  <c r="M355" i="16"/>
  <c r="D355" i="16"/>
  <c r="J355" i="16"/>
  <c r="N355" i="16" s="1"/>
  <c r="P355" i="16"/>
  <c r="Q355" i="16"/>
  <c r="R355" i="16"/>
  <c r="L356" i="16"/>
  <c r="C356" i="16"/>
  <c r="E356" i="16"/>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K248" i="16" s="1"/>
  <c r="E248" i="16"/>
  <c r="F248" i="16"/>
  <c r="O248" i="16" s="1"/>
  <c r="G248" i="16"/>
  <c r="I248" i="16"/>
  <c r="B249" i="16"/>
  <c r="U192" i="16"/>
  <c r="S192" i="16"/>
  <c r="T192" i="16" s="1"/>
  <c r="M193" i="16"/>
  <c r="D193" i="16"/>
  <c r="J193" i="16"/>
  <c r="N193" i="16" s="1"/>
  <c r="P193" i="16"/>
  <c r="Q193" i="16"/>
  <c r="R193" i="16"/>
  <c r="L194" i="16"/>
  <c r="G194" i="16"/>
  <c r="I194" i="16"/>
  <c r="B195" i="16"/>
  <c r="C194" i="16"/>
  <c r="E194" i="16"/>
  <c r="U138" i="16"/>
  <c r="S138" i="16"/>
  <c r="T138" i="16" s="1"/>
  <c r="M139" i="16"/>
  <c r="P139" i="16"/>
  <c r="Q139" i="16"/>
  <c r="R139" i="16"/>
  <c r="D139" i="16"/>
  <c r="J139" i="16"/>
  <c r="N139" i="16" s="1"/>
  <c r="L140" i="16"/>
  <c r="G140" i="16"/>
  <c r="B141" i="16"/>
  <c r="I140" i="16"/>
  <c r="C140" i="16"/>
  <c r="E140" i="16"/>
  <c r="U84" i="16"/>
  <c r="S84" i="16"/>
  <c r="T84" i="16" s="1"/>
  <c r="D85" i="16"/>
  <c r="M85" i="16" s="1"/>
  <c r="J85" i="16"/>
  <c r="P85" i="16"/>
  <c r="Q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K24" i="4" s="1"/>
  <c r="E24" i="4"/>
  <c r="F24" i="4"/>
  <c r="C24" i="5" s="1"/>
  <c r="E24" i="5" s="1"/>
  <c r="O24" i="4" s="1"/>
  <c r="G24" i="4"/>
  <c r="I24" i="4"/>
  <c r="B25" i="4"/>
  <c r="B24" i="5"/>
  <c r="AD16" i="4"/>
  <c r="B71" i="7"/>
  <c r="I71" i="7" s="1"/>
  <c r="AD15" i="4"/>
  <c r="AC17" i="4"/>
  <c r="AC18" i="4"/>
  <c r="AC19" i="4"/>
  <c r="AC20" i="4"/>
  <c r="AC21" i="4"/>
  <c r="AC22" i="4"/>
  <c r="AC23" i="4"/>
  <c r="AC24" i="4"/>
  <c r="U4055" i="16"/>
  <c r="S4055" i="16"/>
  <c r="T4055" i="16" s="1"/>
  <c r="U3701" i="16"/>
  <c r="S3701" i="16"/>
  <c r="T3701" i="16" s="1"/>
  <c r="U3647" i="16"/>
  <c r="S3647" i="16"/>
  <c r="T3647" i="16" s="1"/>
  <c r="U3593" i="16"/>
  <c r="S3593" i="16"/>
  <c r="T3593" i="16" s="1"/>
  <c r="U3377" i="16"/>
  <c r="S3377" i="16"/>
  <c r="T3377" i="16" s="1"/>
  <c r="U3323" i="16"/>
  <c r="S3323" i="16"/>
  <c r="T3323" i="16" s="1"/>
  <c r="S3215" i="16"/>
  <c r="T3215" i="16" s="1"/>
  <c r="U3215" i="16"/>
  <c r="U3107" i="16"/>
  <c r="S3107" i="16"/>
  <c r="T3107" i="16" s="1"/>
  <c r="U2891" i="16"/>
  <c r="S2891" i="16"/>
  <c r="T2891" i="16" s="1"/>
  <c r="U2729" i="16"/>
  <c r="S2729" i="16"/>
  <c r="T2729" i="16" s="1"/>
  <c r="U2675" i="16"/>
  <c r="S2675" i="16"/>
  <c r="T2675" i="16" s="1"/>
  <c r="U2621" i="16"/>
  <c r="S2621" i="16"/>
  <c r="T2621" i="16" s="1"/>
  <c r="U2567" i="16"/>
  <c r="S2567" i="16"/>
  <c r="T2567" i="16" s="1"/>
  <c r="U2351" i="16"/>
  <c r="S2351" i="16"/>
  <c r="T2351" i="16" s="1"/>
  <c r="U1487" i="16"/>
  <c r="S1487" i="16"/>
  <c r="T1487" i="16" s="1"/>
  <c r="U1379" i="16"/>
  <c r="S1379" i="16"/>
  <c r="T1379" i="16" s="1"/>
  <c r="U1325" i="16"/>
  <c r="S1325" i="16"/>
  <c r="T1325" i="16" s="1"/>
  <c r="U1271" i="16"/>
  <c r="S1271" i="16"/>
  <c r="T1271" i="16" s="1"/>
  <c r="U1217" i="16"/>
  <c r="S1217" i="16"/>
  <c r="T1217" i="16" s="1"/>
  <c r="U893" i="16"/>
  <c r="S893" i="16"/>
  <c r="T893" i="16" s="1"/>
  <c r="U839" i="16"/>
  <c r="S839" i="16"/>
  <c r="T839" i="16" s="1"/>
  <c r="U785" i="16"/>
  <c r="S785" i="16"/>
  <c r="T785" i="16" s="1"/>
  <c r="U623" i="16"/>
  <c r="S623" i="16"/>
  <c r="T623" i="16" s="1"/>
  <c r="U191" i="16"/>
  <c r="S191" i="16"/>
  <c r="T191" i="16" s="1"/>
  <c r="U137" i="16"/>
  <c r="S137" i="16"/>
  <c r="T137" i="16" s="1"/>
  <c r="M4572" i="16"/>
  <c r="N4572" i="16"/>
  <c r="M3540" i="16"/>
  <c r="N3540" i="16"/>
  <c r="M3270" i="16"/>
  <c r="N3270" i="16"/>
  <c r="M3216" i="16"/>
  <c r="N3216" i="16"/>
  <c r="N3108" i="16"/>
  <c r="M3108" i="16"/>
  <c r="M3054" i="16"/>
  <c r="N3054" i="16"/>
  <c r="N2784" i="16"/>
  <c r="S2784" i="16" s="1"/>
  <c r="T2784" i="16" s="1"/>
  <c r="U2784" i="16" s="1"/>
  <c r="M2784" i="16"/>
  <c r="N2730" i="16"/>
  <c r="M2730" i="16"/>
  <c r="N2352" i="16"/>
  <c r="M2352" i="16"/>
  <c r="M2136" i="16"/>
  <c r="N2136" i="16"/>
  <c r="M1704" i="16"/>
  <c r="N1704" i="16"/>
  <c r="M1488" i="16"/>
  <c r="N1488" i="16"/>
  <c r="N1380" i="16"/>
  <c r="M1380" i="16"/>
  <c r="M570" i="16"/>
  <c r="N570" i="16"/>
  <c r="M408" i="16"/>
  <c r="N408" i="16"/>
  <c r="K4573" i="16"/>
  <c r="F4573" i="16"/>
  <c r="K4519" i="16"/>
  <c r="F4519" i="16"/>
  <c r="K4165" i="16"/>
  <c r="F4165" i="16"/>
  <c r="O4165" i="16" s="1"/>
  <c r="F4111" i="16"/>
  <c r="O4111" i="16" s="1"/>
  <c r="K4111" i="16"/>
  <c r="K3487" i="16"/>
  <c r="F3487" i="16"/>
  <c r="O3487" i="16" s="1"/>
  <c r="F3379" i="16"/>
  <c r="O3379" i="16" s="1"/>
  <c r="K3379" i="16"/>
  <c r="K3325" i="16"/>
  <c r="F3325" i="16"/>
  <c r="O3325" i="16" s="1"/>
  <c r="K3217" i="16"/>
  <c r="F3217" i="16"/>
  <c r="O3217" i="16" s="1"/>
  <c r="F2893" i="16"/>
  <c r="O2893" i="16" s="1"/>
  <c r="K2893" i="16"/>
  <c r="F2731" i="16"/>
  <c r="O2731" i="16" s="1"/>
  <c r="K2731" i="16"/>
  <c r="K2623" i="16"/>
  <c r="F2623" i="16"/>
  <c r="O2623" i="16" s="1"/>
  <c r="F2461" i="16"/>
  <c r="O2461" i="16" s="1"/>
  <c r="K2461" i="16"/>
  <c r="F2353" i="16"/>
  <c r="O2353" i="16" s="1"/>
  <c r="K2353" i="16"/>
  <c r="K1705" i="16"/>
  <c r="F1705" i="16"/>
  <c r="O1705" i="16" s="1"/>
  <c r="F1489" i="16"/>
  <c r="O1489" i="16" s="1"/>
  <c r="K1489" i="16"/>
  <c r="K1327" i="16"/>
  <c r="F1327" i="16"/>
  <c r="O1327" i="16" s="1"/>
  <c r="F1219" i="16"/>
  <c r="O1219" i="16" s="1"/>
  <c r="K1219" i="16"/>
  <c r="K1003" i="16"/>
  <c r="F1003" i="16"/>
  <c r="O1003" i="16" s="1"/>
  <c r="K571" i="16"/>
  <c r="F571" i="16"/>
  <c r="O571" i="16" s="1"/>
  <c r="N4219" i="16" l="1"/>
  <c r="N4057" i="16"/>
  <c r="N85" i="16"/>
  <c r="N23" i="4"/>
  <c r="N4681" i="16"/>
  <c r="K3326" i="16"/>
  <c r="F3326" i="16"/>
  <c r="O3326" i="16" s="1"/>
  <c r="K2624" i="16"/>
  <c r="F2624" i="16"/>
  <c r="O2624" i="16" s="1"/>
  <c r="K1436" i="16"/>
  <c r="F1436" i="16"/>
  <c r="O1436" i="16" s="1"/>
  <c r="K572" i="16"/>
  <c r="F572" i="16"/>
  <c r="O572" i="16" s="1"/>
  <c r="T4680" i="16"/>
  <c r="U4681" i="16"/>
  <c r="S4681" i="16"/>
  <c r="D4682" i="16"/>
  <c r="J4682" i="16"/>
  <c r="P4682" i="16"/>
  <c r="Q4682" i="16"/>
  <c r="R4682" i="16"/>
  <c r="L4683" i="16"/>
  <c r="C4683" i="16"/>
  <c r="K4683" i="16" s="1"/>
  <c r="E4683" i="16"/>
  <c r="F4683" i="16"/>
  <c r="G4683" i="16"/>
  <c r="I4683" i="16"/>
  <c r="B4684" i="16"/>
  <c r="P4628" i="16"/>
  <c r="Q4628" i="16"/>
  <c r="R4628" i="16"/>
  <c r="C4629" i="16"/>
  <c r="E4629" i="16"/>
  <c r="G4629" i="16"/>
  <c r="B4630" i="16"/>
  <c r="M4574" i="16"/>
  <c r="D4574" i="16"/>
  <c r="J4574" i="16"/>
  <c r="N4574" i="16" s="1"/>
  <c r="P4574" i="16"/>
  <c r="Q4574" i="16"/>
  <c r="R4574" i="16"/>
  <c r="L4575" i="16"/>
  <c r="C4575" i="16"/>
  <c r="E4575" i="16"/>
  <c r="G4575" i="16"/>
  <c r="I4575" i="16"/>
  <c r="B4576" i="16"/>
  <c r="D4520" i="16"/>
  <c r="J4520" i="16"/>
  <c r="N4520" i="16" s="1"/>
  <c r="P4520" i="16"/>
  <c r="Q4520" i="16"/>
  <c r="R4520" i="16"/>
  <c r="C4521" i="16"/>
  <c r="E4521" i="16"/>
  <c r="F4521" i="16"/>
  <c r="G4521" i="16"/>
  <c r="L4521" i="16"/>
  <c r="B4522" i="16"/>
  <c r="I4521" i="16"/>
  <c r="K4521" i="16"/>
  <c r="M4520" i="16"/>
  <c r="U4219" i="16"/>
  <c r="S4219" i="16"/>
  <c r="T4219" i="16" s="1"/>
  <c r="M4220" i="16"/>
  <c r="D4220" i="16"/>
  <c r="J4220" i="16"/>
  <c r="N4220" i="16" s="1"/>
  <c r="P4220" i="16"/>
  <c r="Q4220" i="16"/>
  <c r="R4220" i="16"/>
  <c r="L4221" i="16"/>
  <c r="C4221" i="16"/>
  <c r="E4221" i="16"/>
  <c r="G4221" i="16"/>
  <c r="I4221" i="16"/>
  <c r="B4222" i="16"/>
  <c r="P4166" i="16"/>
  <c r="Q4166" i="16"/>
  <c r="R4166" i="16"/>
  <c r="J4166" i="16"/>
  <c r="D4166" i="16"/>
  <c r="C4167" i="16"/>
  <c r="E4167" i="16"/>
  <c r="F4167" i="16"/>
  <c r="O4167" i="16" s="1"/>
  <c r="G4167" i="16"/>
  <c r="L4167" i="16"/>
  <c r="I4167" i="16"/>
  <c r="K4167" i="16"/>
  <c r="B4168" i="16"/>
  <c r="M4112" i="16"/>
  <c r="D4112" i="16"/>
  <c r="J4112" i="16"/>
  <c r="N4112" i="16" s="1"/>
  <c r="P4112" i="16"/>
  <c r="Q4112" i="16"/>
  <c r="R4112" i="16"/>
  <c r="E4113" i="16"/>
  <c r="C4113" i="16"/>
  <c r="K4113" i="16" s="1"/>
  <c r="F4113" i="16"/>
  <c r="O4113" i="16" s="1"/>
  <c r="G4113" i="16"/>
  <c r="L4113" i="16"/>
  <c r="B4114" i="16"/>
  <c r="I4113"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M3758" i="16"/>
  <c r="D3758" i="16"/>
  <c r="J3758" i="16"/>
  <c r="N3758" i="16" s="1"/>
  <c r="P3758" i="16"/>
  <c r="Q3758" i="16"/>
  <c r="R3758" i="16"/>
  <c r="L3759" i="16"/>
  <c r="C3759" i="16"/>
  <c r="E3759" i="16"/>
  <c r="G3759" i="16"/>
  <c r="I3759" i="16"/>
  <c r="B3760" i="16"/>
  <c r="U3703" i="16"/>
  <c r="S3703" i="16"/>
  <c r="T3703" i="16" s="1"/>
  <c r="D3704" i="16"/>
  <c r="J3704" i="16"/>
  <c r="P3704" i="16"/>
  <c r="Q3704" i="16"/>
  <c r="R3704" i="16"/>
  <c r="L3705" i="16"/>
  <c r="C3705" i="16"/>
  <c r="K3705" i="16" s="1"/>
  <c r="E3705" i="16"/>
  <c r="F3705" i="16"/>
  <c r="O3705" i="16" s="1"/>
  <c r="G3705" i="16"/>
  <c r="I3705" i="16"/>
  <c r="B3706" i="16"/>
  <c r="U3649" i="16"/>
  <c r="S3649" i="16"/>
  <c r="T3649" i="16" s="1"/>
  <c r="D3650" i="16"/>
  <c r="J3650" i="16"/>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M3488" i="16"/>
  <c r="D3488" i="16"/>
  <c r="J3488" i="16"/>
  <c r="N3488" i="16" s="1"/>
  <c r="P3488" i="16"/>
  <c r="Q3488" i="16"/>
  <c r="R3488" i="16"/>
  <c r="L3489" i="16"/>
  <c r="C3489" i="16"/>
  <c r="K3489" i="16" s="1"/>
  <c r="E3489" i="16"/>
  <c r="F3489" i="16"/>
  <c r="O3489" i="16" s="1"/>
  <c r="G3489" i="16"/>
  <c r="B3490" i="16"/>
  <c r="I3489" i="16"/>
  <c r="U3433" i="16"/>
  <c r="S3433" i="16"/>
  <c r="T3433" i="16" s="1"/>
  <c r="M3434" i="16"/>
  <c r="D3434" i="16"/>
  <c r="J3434" i="16"/>
  <c r="N3434" i="16" s="1"/>
  <c r="P3434" i="16"/>
  <c r="Q3434" i="16"/>
  <c r="R3434" i="16"/>
  <c r="L3435" i="16"/>
  <c r="C3435" i="16"/>
  <c r="E3435" i="16"/>
  <c r="G3435" i="16"/>
  <c r="I3435" i="16"/>
  <c r="B3436" i="16"/>
  <c r="M3380" i="16"/>
  <c r="D3380" i="16"/>
  <c r="J3380" i="16"/>
  <c r="N3380" i="16" s="1"/>
  <c r="P3380" i="16"/>
  <c r="Q3380" i="16"/>
  <c r="R3380" i="16"/>
  <c r="L3381" i="16"/>
  <c r="C3381" i="16"/>
  <c r="K3381" i="16" s="1"/>
  <c r="E3381" i="16"/>
  <c r="F3381" i="16"/>
  <c r="O3381" i="16" s="1"/>
  <c r="G3381" i="16"/>
  <c r="I3381" i="16"/>
  <c r="B3382" i="16"/>
  <c r="M3326" i="16"/>
  <c r="D3326" i="16"/>
  <c r="J3326" i="16"/>
  <c r="N3326" i="16" s="1"/>
  <c r="P3326" i="16"/>
  <c r="Q3326" i="16"/>
  <c r="R3326" i="16"/>
  <c r="L3327" i="16"/>
  <c r="C3327" i="16"/>
  <c r="K3327" i="16" s="1"/>
  <c r="E3327" i="16"/>
  <c r="F3327" i="16"/>
  <c r="O3327" i="16" s="1"/>
  <c r="G3327" i="16"/>
  <c r="I3327" i="16"/>
  <c r="B3328" i="16"/>
  <c r="U3271" i="16"/>
  <c r="S3271" i="16"/>
  <c r="T3271" i="16" s="1"/>
  <c r="D3272" i="16"/>
  <c r="J3272" i="16"/>
  <c r="P3272" i="16"/>
  <c r="Q3272" i="16"/>
  <c r="R3272" i="16"/>
  <c r="L3273" i="16"/>
  <c r="C3273" i="16"/>
  <c r="K3273" i="16" s="1"/>
  <c r="E3273" i="16"/>
  <c r="F3273" i="16"/>
  <c r="O3273" i="16" s="1"/>
  <c r="G3273" i="16"/>
  <c r="I3273" i="16"/>
  <c r="B3274" i="16"/>
  <c r="P3218" i="16"/>
  <c r="Q3218" i="16"/>
  <c r="R3218" i="16"/>
  <c r="L3219" i="16"/>
  <c r="G3219" i="16"/>
  <c r="I3219" i="16"/>
  <c r="B3220" i="16"/>
  <c r="C3219" i="16"/>
  <c r="E3219" i="16"/>
  <c r="D3218" i="16"/>
  <c r="J3218" i="16"/>
  <c r="U3163" i="16"/>
  <c r="S3163" i="16"/>
  <c r="T3163" i="16" s="1"/>
  <c r="M3164" i="16"/>
  <c r="D3164" i="16"/>
  <c r="J3164" i="16"/>
  <c r="N3164" i="16" s="1"/>
  <c r="P3164" i="16"/>
  <c r="Q3164" i="16"/>
  <c r="R3164" i="16"/>
  <c r="L3165" i="16"/>
  <c r="C3165" i="16"/>
  <c r="K3165" i="16" s="1"/>
  <c r="E3165" i="16"/>
  <c r="F3165" i="16"/>
  <c r="O3165" i="16" s="1"/>
  <c r="G3165" i="16"/>
  <c r="I3165" i="16"/>
  <c r="B3166" i="16"/>
  <c r="U3109" i="16"/>
  <c r="S3109" i="16"/>
  <c r="T3109" i="16" s="1"/>
  <c r="P3110" i="16"/>
  <c r="Q3110" i="16"/>
  <c r="R3110" i="16"/>
  <c r="L3111" i="16"/>
  <c r="E3111" i="16"/>
  <c r="I3111" i="16"/>
  <c r="C3111" i="16"/>
  <c r="K3111" i="16" s="1"/>
  <c r="F3111" i="16"/>
  <c r="O3111" i="16" s="1"/>
  <c r="G3111" i="16"/>
  <c r="B3112" i="16"/>
  <c r="D3110" i="16"/>
  <c r="J3110" i="16"/>
  <c r="U3055" i="16"/>
  <c r="S3055" i="16"/>
  <c r="T3055" i="16" s="1"/>
  <c r="D3056" i="16"/>
  <c r="J3056" i="16"/>
  <c r="P3056" i="16"/>
  <c r="Q3056" i="16"/>
  <c r="R3056" i="16"/>
  <c r="L3057" i="16"/>
  <c r="E3057" i="16"/>
  <c r="G3057" i="16"/>
  <c r="I3057" i="16"/>
  <c r="B3058" i="16"/>
  <c r="C3057" i="16"/>
  <c r="K3057" i="16" s="1"/>
  <c r="F3057" i="16"/>
  <c r="O3057" i="16" s="1"/>
  <c r="U3001" i="16"/>
  <c r="S3001" i="16"/>
  <c r="T3001" i="16" s="1"/>
  <c r="M3002" i="16"/>
  <c r="D3002" i="16"/>
  <c r="J3002" i="16"/>
  <c r="N3002" i="16" s="1"/>
  <c r="P3002" i="16"/>
  <c r="Q3002" i="16"/>
  <c r="R3002" i="16"/>
  <c r="L3003" i="16"/>
  <c r="E3003" i="16"/>
  <c r="C3003" i="16"/>
  <c r="K3003" i="16" s="1"/>
  <c r="F3003" i="16"/>
  <c r="O3003" i="16" s="1"/>
  <c r="G3003" i="16"/>
  <c r="B3004" i="16"/>
  <c r="I3003" i="16"/>
  <c r="U2947" i="16"/>
  <c r="S2947" i="16"/>
  <c r="T2947" i="16" s="1"/>
  <c r="M2948" i="16"/>
  <c r="D2948" i="16"/>
  <c r="J2948" i="16"/>
  <c r="N2948" i="16" s="1"/>
  <c r="P2948" i="16"/>
  <c r="Q2948" i="16"/>
  <c r="R2948" i="16"/>
  <c r="L2949" i="16"/>
  <c r="C2949" i="16"/>
  <c r="E2949" i="16"/>
  <c r="G2949" i="16"/>
  <c r="I2949" i="16"/>
  <c r="B2950" i="16"/>
  <c r="M2894" i="16"/>
  <c r="D2894" i="16"/>
  <c r="J2894" i="16"/>
  <c r="N2894" i="16" s="1"/>
  <c r="P2894" i="16"/>
  <c r="Q2894" i="16"/>
  <c r="R2894" i="16"/>
  <c r="L2895" i="16"/>
  <c r="C2895" i="16"/>
  <c r="E2895" i="16"/>
  <c r="G2895" i="16"/>
  <c r="I2895" i="16"/>
  <c r="B2896" i="16"/>
  <c r="U2839" i="16"/>
  <c r="S2839" i="16"/>
  <c r="T2839" i="16" s="1"/>
  <c r="D2840" i="16"/>
  <c r="J2840" i="16"/>
  <c r="P2840" i="16"/>
  <c r="Q2840" i="16"/>
  <c r="R2840" i="16"/>
  <c r="L2841" i="16"/>
  <c r="C2841" i="16"/>
  <c r="E2841" i="16"/>
  <c r="G2841" i="16"/>
  <c r="I2841" i="16"/>
  <c r="B2842" i="16"/>
  <c r="L2787" i="16"/>
  <c r="B2788" i="16"/>
  <c r="E2787" i="16"/>
  <c r="G2787" i="16"/>
  <c r="C2787" i="16"/>
  <c r="I2787" i="16"/>
  <c r="D2786" i="16"/>
  <c r="J2786" i="16"/>
  <c r="P2786" i="16"/>
  <c r="Q2786" i="16"/>
  <c r="R2786" i="16"/>
  <c r="L2733" i="16"/>
  <c r="C2733" i="16"/>
  <c r="K2733" i="16" s="1"/>
  <c r="E2733" i="16"/>
  <c r="F2733" i="16"/>
  <c r="O2733" i="16" s="1"/>
  <c r="G2733" i="16"/>
  <c r="I2733" i="16"/>
  <c r="B2734" i="16"/>
  <c r="D2732" i="16"/>
  <c r="J2732" i="16"/>
  <c r="P2732" i="16"/>
  <c r="Q2732" i="16"/>
  <c r="R2732" i="16"/>
  <c r="U2677" i="16"/>
  <c r="S2677" i="16"/>
  <c r="T2677" i="16" s="1"/>
  <c r="J2678" i="16"/>
  <c r="D2678" i="16"/>
  <c r="P2678" i="16"/>
  <c r="Q2678" i="16"/>
  <c r="R2678" i="16"/>
  <c r="L2679" i="16"/>
  <c r="B2680" i="16"/>
  <c r="G2679" i="16"/>
  <c r="I2679" i="16"/>
  <c r="E2679" i="16"/>
  <c r="C2679" i="16"/>
  <c r="M2624" i="16"/>
  <c r="D2624" i="16"/>
  <c r="J2624" i="16"/>
  <c r="N2624" i="16" s="1"/>
  <c r="L2625" i="16"/>
  <c r="I2625" i="16"/>
  <c r="E2625" i="16"/>
  <c r="C2625" i="16"/>
  <c r="G2625" i="16"/>
  <c r="B2626" i="16"/>
  <c r="P2624" i="16"/>
  <c r="Q2624" i="16"/>
  <c r="R2624" i="16"/>
  <c r="U2569" i="16"/>
  <c r="S2569" i="16"/>
  <c r="T2569" i="16" s="1"/>
  <c r="P2570" i="16"/>
  <c r="Q2570" i="16"/>
  <c r="R2570" i="16"/>
  <c r="L2571" i="16"/>
  <c r="C2571" i="16"/>
  <c r="I2571" i="16"/>
  <c r="B2572" i="16"/>
  <c r="G2571" i="16"/>
  <c r="E2571" i="16"/>
  <c r="J2570" i="16"/>
  <c r="D2570" i="16"/>
  <c r="U2515" i="16"/>
  <c r="S2515" i="16"/>
  <c r="T2515" i="16" s="1"/>
  <c r="M2516" i="16"/>
  <c r="D2516" i="16"/>
  <c r="J2516" i="16"/>
  <c r="N2516" i="16" s="1"/>
  <c r="P2516" i="16"/>
  <c r="Q2516" i="16"/>
  <c r="R2516" i="16"/>
  <c r="L2517" i="16"/>
  <c r="C2517" i="16"/>
  <c r="K2517" i="16" s="1"/>
  <c r="E2517" i="16"/>
  <c r="F2517" i="16"/>
  <c r="O2517" i="16" s="1"/>
  <c r="G2517" i="16"/>
  <c r="I2517" i="16"/>
  <c r="B2518" i="16"/>
  <c r="M2462" i="16"/>
  <c r="D2462" i="16"/>
  <c r="J2462" i="16"/>
  <c r="N2462" i="16" s="1"/>
  <c r="P2462" i="16"/>
  <c r="Q2462" i="16"/>
  <c r="R2462" i="16"/>
  <c r="L2463" i="16"/>
  <c r="C2463" i="16"/>
  <c r="K2463" i="16" s="1"/>
  <c r="E2463" i="16"/>
  <c r="F2463" i="16"/>
  <c r="O2463" i="16" s="1"/>
  <c r="G2463" i="16"/>
  <c r="I2463" i="16"/>
  <c r="B2464" i="16"/>
  <c r="U2407" i="16"/>
  <c r="S2407" i="16"/>
  <c r="T2407" i="16" s="1"/>
  <c r="M2408" i="16"/>
  <c r="D2408" i="16"/>
  <c r="J2408" i="16"/>
  <c r="N2408" i="16" s="1"/>
  <c r="P2408" i="16"/>
  <c r="Q2408" i="16"/>
  <c r="R2408" i="16"/>
  <c r="L2409" i="16"/>
  <c r="C2409" i="16"/>
  <c r="E2409" i="16"/>
  <c r="G2409" i="16"/>
  <c r="I2409" i="16"/>
  <c r="B2410" i="16"/>
  <c r="L2355" i="16"/>
  <c r="B2356" i="16"/>
  <c r="E2355" i="16"/>
  <c r="G2355" i="16"/>
  <c r="I2355" i="16"/>
  <c r="C2355" i="16"/>
  <c r="Q2354" i="16"/>
  <c r="P2354" i="16"/>
  <c r="R2354" i="16"/>
  <c r="D2354" i="16"/>
  <c r="J2354" i="16"/>
  <c r="U2299" i="16"/>
  <c r="S2299" i="16"/>
  <c r="T2299" i="16" s="1"/>
  <c r="M2300" i="16"/>
  <c r="D2300" i="16"/>
  <c r="J2300" i="16"/>
  <c r="N2300" i="16" s="1"/>
  <c r="P2300" i="16"/>
  <c r="Q2300" i="16"/>
  <c r="R2300" i="16"/>
  <c r="L2301" i="16"/>
  <c r="C2301" i="16"/>
  <c r="E2301" i="16"/>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U2137" i="16"/>
  <c r="S2137" i="16"/>
  <c r="T2137" i="16" s="1"/>
  <c r="D2138" i="16"/>
  <c r="J2138" i="16"/>
  <c r="P2138" i="16"/>
  <c r="Q2138" i="16"/>
  <c r="R2138" i="16"/>
  <c r="L2139" i="16"/>
  <c r="C2139" i="16"/>
  <c r="K2139" i="16" s="1"/>
  <c r="E2139" i="16"/>
  <c r="F2139" i="16"/>
  <c r="O2139" i="16" s="1"/>
  <c r="G2139" i="16"/>
  <c r="I2139" i="16"/>
  <c r="B2140" i="16"/>
  <c r="U2083" i="16"/>
  <c r="S2083" i="16"/>
  <c r="T2083" i="16" s="1"/>
  <c r="D2084" i="16"/>
  <c r="J2084" i="16"/>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U1867" i="16"/>
  <c r="S1867" i="16"/>
  <c r="T1867" i="16" s="1"/>
  <c r="D1868" i="16"/>
  <c r="J1868" i="16"/>
  <c r="P1868" i="16"/>
  <c r="Q1868" i="16"/>
  <c r="R1868" i="16"/>
  <c r="L1869" i="16"/>
  <c r="C1869" i="16"/>
  <c r="E1869" i="16"/>
  <c r="G1869" i="16"/>
  <c r="I1869" i="16"/>
  <c r="B1870" i="16"/>
  <c r="U1813" i="16"/>
  <c r="S1813" i="16"/>
  <c r="T1813" i="16" s="1"/>
  <c r="M1814" i="16"/>
  <c r="D1814" i="16"/>
  <c r="J1814" i="16"/>
  <c r="N1814" i="16" s="1"/>
  <c r="P1814" i="16"/>
  <c r="Q1814" i="16"/>
  <c r="R1814" i="16"/>
  <c r="L1815" i="16"/>
  <c r="C1815" i="16"/>
  <c r="K1815" i="16" s="1"/>
  <c r="E1815" i="16"/>
  <c r="F1815" i="16"/>
  <c r="O1815" i="16" s="1"/>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D1706" i="16"/>
  <c r="J1706" i="16"/>
  <c r="P1706" i="16"/>
  <c r="Q1706" i="16"/>
  <c r="R1706" i="16"/>
  <c r="L1707" i="16"/>
  <c r="C1707" i="16"/>
  <c r="K1707" i="16" s="1"/>
  <c r="E1707" i="16"/>
  <c r="F1707" i="16"/>
  <c r="O1707" i="16" s="1"/>
  <c r="G1707" i="16"/>
  <c r="I1707" i="16"/>
  <c r="B1708" i="16"/>
  <c r="U1651" i="16"/>
  <c r="S1651" i="16"/>
  <c r="T1651" i="16" s="1"/>
  <c r="D1652" i="16"/>
  <c r="J1652" i="16"/>
  <c r="P1652" i="16"/>
  <c r="Q1652" i="16"/>
  <c r="R1652" i="16"/>
  <c r="L1653" i="16"/>
  <c r="C1653" i="16"/>
  <c r="E1653" i="16"/>
  <c r="G1653" i="16"/>
  <c r="I1653" i="16"/>
  <c r="B1654" i="16"/>
  <c r="U1597" i="16"/>
  <c r="S1597" i="16"/>
  <c r="T1597" i="16" s="1"/>
  <c r="D1598" i="16"/>
  <c r="J1598" i="16"/>
  <c r="P1598" i="16"/>
  <c r="Q1598" i="16"/>
  <c r="R1598" i="16"/>
  <c r="L1599" i="16"/>
  <c r="C1599" i="16"/>
  <c r="K1599" i="16" s="1"/>
  <c r="E1599" i="16"/>
  <c r="F1599" i="16"/>
  <c r="O1599" i="16" s="1"/>
  <c r="G1599" i="16"/>
  <c r="I1599" i="16"/>
  <c r="B1600" i="16"/>
  <c r="U1543" i="16"/>
  <c r="S1543" i="16"/>
  <c r="T1543" i="16" s="1"/>
  <c r="M1544" i="16"/>
  <c r="D1544" i="16"/>
  <c r="J1544" i="16"/>
  <c r="N1544" i="16" s="1"/>
  <c r="P1544" i="16"/>
  <c r="Q1544" i="16"/>
  <c r="R1544" i="16"/>
  <c r="L1545" i="16"/>
  <c r="C1545" i="16"/>
  <c r="K1545" i="16" s="1"/>
  <c r="E1545" i="16"/>
  <c r="F1545" i="16"/>
  <c r="O1545" i="16" s="1"/>
  <c r="G1545" i="16"/>
  <c r="I1545" i="16"/>
  <c r="B1546" i="16"/>
  <c r="M1490" i="16"/>
  <c r="J1490" i="16"/>
  <c r="N1490" i="16" s="1"/>
  <c r="D1490" i="16"/>
  <c r="P1490" i="16"/>
  <c r="Q1490" i="16"/>
  <c r="R1490" i="16"/>
  <c r="L1491" i="16"/>
  <c r="E1491" i="16"/>
  <c r="C1491" i="16"/>
  <c r="K1491" i="16" s="1"/>
  <c r="G1491" i="16"/>
  <c r="I1491" i="16"/>
  <c r="B1492" i="16"/>
  <c r="F1491" i="16"/>
  <c r="O1491" i="16" s="1"/>
  <c r="U1435" i="16"/>
  <c r="S1435" i="16"/>
  <c r="T1435" i="16" s="1"/>
  <c r="M1436" i="16"/>
  <c r="D1436" i="16"/>
  <c r="J1436" i="16"/>
  <c r="N1436" i="16" s="1"/>
  <c r="P1436" i="16"/>
  <c r="Q1436" i="16"/>
  <c r="R1436" i="16"/>
  <c r="L1437" i="16"/>
  <c r="B1438" i="16"/>
  <c r="G1437" i="16"/>
  <c r="C1437" i="16"/>
  <c r="I1437" i="16"/>
  <c r="E1437" i="16"/>
  <c r="U1381" i="16"/>
  <c r="S1381" i="16"/>
  <c r="T1381" i="16" s="1"/>
  <c r="P1382" i="16"/>
  <c r="Q1382" i="16"/>
  <c r="R1382" i="16"/>
  <c r="L1383" i="16"/>
  <c r="B1384" i="16"/>
  <c r="C1383" i="16"/>
  <c r="I1383" i="16"/>
  <c r="E1383" i="16"/>
  <c r="G1383" i="16"/>
  <c r="D1382" i="16"/>
  <c r="J1382" i="16"/>
  <c r="P1328" i="16"/>
  <c r="Q1328" i="16"/>
  <c r="R1328" i="16"/>
  <c r="D1328" i="16"/>
  <c r="J1328" i="16"/>
  <c r="L1329" i="16"/>
  <c r="E1329" i="16"/>
  <c r="I1329" i="16"/>
  <c r="B1330" i="16"/>
  <c r="C1329" i="16"/>
  <c r="G1329" i="16"/>
  <c r="U1273" i="16"/>
  <c r="S1273" i="16"/>
  <c r="T1273" i="16" s="1"/>
  <c r="M1274" i="16"/>
  <c r="D1274" i="16"/>
  <c r="J1274" i="16"/>
  <c r="N1274" i="16" s="1"/>
  <c r="P1274" i="16"/>
  <c r="Q1274" i="16"/>
  <c r="R1274" i="16"/>
  <c r="L1275" i="16"/>
  <c r="I1275" i="16"/>
  <c r="E1275" i="16"/>
  <c r="C1275" i="16"/>
  <c r="B1276" i="16"/>
  <c r="G1275" i="16"/>
  <c r="M1220" i="16"/>
  <c r="P1220" i="16"/>
  <c r="Q1220" i="16"/>
  <c r="R1220" i="16"/>
  <c r="J1220" i="16"/>
  <c r="N1220" i="16" s="1"/>
  <c r="D1220" i="16"/>
  <c r="E1221" i="16"/>
  <c r="C1221" i="16"/>
  <c r="L1221" i="16"/>
  <c r="I1221" i="16"/>
  <c r="G1221" i="16"/>
  <c r="B1222" i="16"/>
  <c r="U1165" i="16"/>
  <c r="S1165" i="16"/>
  <c r="T1165" i="16" s="1"/>
  <c r="M1166" i="16"/>
  <c r="D1166" i="16"/>
  <c r="J1166" i="16"/>
  <c r="N1166" i="16" s="1"/>
  <c r="P1166" i="16"/>
  <c r="Q1166" i="16"/>
  <c r="R1166" i="16"/>
  <c r="L1167" i="16"/>
  <c r="C1167" i="16"/>
  <c r="E1167" i="16"/>
  <c r="G1167" i="16"/>
  <c r="I1167" i="16"/>
  <c r="B1168" i="16"/>
  <c r="U1111" i="16"/>
  <c r="S1111" i="16"/>
  <c r="T1111" i="16" s="1"/>
  <c r="M1112" i="16"/>
  <c r="D1112" i="16"/>
  <c r="J1112" i="16"/>
  <c r="N1112" i="16" s="1"/>
  <c r="P1112" i="16"/>
  <c r="Q1112" i="16"/>
  <c r="R1112" i="16"/>
  <c r="L1113" i="16"/>
  <c r="C1113" i="16"/>
  <c r="E1113" i="16"/>
  <c r="G1113" i="16"/>
  <c r="I1113" i="16"/>
  <c r="B1114" i="16"/>
  <c r="U1057" i="16"/>
  <c r="S1057" i="16"/>
  <c r="T1057" i="16" s="1"/>
  <c r="M1058" i="16"/>
  <c r="D1058" i="16"/>
  <c r="J1058" i="16"/>
  <c r="N1058" i="16" s="1"/>
  <c r="P1058" i="16"/>
  <c r="Q1058" i="16"/>
  <c r="R1058" i="16"/>
  <c r="L1059" i="16"/>
  <c r="C1059" i="16"/>
  <c r="K1059" i="16" s="1"/>
  <c r="E1059" i="16"/>
  <c r="F1059" i="16"/>
  <c r="O1059" i="16" s="1"/>
  <c r="G1059" i="16"/>
  <c r="I1059" i="16"/>
  <c r="B1060" i="16"/>
  <c r="P1004" i="16"/>
  <c r="Q1004" i="16"/>
  <c r="R1004" i="16"/>
  <c r="L1005" i="16"/>
  <c r="I1005" i="16"/>
  <c r="B1006" i="16"/>
  <c r="C1005" i="16"/>
  <c r="G1005" i="16"/>
  <c r="E1005" i="16"/>
  <c r="D1004" i="16"/>
  <c r="J1004" i="16"/>
  <c r="U949" i="16"/>
  <c r="S949" i="16"/>
  <c r="T949" i="16" s="1"/>
  <c r="D950" i="16"/>
  <c r="J950" i="16"/>
  <c r="P950" i="16"/>
  <c r="Q950" i="16"/>
  <c r="R950" i="16"/>
  <c r="L951" i="16"/>
  <c r="C951" i="16"/>
  <c r="E951" i="16"/>
  <c r="G951" i="16"/>
  <c r="I951" i="16"/>
  <c r="B952" i="16"/>
  <c r="U895" i="16"/>
  <c r="S895" i="16"/>
  <c r="T895" i="16" s="1"/>
  <c r="D896" i="16"/>
  <c r="J896" i="16"/>
  <c r="P896" i="16"/>
  <c r="Q896" i="16"/>
  <c r="R896" i="16"/>
  <c r="L897" i="16"/>
  <c r="C897" i="16"/>
  <c r="E897" i="16"/>
  <c r="G897" i="16"/>
  <c r="I897" i="16"/>
  <c r="B898" i="16"/>
  <c r="U841" i="16"/>
  <c r="S841" i="16"/>
  <c r="T841" i="16" s="1"/>
  <c r="D842" i="16"/>
  <c r="J842" i="16"/>
  <c r="P842" i="16"/>
  <c r="Q842" i="16"/>
  <c r="R842" i="16"/>
  <c r="L843" i="16"/>
  <c r="C843" i="16"/>
  <c r="K843" i="16" s="1"/>
  <c r="E843" i="16"/>
  <c r="F843" i="16"/>
  <c r="O843" i="16" s="1"/>
  <c r="G843" i="16"/>
  <c r="I843" i="16"/>
  <c r="B844"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D680" i="16"/>
  <c r="J680" i="16"/>
  <c r="P680" i="16"/>
  <c r="Q680" i="16"/>
  <c r="R680" i="16"/>
  <c r="L681" i="16"/>
  <c r="C681" i="16"/>
  <c r="E681" i="16"/>
  <c r="G681" i="16"/>
  <c r="I681" i="16"/>
  <c r="B682" i="16"/>
  <c r="U625" i="16"/>
  <c r="S625" i="16"/>
  <c r="T625" i="16" s="1"/>
  <c r="D626" i="16"/>
  <c r="J626" i="16"/>
  <c r="P626" i="16"/>
  <c r="Q626" i="16"/>
  <c r="R626" i="16"/>
  <c r="L627" i="16"/>
  <c r="C627" i="16"/>
  <c r="K627" i="16" s="1"/>
  <c r="E627" i="16"/>
  <c r="F627" i="16"/>
  <c r="O627" i="16" s="1"/>
  <c r="G627" i="16"/>
  <c r="I627" i="16"/>
  <c r="B628" i="16"/>
  <c r="M572" i="16"/>
  <c r="P572" i="16"/>
  <c r="Q572" i="16"/>
  <c r="R572" i="16"/>
  <c r="D572" i="16"/>
  <c r="J572" i="16"/>
  <c r="N572" i="16" s="1"/>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K465" i="16" s="1"/>
  <c r="E465" i="16"/>
  <c r="F465" i="16"/>
  <c r="O465" i="16" s="1"/>
  <c r="G465" i="16"/>
  <c r="I465" i="16"/>
  <c r="B466" i="16"/>
  <c r="U409" i="16"/>
  <c r="S409" i="16"/>
  <c r="T409" i="16" s="1"/>
  <c r="D410" i="16"/>
  <c r="J410" i="16"/>
  <c r="P410" i="16"/>
  <c r="Q410" i="16"/>
  <c r="R410" i="16"/>
  <c r="L411" i="16"/>
  <c r="C411" i="16"/>
  <c r="K411" i="16" s="1"/>
  <c r="E411" i="16"/>
  <c r="F411" i="16"/>
  <c r="O411" i="16" s="1"/>
  <c r="G411" i="16"/>
  <c r="I411" i="16"/>
  <c r="B412" i="16"/>
  <c r="U355" i="16"/>
  <c r="S355" i="16"/>
  <c r="T355" i="16" s="1"/>
  <c r="D356" i="16"/>
  <c r="J356" i="16"/>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M248" i="16"/>
  <c r="D248" i="16"/>
  <c r="J248" i="16"/>
  <c r="N248" i="16" s="1"/>
  <c r="P248" i="16"/>
  <c r="Q248" i="16"/>
  <c r="R248" i="16"/>
  <c r="L249" i="16"/>
  <c r="C249" i="16"/>
  <c r="K249" i="16" s="1"/>
  <c r="E249" i="16"/>
  <c r="F249" i="16"/>
  <c r="O249" i="16" s="1"/>
  <c r="G249" i="16"/>
  <c r="I249" i="16"/>
  <c r="B250" i="16"/>
  <c r="U193" i="16"/>
  <c r="S193" i="16"/>
  <c r="T193" i="16" s="1"/>
  <c r="P194" i="16"/>
  <c r="Q194" i="16"/>
  <c r="R194" i="16"/>
  <c r="L195" i="16"/>
  <c r="E195" i="16"/>
  <c r="I195" i="16"/>
  <c r="B196" i="16"/>
  <c r="C195" i="16"/>
  <c r="K195" i="16" s="1"/>
  <c r="F195" i="16"/>
  <c r="O195" i="16" s="1"/>
  <c r="G195" i="16"/>
  <c r="D194" i="16"/>
  <c r="J194" i="16"/>
  <c r="U139" i="16"/>
  <c r="S139" i="16"/>
  <c r="T139" i="16" s="1"/>
  <c r="P140" i="16"/>
  <c r="Q140" i="16"/>
  <c r="R140" i="16"/>
  <c r="L141" i="16"/>
  <c r="G141" i="16"/>
  <c r="B142" i="16"/>
  <c r="I141" i="16"/>
  <c r="C141" i="16"/>
  <c r="E141" i="16"/>
  <c r="D140" i="16"/>
  <c r="J140" i="16"/>
  <c r="U85" i="16"/>
  <c r="S85" i="16"/>
  <c r="T85" i="16" s="1"/>
  <c r="M86" i="16"/>
  <c r="D86" i="16"/>
  <c r="J86" i="16"/>
  <c r="N86" i="16" s="1"/>
  <c r="P86" i="16"/>
  <c r="Q86" i="16"/>
  <c r="R86" i="16"/>
  <c r="L87" i="16"/>
  <c r="C87" i="16"/>
  <c r="K87" i="16" s="1"/>
  <c r="E87" i="16"/>
  <c r="F87" i="16"/>
  <c r="O87" i="16" s="1"/>
  <c r="G87" i="16"/>
  <c r="I87" i="16"/>
  <c r="B88" i="16"/>
  <c r="U23" i="4"/>
  <c r="S23" i="4"/>
  <c r="T23" i="4" s="1"/>
  <c r="F23" i="5"/>
  <c r="G23" i="5"/>
  <c r="H23" i="5"/>
  <c r="M24" i="4"/>
  <c r="D24" i="4"/>
  <c r="J24" i="4"/>
  <c r="N24" i="4" s="1"/>
  <c r="AB24" i="4"/>
  <c r="AA24" i="4"/>
  <c r="Z24" i="4"/>
  <c r="Y24" i="4"/>
  <c r="X24" i="4"/>
  <c r="W24" i="4"/>
  <c r="P24" i="4"/>
  <c r="Q24" i="4"/>
  <c r="R24" i="4"/>
  <c r="V24" i="4"/>
  <c r="L25" i="4"/>
  <c r="C25" i="4"/>
  <c r="K25" i="4" s="1"/>
  <c r="E25" i="4"/>
  <c r="F25" i="4"/>
  <c r="C25" i="5" s="1"/>
  <c r="E25" i="5" s="1"/>
  <c r="O25" i="4" s="1"/>
  <c r="G25" i="4"/>
  <c r="AD25" i="4" s="1"/>
  <c r="I25" i="4"/>
  <c r="B26" i="4"/>
  <c r="B25" i="5"/>
  <c r="AE16" i="4"/>
  <c r="B72" i="7"/>
  <c r="I72" i="7" s="1"/>
  <c r="AE15" i="4"/>
  <c r="AD17" i="4"/>
  <c r="AD18" i="4"/>
  <c r="AD19" i="4"/>
  <c r="AD20" i="4"/>
  <c r="AD21" i="4"/>
  <c r="AD22" i="4"/>
  <c r="AD23" i="4"/>
  <c r="AD24" i="4"/>
  <c r="U3540" i="16"/>
  <c r="S3540" i="16"/>
  <c r="T3540" i="16" s="1"/>
  <c r="U3270" i="16"/>
  <c r="S3270" i="16"/>
  <c r="T3270" i="16" s="1"/>
  <c r="U3216" i="16"/>
  <c r="S3216" i="16"/>
  <c r="T3216" i="16" s="1"/>
  <c r="U3108" i="16"/>
  <c r="S3108" i="16"/>
  <c r="T3108" i="16" s="1"/>
  <c r="U3054" i="16"/>
  <c r="S3054" i="16"/>
  <c r="T3054" i="16" s="1"/>
  <c r="U2730" i="16"/>
  <c r="S2730" i="16"/>
  <c r="T2730" i="16" s="1"/>
  <c r="U2352" i="16"/>
  <c r="S2352" i="16"/>
  <c r="T2352" i="16" s="1"/>
  <c r="U2136" i="16"/>
  <c r="S2136" i="16"/>
  <c r="T2136" i="16" s="1"/>
  <c r="U1704" i="16"/>
  <c r="S1704" i="16"/>
  <c r="T1704" i="16" s="1"/>
  <c r="U1488" i="16"/>
  <c r="S1488" i="16"/>
  <c r="T1488" i="16" s="1"/>
  <c r="U1380" i="16"/>
  <c r="S1380" i="16"/>
  <c r="T1380" i="16" s="1"/>
  <c r="U570" i="16"/>
  <c r="S570" i="16"/>
  <c r="T570" i="16" s="1"/>
  <c r="U408" i="16"/>
  <c r="S408" i="16"/>
  <c r="T408" i="16" s="1"/>
  <c r="M4573" i="16"/>
  <c r="N4573" i="16"/>
  <c r="M4519" i="16"/>
  <c r="N4519" i="16" s="1"/>
  <c r="M4165" i="16"/>
  <c r="N4165" i="16"/>
  <c r="M4111" i="16"/>
  <c r="N4111" i="16"/>
  <c r="N3487" i="16"/>
  <c r="M3487" i="16"/>
  <c r="M3379" i="16"/>
  <c r="N3379" i="16"/>
  <c r="M3325" i="16"/>
  <c r="N3325" i="16"/>
  <c r="M3217" i="16"/>
  <c r="N3217" i="16"/>
  <c r="M2893" i="16"/>
  <c r="N2893" i="16"/>
  <c r="M2731" i="16"/>
  <c r="N2731" i="16"/>
  <c r="N2623" i="16"/>
  <c r="M2623" i="16"/>
  <c r="M2461" i="16"/>
  <c r="N2461" i="16"/>
  <c r="N2353" i="16"/>
  <c r="M2353" i="16"/>
  <c r="M1705" i="16"/>
  <c r="N1705" i="16"/>
  <c r="N1489" i="16"/>
  <c r="M1489" i="16"/>
  <c r="M1327" i="16"/>
  <c r="N1327" i="16"/>
  <c r="N1219" i="16"/>
  <c r="M1219" i="16"/>
  <c r="N1003" i="16"/>
  <c r="M1003" i="16"/>
  <c r="M571" i="16"/>
  <c r="N571" i="16"/>
  <c r="K4682" i="16"/>
  <c r="F4682" i="16"/>
  <c r="K4166" i="16"/>
  <c r="F4166" i="16"/>
  <c r="O4166" i="16" s="1"/>
  <c r="F3704" i="16"/>
  <c r="O3704" i="16" s="1"/>
  <c r="K3704" i="16"/>
  <c r="F3650" i="16"/>
  <c r="O3650" i="16" s="1"/>
  <c r="K3650" i="16"/>
  <c r="F3272" i="16"/>
  <c r="O3272" i="16" s="1"/>
  <c r="K3272" i="16"/>
  <c r="K3218" i="16"/>
  <c r="F3218" i="16"/>
  <c r="O3218" i="16" s="1"/>
  <c r="K3110" i="16"/>
  <c r="F3110" i="16"/>
  <c r="O3110" i="16" s="1"/>
  <c r="F3056" i="16"/>
  <c r="O3056" i="16" s="1"/>
  <c r="K3056" i="16"/>
  <c r="F2840" i="16"/>
  <c r="O2840" i="16" s="1"/>
  <c r="K2840" i="16"/>
  <c r="F2786" i="16"/>
  <c r="O2786" i="16" s="1"/>
  <c r="K2786" i="16"/>
  <c r="F2732" i="16"/>
  <c r="O2732" i="16" s="1"/>
  <c r="K2732" i="16"/>
  <c r="F2678" i="16"/>
  <c r="O2678" i="16" s="1"/>
  <c r="K2678" i="16"/>
  <c r="K2570" i="16"/>
  <c r="F2570" i="16"/>
  <c r="O2570" i="16" s="1"/>
  <c r="K2354" i="16"/>
  <c r="F2354" i="16"/>
  <c r="O2354" i="16" s="1"/>
  <c r="F2138" i="16"/>
  <c r="O2138" i="16" s="1"/>
  <c r="K2138" i="16"/>
  <c r="F2084" i="16"/>
  <c r="O2084" i="16" s="1"/>
  <c r="K2084" i="16"/>
  <c r="F1868" i="16"/>
  <c r="O1868" i="16" s="1"/>
  <c r="K1868" i="16"/>
  <c r="K1706" i="16"/>
  <c r="F1706" i="16"/>
  <c r="O1706" i="16" s="1"/>
  <c r="K1652" i="16"/>
  <c r="F1652" i="16"/>
  <c r="O1652" i="16" s="1"/>
  <c r="K1598" i="16"/>
  <c r="F1598" i="16"/>
  <c r="O1598" i="16" s="1"/>
  <c r="K1382" i="16"/>
  <c r="F1382" i="16"/>
  <c r="O1382" i="16" s="1"/>
  <c r="F1328" i="16"/>
  <c r="O1328" i="16" s="1"/>
  <c r="K1328" i="16"/>
  <c r="F1004" i="16"/>
  <c r="O1004" i="16" s="1"/>
  <c r="K1004" i="16"/>
  <c r="K950" i="16"/>
  <c r="F950" i="16"/>
  <c r="O950" i="16" s="1"/>
  <c r="K896" i="16"/>
  <c r="F896" i="16"/>
  <c r="O896" i="16" s="1"/>
  <c r="F842" i="16"/>
  <c r="O842" i="16" s="1"/>
  <c r="K842" i="16"/>
  <c r="K680" i="16"/>
  <c r="F680" i="16"/>
  <c r="O680" i="16" s="1"/>
  <c r="K626" i="16"/>
  <c r="F626" i="16"/>
  <c r="O626" i="16" s="1"/>
  <c r="F410" i="16"/>
  <c r="O410" i="16" s="1"/>
  <c r="K410" i="16"/>
  <c r="F356" i="16"/>
  <c r="O356" i="16" s="1"/>
  <c r="K356" i="16"/>
  <c r="K194" i="16"/>
  <c r="F194" i="16"/>
  <c r="O194" i="16" s="1"/>
  <c r="F140" i="16"/>
  <c r="O140" i="16" s="1"/>
  <c r="K140" i="16"/>
  <c r="K2571" i="16" l="1"/>
  <c r="F2571" i="16"/>
  <c r="O2571" i="16" s="1"/>
  <c r="K951" i="16"/>
  <c r="F951" i="16"/>
  <c r="O951" i="16" s="1"/>
  <c r="U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D4575" i="16"/>
  <c r="J4575" i="16"/>
  <c r="P4575" i="16"/>
  <c r="Q4575" i="16"/>
  <c r="R4575" i="16"/>
  <c r="L4576" i="16"/>
  <c r="C4576" i="16"/>
  <c r="E4576" i="16"/>
  <c r="G4576" i="16"/>
  <c r="I4576" i="16"/>
  <c r="B4577" i="16"/>
  <c r="D4521" i="16"/>
  <c r="J4521" i="16"/>
  <c r="N4521" i="16" s="1"/>
  <c r="P4521" i="16"/>
  <c r="Q4521" i="16"/>
  <c r="R4521" i="16"/>
  <c r="C4522" i="16"/>
  <c r="F4522" i="16" s="1"/>
  <c r="E4522" i="16"/>
  <c r="G4522" i="16"/>
  <c r="K4522" i="16"/>
  <c r="B4523" i="16"/>
  <c r="I4522" i="16"/>
  <c r="L4522" i="16"/>
  <c r="M4521" i="16"/>
  <c r="U4220" i="16"/>
  <c r="S4220" i="16"/>
  <c r="T4220" i="16" s="1"/>
  <c r="D4221" i="16"/>
  <c r="J4221" i="16"/>
  <c r="P4221" i="16"/>
  <c r="Q4221" i="16"/>
  <c r="R4221" i="16"/>
  <c r="L4222" i="16"/>
  <c r="C4222" i="16"/>
  <c r="E4222" i="16"/>
  <c r="G4222" i="16"/>
  <c r="I4222" i="16"/>
  <c r="B4223" i="16"/>
  <c r="D4167" i="16"/>
  <c r="J4167" i="16"/>
  <c r="N4167" i="16" s="1"/>
  <c r="Q4167" i="16"/>
  <c r="P4167" i="16"/>
  <c r="R4167" i="16"/>
  <c r="M4167" i="16"/>
  <c r="I4168" i="16"/>
  <c r="L4168" i="16"/>
  <c r="C4168" i="16"/>
  <c r="F4168" i="16" s="1"/>
  <c r="O4168" i="16" s="1"/>
  <c r="E4168" i="16"/>
  <c r="G4168" i="16"/>
  <c r="K4168" i="16"/>
  <c r="B4169" i="16"/>
  <c r="U4112" i="16"/>
  <c r="S4112" i="16"/>
  <c r="T4112" i="16" s="1"/>
  <c r="M4113" i="16"/>
  <c r="D4113" i="16"/>
  <c r="J4113" i="16"/>
  <c r="N4113" i="16" s="1"/>
  <c r="P4113" i="16"/>
  <c r="Q4113" i="16"/>
  <c r="R4113" i="16"/>
  <c r="C4114" i="16"/>
  <c r="E4114" i="16"/>
  <c r="G4114" i="16"/>
  <c r="I4114" i="16"/>
  <c r="L4114" i="16"/>
  <c r="B4115" i="16"/>
  <c r="U4058" i="16"/>
  <c r="S4058" i="16"/>
  <c r="T4058" i="16" s="1"/>
  <c r="M4059" i="16"/>
  <c r="D4059" i="16"/>
  <c r="J4059" i="16"/>
  <c r="N4059" i="16" s="1"/>
  <c r="P4059" i="16"/>
  <c r="Q4059" i="16"/>
  <c r="R4059" i="16"/>
  <c r="L4060" i="16"/>
  <c r="C4060" i="16"/>
  <c r="K4060" i="16" s="1"/>
  <c r="E4060" i="16"/>
  <c r="F4060" i="16"/>
  <c r="O4060" i="16" s="1"/>
  <c r="G4060" i="16"/>
  <c r="I4060" i="16"/>
  <c r="B4061" i="16"/>
  <c r="U3758" i="16"/>
  <c r="S3758" i="16"/>
  <c r="T3758" i="16" s="1"/>
  <c r="D3759" i="16"/>
  <c r="J3759" i="16"/>
  <c r="P3759" i="16"/>
  <c r="Q3759" i="16"/>
  <c r="R3759" i="16"/>
  <c r="L3760" i="16"/>
  <c r="C3760" i="16"/>
  <c r="K3760" i="16" s="1"/>
  <c r="E3760" i="16"/>
  <c r="F3760" i="16"/>
  <c r="O3760" i="16" s="1"/>
  <c r="G3760" i="16"/>
  <c r="I3760" i="16"/>
  <c r="B3761" i="16"/>
  <c r="M3705" i="16"/>
  <c r="D3705" i="16"/>
  <c r="J3705" i="16"/>
  <c r="N3705" i="16" s="1"/>
  <c r="P3705" i="16"/>
  <c r="Q3705" i="16"/>
  <c r="R3705" i="16"/>
  <c r="L3706" i="16"/>
  <c r="C3706" i="16"/>
  <c r="K3706" i="16" s="1"/>
  <c r="E3706" i="16"/>
  <c r="F3706" i="16"/>
  <c r="O3706" i="16" s="1"/>
  <c r="G3706" i="16"/>
  <c r="I3706" i="16"/>
  <c r="B3707" i="16"/>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E3598" i="16"/>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U3488" i="16"/>
  <c r="S3488" i="16"/>
  <c r="T3488" i="16" s="1"/>
  <c r="M3489" i="16"/>
  <c r="D3489" i="16"/>
  <c r="J3489" i="16"/>
  <c r="N3489" i="16" s="1"/>
  <c r="P3489" i="16"/>
  <c r="Q3489" i="16"/>
  <c r="R3489" i="16"/>
  <c r="L3490" i="16"/>
  <c r="C3490" i="16"/>
  <c r="K3490" i="16" s="1"/>
  <c r="E3490" i="16"/>
  <c r="F3490" i="16"/>
  <c r="O3490" i="16" s="1"/>
  <c r="G3490" i="16"/>
  <c r="I3490" i="16"/>
  <c r="B3491" i="16"/>
  <c r="U3434" i="16"/>
  <c r="S3434" i="16"/>
  <c r="T3434" i="16" s="1"/>
  <c r="D3435" i="16"/>
  <c r="J3435" i="16"/>
  <c r="P3435" i="16"/>
  <c r="Q3435" i="16"/>
  <c r="R3435" i="16"/>
  <c r="L3436" i="16"/>
  <c r="C3436" i="16"/>
  <c r="E3436" i="16"/>
  <c r="G3436" i="16"/>
  <c r="B3437" i="16"/>
  <c r="I3436" i="16"/>
  <c r="U3380" i="16"/>
  <c r="S3380" i="16"/>
  <c r="T3380" i="16" s="1"/>
  <c r="M3381" i="16"/>
  <c r="D3381" i="16"/>
  <c r="J3381" i="16"/>
  <c r="N3381" i="16" s="1"/>
  <c r="P3381" i="16"/>
  <c r="Q3381" i="16"/>
  <c r="R3381" i="16"/>
  <c r="L3382" i="16"/>
  <c r="C3382" i="16"/>
  <c r="K3382" i="16" s="1"/>
  <c r="E3382" i="16"/>
  <c r="F3382" i="16"/>
  <c r="O3382" i="16" s="1"/>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M3273" i="16"/>
  <c r="D3273" i="16"/>
  <c r="J3273" i="16"/>
  <c r="N3273" i="16" s="1"/>
  <c r="P3273" i="16"/>
  <c r="Q3273" i="16"/>
  <c r="R3273" i="16"/>
  <c r="L3274" i="16"/>
  <c r="C3274" i="16"/>
  <c r="K3274" i="16" s="1"/>
  <c r="E3274" i="16"/>
  <c r="F3274" i="16"/>
  <c r="O3274" i="16" s="1"/>
  <c r="G3274" i="16"/>
  <c r="I3274" i="16"/>
  <c r="B3275" i="16"/>
  <c r="P3219" i="16"/>
  <c r="Q3219" i="16"/>
  <c r="R3219" i="16"/>
  <c r="L3220" i="16"/>
  <c r="C3220" i="16"/>
  <c r="E3220" i="16"/>
  <c r="G3220" i="16"/>
  <c r="I3220" i="16"/>
  <c r="B3221" i="16"/>
  <c r="D3219" i="16"/>
  <c r="J3219" i="16"/>
  <c r="U3164" i="16"/>
  <c r="S3164" i="16"/>
  <c r="T3164" i="16" s="1"/>
  <c r="M3165" i="16"/>
  <c r="D3165" i="16"/>
  <c r="J3165" i="16"/>
  <c r="N3165" i="16" s="1"/>
  <c r="P3165" i="16"/>
  <c r="Q3165" i="16"/>
  <c r="R3165" i="16"/>
  <c r="L3166" i="16"/>
  <c r="C3166" i="16"/>
  <c r="K3166" i="16" s="1"/>
  <c r="E3166" i="16"/>
  <c r="F3166" i="16"/>
  <c r="O3166" i="16" s="1"/>
  <c r="G3166" i="16"/>
  <c r="I3166" i="16"/>
  <c r="B3167" i="16"/>
  <c r="M3111" i="16"/>
  <c r="J3111" i="16"/>
  <c r="N3111" i="16" s="1"/>
  <c r="D3111" i="16"/>
  <c r="P3111" i="16"/>
  <c r="Q3111" i="16"/>
  <c r="R3111" i="16"/>
  <c r="L3112" i="16"/>
  <c r="I3112" i="16"/>
  <c r="B3113" i="16"/>
  <c r="C3112" i="16"/>
  <c r="E3112" i="16"/>
  <c r="G3112" i="16"/>
  <c r="M3057" i="16"/>
  <c r="P3057" i="16"/>
  <c r="Q3057" i="16"/>
  <c r="R3057" i="16"/>
  <c r="L3058" i="16"/>
  <c r="G3058" i="16"/>
  <c r="C3058" i="16"/>
  <c r="K3058" i="16" s="1"/>
  <c r="F3058" i="16"/>
  <c r="O3058" i="16" s="1"/>
  <c r="B3059" i="16"/>
  <c r="E3058" i="16"/>
  <c r="I3058" i="16"/>
  <c r="D3057" i="16"/>
  <c r="J3057" i="16"/>
  <c r="N3057" i="16" s="1"/>
  <c r="U3002" i="16"/>
  <c r="S3002" i="16"/>
  <c r="T3002" i="16" s="1"/>
  <c r="M3003" i="16"/>
  <c r="D3003" i="16"/>
  <c r="J3003" i="16"/>
  <c r="N3003" i="16" s="1"/>
  <c r="P3003" i="16"/>
  <c r="Q3003" i="16"/>
  <c r="R3003" i="16"/>
  <c r="L3004" i="16"/>
  <c r="C3004" i="16"/>
  <c r="E3004" i="16"/>
  <c r="G3004" i="16"/>
  <c r="B3005" i="16"/>
  <c r="I3004" i="16"/>
  <c r="U2948" i="16"/>
  <c r="S2948" i="16"/>
  <c r="T2948" i="16" s="1"/>
  <c r="D2949" i="16"/>
  <c r="J2949" i="16"/>
  <c r="P2949" i="16"/>
  <c r="Q2949" i="16"/>
  <c r="R2949" i="16"/>
  <c r="L2950" i="16"/>
  <c r="C2950" i="16"/>
  <c r="E2950" i="16"/>
  <c r="G2950" i="16"/>
  <c r="I2950" i="16"/>
  <c r="B2951" i="16"/>
  <c r="U2894" i="16"/>
  <c r="S2894" i="16"/>
  <c r="T2894" i="16" s="1"/>
  <c r="D2895" i="16"/>
  <c r="J2895" i="16"/>
  <c r="P2895" i="16"/>
  <c r="Q2895" i="16"/>
  <c r="R2895" i="16"/>
  <c r="L2896" i="16"/>
  <c r="C2896" i="16"/>
  <c r="K2896" i="16" s="1"/>
  <c r="E2896" i="16"/>
  <c r="F2896" i="16"/>
  <c r="O2896" i="16" s="1"/>
  <c r="G2896" i="16"/>
  <c r="I2896" i="16"/>
  <c r="B2897" i="16"/>
  <c r="J2841" i="16"/>
  <c r="D2841" i="16"/>
  <c r="P2841" i="16"/>
  <c r="Q2841" i="16"/>
  <c r="R2841" i="16"/>
  <c r="L2842" i="16"/>
  <c r="B2843" i="16"/>
  <c r="I2842" i="16"/>
  <c r="E2842" i="16"/>
  <c r="C2842" i="16"/>
  <c r="G2842" i="16"/>
  <c r="L2788" i="16"/>
  <c r="G2788" i="16"/>
  <c r="B2789" i="16"/>
  <c r="E2788" i="16"/>
  <c r="I2788" i="16"/>
  <c r="C2788" i="16"/>
  <c r="P2787" i="16"/>
  <c r="Q2787" i="16"/>
  <c r="R2787" i="16"/>
  <c r="D2787" i="16"/>
  <c r="J2787" i="16"/>
  <c r="M2733" i="16"/>
  <c r="D2733" i="16"/>
  <c r="J2733" i="16"/>
  <c r="N2733" i="16" s="1"/>
  <c r="P2733" i="16"/>
  <c r="Q2733" i="16"/>
  <c r="R2733" i="16"/>
  <c r="L2734" i="16"/>
  <c r="C2734" i="16"/>
  <c r="K2734" i="16" s="1"/>
  <c r="E2734" i="16"/>
  <c r="F2734" i="16"/>
  <c r="O2734" i="16" s="1"/>
  <c r="G2734" i="16"/>
  <c r="I2734" i="16"/>
  <c r="B2735" i="16"/>
  <c r="L2680" i="16"/>
  <c r="E2680" i="16"/>
  <c r="C2680" i="16"/>
  <c r="K2680" i="16" s="1"/>
  <c r="I2680" i="16"/>
  <c r="B2681" i="16"/>
  <c r="F2680" i="16"/>
  <c r="O2680" i="16" s="1"/>
  <c r="G2680" i="16"/>
  <c r="P2679" i="16"/>
  <c r="Q2679" i="16"/>
  <c r="R2679" i="16"/>
  <c r="D2679" i="16"/>
  <c r="J2679" i="16"/>
  <c r="U2624" i="16"/>
  <c r="S2624" i="16"/>
  <c r="T2624" i="16" s="1"/>
  <c r="D2625" i="16"/>
  <c r="J2625" i="16"/>
  <c r="P2625" i="16"/>
  <c r="Q2625" i="16"/>
  <c r="R2625" i="16"/>
  <c r="L2626" i="16"/>
  <c r="G2626" i="16"/>
  <c r="E2626" i="16"/>
  <c r="B2627" i="16"/>
  <c r="I2626" i="16"/>
  <c r="C2626" i="16"/>
  <c r="M2571" i="16"/>
  <c r="D2571" i="16"/>
  <c r="J2571" i="16"/>
  <c r="N2571" i="16" s="1"/>
  <c r="L2572" i="16"/>
  <c r="E2572" i="16"/>
  <c r="G2572" i="16"/>
  <c r="I2572" i="16"/>
  <c r="B2573" i="16"/>
  <c r="C2572" i="16"/>
  <c r="P2571" i="16"/>
  <c r="Q2571" i="16"/>
  <c r="R2571"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U2408" i="16"/>
  <c r="S2408" i="16"/>
  <c r="T2408" i="16" s="1"/>
  <c r="D2409" i="16"/>
  <c r="J2409" i="16"/>
  <c r="P2409" i="16"/>
  <c r="Q2409" i="16"/>
  <c r="R2409" i="16"/>
  <c r="L2410" i="16"/>
  <c r="C2410" i="16"/>
  <c r="K2410" i="16" s="1"/>
  <c r="E2410" i="16"/>
  <c r="F2410" i="16"/>
  <c r="O2410" i="16" s="1"/>
  <c r="G2410" i="16"/>
  <c r="I2410" i="16"/>
  <c r="B2411" i="16"/>
  <c r="L2356" i="16"/>
  <c r="I2356" i="16"/>
  <c r="G2356" i="16"/>
  <c r="E2356" i="16"/>
  <c r="B2357" i="16"/>
  <c r="C2356" i="16"/>
  <c r="P2355" i="16"/>
  <c r="Q2355" i="16"/>
  <c r="R2355" i="16"/>
  <c r="D2355" i="16"/>
  <c r="J2355" i="16"/>
  <c r="U2300" i="16"/>
  <c r="S2300" i="16"/>
  <c r="T2300" i="16" s="1"/>
  <c r="D2301" i="16"/>
  <c r="J2301" i="16"/>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M2139" i="16"/>
  <c r="D2139" i="16"/>
  <c r="J2139" i="16"/>
  <c r="N2139" i="16" s="1"/>
  <c r="P2139" i="16"/>
  <c r="Q2139" i="16"/>
  <c r="R2139" i="16"/>
  <c r="L2140" i="16"/>
  <c r="C2140" i="16"/>
  <c r="K2140" i="16" s="1"/>
  <c r="E2140" i="16"/>
  <c r="F2140" i="16"/>
  <c r="O2140" i="16" s="1"/>
  <c r="G2140" i="16"/>
  <c r="I2140" i="16"/>
  <c r="B2141" i="16"/>
  <c r="M2085" i="16"/>
  <c r="D2085" i="16"/>
  <c r="J2085" i="16"/>
  <c r="N2085" i="16" s="1"/>
  <c r="P2085" i="16"/>
  <c r="Q2085" i="16"/>
  <c r="R2085" i="16"/>
  <c r="L2086" i="16"/>
  <c r="C2086" i="16"/>
  <c r="E2086" i="16"/>
  <c r="G2086" i="16"/>
  <c r="I2086" i="16"/>
  <c r="B2087" i="16"/>
  <c r="U2030" i="16"/>
  <c r="S2030" i="16"/>
  <c r="T2030" i="16" s="1"/>
  <c r="M2031" i="16"/>
  <c r="D2031" i="16"/>
  <c r="J2031" i="16"/>
  <c r="N2031" i="16" s="1"/>
  <c r="P2031" i="16"/>
  <c r="Q2031" i="16"/>
  <c r="R2031" i="16"/>
  <c r="L2032" i="16"/>
  <c r="C2032" i="16"/>
  <c r="K2032" i="16" s="1"/>
  <c r="E2032" i="16"/>
  <c r="F2032" i="16"/>
  <c r="O2032" i="16" s="1"/>
  <c r="G2032" i="16"/>
  <c r="I2032" i="16"/>
  <c r="B2033" i="16"/>
  <c r="U1976" i="16"/>
  <c r="S1976" i="16"/>
  <c r="T1976" i="16" s="1"/>
  <c r="M1977" i="16"/>
  <c r="D1977" i="16"/>
  <c r="J1977" i="16"/>
  <c r="N1977" i="16" s="1"/>
  <c r="P1977" i="16"/>
  <c r="Q1977" i="16"/>
  <c r="R1977" i="16"/>
  <c r="L1978" i="16"/>
  <c r="C1978" i="16"/>
  <c r="E1978" i="16"/>
  <c r="G1978" i="16"/>
  <c r="I1978" i="16"/>
  <c r="B1979" i="16"/>
  <c r="U1922" i="16"/>
  <c r="S1922" i="16"/>
  <c r="T1922" i="16" s="1"/>
  <c r="M1923" i="16"/>
  <c r="D1923" i="16"/>
  <c r="J1923" i="16"/>
  <c r="N1923" i="16" s="1"/>
  <c r="P1923" i="16"/>
  <c r="Q1923" i="16"/>
  <c r="R1923" i="16"/>
  <c r="L1924" i="16"/>
  <c r="C1924" i="16"/>
  <c r="K1924" i="16" s="1"/>
  <c r="E1924" i="16"/>
  <c r="F1924" i="16"/>
  <c r="O1924" i="16" s="1"/>
  <c r="G1924" i="16"/>
  <c r="I1924" i="16"/>
  <c r="B1925" i="16"/>
  <c r="D1869" i="16"/>
  <c r="J1869" i="16"/>
  <c r="P1869" i="16"/>
  <c r="Q1869" i="16"/>
  <c r="R1869" i="16"/>
  <c r="L1870" i="16"/>
  <c r="C1870" i="16"/>
  <c r="K1870" i="16" s="1"/>
  <c r="E1870" i="16"/>
  <c r="F1870" i="16"/>
  <c r="O1870" i="16" s="1"/>
  <c r="G1870" i="16"/>
  <c r="I1870" i="16"/>
  <c r="B1871" i="16"/>
  <c r="U1814" i="16"/>
  <c r="S1814" i="16"/>
  <c r="T1814" i="16" s="1"/>
  <c r="M1815" i="16"/>
  <c r="D1815" i="16"/>
  <c r="J1815" i="16"/>
  <c r="N1815" i="16" s="1"/>
  <c r="P1815" i="16"/>
  <c r="Q1815" i="16"/>
  <c r="R1815" i="16"/>
  <c r="L1816" i="16"/>
  <c r="C1816" i="16"/>
  <c r="E1816" i="16"/>
  <c r="G1816" i="16"/>
  <c r="I1816" i="16"/>
  <c r="B1817" i="16"/>
  <c r="U1760" i="16"/>
  <c r="S1760" i="16"/>
  <c r="T1760" i="16" s="1"/>
  <c r="M1761" i="16"/>
  <c r="D1761" i="16"/>
  <c r="J1761" i="16"/>
  <c r="N1761" i="16" s="1"/>
  <c r="P1761" i="16"/>
  <c r="Q1761" i="16"/>
  <c r="R1761" i="16"/>
  <c r="L1762" i="16"/>
  <c r="C1762" i="16"/>
  <c r="E1762" i="16"/>
  <c r="G1762" i="16"/>
  <c r="I1762" i="16"/>
  <c r="B1763" i="16"/>
  <c r="M1707" i="16"/>
  <c r="D1707" i="16"/>
  <c r="J1707" i="16"/>
  <c r="N1707" i="16" s="1"/>
  <c r="P1707" i="16"/>
  <c r="Q1707" i="16"/>
  <c r="R1707" i="16"/>
  <c r="L1708" i="16"/>
  <c r="C1708" i="16"/>
  <c r="K1708" i="16" s="1"/>
  <c r="E1708" i="16"/>
  <c r="F1708" i="16"/>
  <c r="O1708" i="16" s="1"/>
  <c r="G1708" i="16"/>
  <c r="I1708" i="16"/>
  <c r="B1709" i="16"/>
  <c r="D1653" i="16"/>
  <c r="J1653" i="16"/>
  <c r="P1653" i="16"/>
  <c r="Q1653" i="16"/>
  <c r="R1653" i="16"/>
  <c r="L1654" i="16"/>
  <c r="C1654" i="16"/>
  <c r="K1654" i="16" s="1"/>
  <c r="E1654" i="16"/>
  <c r="F1654" i="16"/>
  <c r="O1654" i="16" s="1"/>
  <c r="G1654" i="16"/>
  <c r="I1654" i="16"/>
  <c r="B1655" i="16"/>
  <c r="M1599" i="16"/>
  <c r="D1599" i="16"/>
  <c r="J1599" i="16"/>
  <c r="N1599" i="16" s="1"/>
  <c r="P1599" i="16"/>
  <c r="Q1599" i="16"/>
  <c r="R1599" i="16"/>
  <c r="L1600" i="16"/>
  <c r="C1600" i="16"/>
  <c r="E1600" i="16"/>
  <c r="G1600" i="16"/>
  <c r="I1600" i="16"/>
  <c r="B1601" i="16"/>
  <c r="U1544" i="16"/>
  <c r="S1544" i="16"/>
  <c r="T1544" i="16" s="1"/>
  <c r="M1545" i="16"/>
  <c r="D1545" i="16"/>
  <c r="J1545" i="16"/>
  <c r="N1545" i="16" s="1"/>
  <c r="P1545" i="16"/>
  <c r="Q1545" i="16"/>
  <c r="R1545" i="16"/>
  <c r="L1546" i="16"/>
  <c r="C1546" i="16"/>
  <c r="E1546" i="16"/>
  <c r="G1546" i="16"/>
  <c r="I1546" i="16"/>
  <c r="B1547" i="16"/>
  <c r="U1490" i="16"/>
  <c r="S1490" i="16"/>
  <c r="T1490" i="16" s="1"/>
  <c r="M1491" i="16"/>
  <c r="D1491" i="16"/>
  <c r="J1491" i="16"/>
  <c r="N1491" i="16" s="1"/>
  <c r="P1491" i="16"/>
  <c r="Q1491" i="16"/>
  <c r="R1491" i="16"/>
  <c r="L1492" i="16"/>
  <c r="B1493" i="16"/>
  <c r="E1492" i="16"/>
  <c r="G1492" i="16"/>
  <c r="I1492" i="16"/>
  <c r="C1492" i="16"/>
  <c r="S1436" i="16"/>
  <c r="T1436" i="16" s="1"/>
  <c r="U1436" i="16"/>
  <c r="L1438" i="16"/>
  <c r="C1438" i="16"/>
  <c r="K1438" i="16" s="1"/>
  <c r="G1438" i="16"/>
  <c r="I1438" i="16"/>
  <c r="F1438" i="16"/>
  <c r="O1438" i="16" s="1"/>
  <c r="E1438" i="16"/>
  <c r="B1439" i="16"/>
  <c r="P1437" i="16"/>
  <c r="Q1437" i="16"/>
  <c r="R1437" i="16"/>
  <c r="D1437" i="16"/>
  <c r="J1437" i="16"/>
  <c r="L1384" i="16"/>
  <c r="C1384" i="16"/>
  <c r="K1384" i="16" s="1"/>
  <c r="G1384" i="16"/>
  <c r="B1385" i="16"/>
  <c r="I1384" i="16"/>
  <c r="F1384" i="16"/>
  <c r="O1384" i="16" s="1"/>
  <c r="E1384" i="16"/>
  <c r="D1383" i="16"/>
  <c r="J1383" i="16"/>
  <c r="P1383" i="16"/>
  <c r="Q1383" i="16"/>
  <c r="R1383" i="16"/>
  <c r="L1330" i="16"/>
  <c r="B1331" i="16"/>
  <c r="I1330" i="16"/>
  <c r="C1330" i="16"/>
  <c r="G1330" i="16"/>
  <c r="E1330" i="16"/>
  <c r="J1329" i="16"/>
  <c r="D1329" i="16"/>
  <c r="P1329" i="16"/>
  <c r="Q1329" i="16"/>
  <c r="R1329" i="16"/>
  <c r="U1274" i="16"/>
  <c r="S1274" i="16"/>
  <c r="T1274" i="16" s="1"/>
  <c r="J1275" i="16"/>
  <c r="D1275" i="16"/>
  <c r="L1276" i="16"/>
  <c r="E1276" i="16"/>
  <c r="G1276" i="16"/>
  <c r="I1276" i="16"/>
  <c r="C1276" i="16"/>
  <c r="B1277" i="16"/>
  <c r="P1275" i="16"/>
  <c r="Q1275" i="16"/>
  <c r="R1275" i="16"/>
  <c r="U1220" i="16"/>
  <c r="S1220" i="16"/>
  <c r="T1220" i="16" s="1"/>
  <c r="D1221" i="16"/>
  <c r="J1221" i="16"/>
  <c r="P1221" i="16"/>
  <c r="Q1221" i="16"/>
  <c r="R1221" i="16"/>
  <c r="E1222" i="16"/>
  <c r="I1222" i="16"/>
  <c r="G1222" i="16"/>
  <c r="B1223" i="16"/>
  <c r="C1222" i="16"/>
  <c r="L1222" i="16"/>
  <c r="U1166" i="16"/>
  <c r="S1166" i="16"/>
  <c r="T1166" i="16" s="1"/>
  <c r="D1167" i="16"/>
  <c r="J1167" i="16"/>
  <c r="P1167" i="16"/>
  <c r="Q1167" i="16"/>
  <c r="R1167" i="16"/>
  <c r="L1168" i="16"/>
  <c r="C1168" i="16"/>
  <c r="K1168" i="16" s="1"/>
  <c r="E1168" i="16"/>
  <c r="F1168" i="16"/>
  <c r="O1168" i="16" s="1"/>
  <c r="G1168" i="16"/>
  <c r="I1168" i="16"/>
  <c r="B1169" i="16"/>
  <c r="U1112" i="16"/>
  <c r="S1112" i="16"/>
  <c r="T1112" i="16" s="1"/>
  <c r="D1113" i="16"/>
  <c r="J1113" i="16"/>
  <c r="P1113" i="16"/>
  <c r="Q1113" i="16"/>
  <c r="R1113" i="16"/>
  <c r="L1114" i="16"/>
  <c r="C1114" i="16"/>
  <c r="K1114" i="16" s="1"/>
  <c r="E1114" i="16"/>
  <c r="F1114" i="16"/>
  <c r="O1114" i="16" s="1"/>
  <c r="G1114" i="16"/>
  <c r="I1114" i="16"/>
  <c r="B1115" i="16"/>
  <c r="U1058" i="16"/>
  <c r="S1058" i="16"/>
  <c r="T1058" i="16" s="1"/>
  <c r="M1059" i="16"/>
  <c r="D1059" i="16"/>
  <c r="J1059" i="16"/>
  <c r="N1059" i="16" s="1"/>
  <c r="P1059" i="16"/>
  <c r="Q1059" i="16"/>
  <c r="R1059" i="16"/>
  <c r="L1060" i="16"/>
  <c r="C1060" i="16"/>
  <c r="E1060" i="16"/>
  <c r="G1060" i="16"/>
  <c r="I1060" i="16"/>
  <c r="B1061" i="16"/>
  <c r="L1006" i="16"/>
  <c r="G1006" i="16"/>
  <c r="B1007" i="16"/>
  <c r="E1006" i="16"/>
  <c r="C1006" i="16"/>
  <c r="I1006" i="16"/>
  <c r="J1005" i="16"/>
  <c r="D1005" i="16"/>
  <c r="P1005" i="16"/>
  <c r="Q1005" i="16"/>
  <c r="R1005" i="16"/>
  <c r="M951" i="16"/>
  <c r="D951" i="16"/>
  <c r="J951" i="16"/>
  <c r="N951" i="16" s="1"/>
  <c r="P951" i="16"/>
  <c r="Q951" i="16"/>
  <c r="R951" i="16"/>
  <c r="L952" i="16"/>
  <c r="C952" i="16"/>
  <c r="K952" i="16" s="1"/>
  <c r="E952" i="16"/>
  <c r="F952" i="16"/>
  <c r="O952" i="16" s="1"/>
  <c r="G952" i="16"/>
  <c r="I952" i="16"/>
  <c r="B953" i="16"/>
  <c r="D897" i="16"/>
  <c r="J897" i="16"/>
  <c r="P897" i="16"/>
  <c r="Q897" i="16"/>
  <c r="R897" i="16"/>
  <c r="L898" i="16"/>
  <c r="C898" i="16"/>
  <c r="K898" i="16" s="1"/>
  <c r="E898" i="16"/>
  <c r="F898" i="16"/>
  <c r="O898" i="16" s="1"/>
  <c r="G898" i="16"/>
  <c r="I898" i="16"/>
  <c r="B899" i="16"/>
  <c r="M843" i="16"/>
  <c r="D843" i="16"/>
  <c r="J843" i="16"/>
  <c r="N843" i="16" s="1"/>
  <c r="P843" i="16"/>
  <c r="Q843" i="16"/>
  <c r="R843" i="16"/>
  <c r="L844" i="16"/>
  <c r="C844" i="16"/>
  <c r="K844" i="16" s="1"/>
  <c r="E844" i="16"/>
  <c r="F844" i="16"/>
  <c r="O844" i="16" s="1"/>
  <c r="G844" i="16"/>
  <c r="I844" i="16"/>
  <c r="B845" i="16"/>
  <c r="U788" i="16"/>
  <c r="S788" i="16"/>
  <c r="T788" i="16" s="1"/>
  <c r="M789" i="16"/>
  <c r="D789" i="16"/>
  <c r="J789" i="16"/>
  <c r="N789" i="16" s="1"/>
  <c r="P789" i="16"/>
  <c r="Q789" i="16"/>
  <c r="R789" i="16"/>
  <c r="L790" i="16"/>
  <c r="C790" i="16"/>
  <c r="E790" i="16"/>
  <c r="G790" i="16"/>
  <c r="I790" i="16"/>
  <c r="B791" i="16"/>
  <c r="U734" i="16"/>
  <c r="S734" i="16"/>
  <c r="T734" i="16" s="1"/>
  <c r="M735" i="16"/>
  <c r="D735" i="16"/>
  <c r="J735" i="16"/>
  <c r="N735" i="16" s="1"/>
  <c r="P735" i="16"/>
  <c r="Q735" i="16"/>
  <c r="R735" i="16"/>
  <c r="L736" i="16"/>
  <c r="C736" i="16"/>
  <c r="K736" i="16" s="1"/>
  <c r="E736" i="16"/>
  <c r="F736" i="16"/>
  <c r="O736" i="16" s="1"/>
  <c r="G736" i="16"/>
  <c r="I736" i="16"/>
  <c r="B737" i="16"/>
  <c r="D681" i="16"/>
  <c r="J681" i="16"/>
  <c r="P681" i="16"/>
  <c r="Q681" i="16"/>
  <c r="R681" i="16"/>
  <c r="L682" i="16"/>
  <c r="C682" i="16"/>
  <c r="E682" i="16"/>
  <c r="G682" i="16"/>
  <c r="I682" i="16"/>
  <c r="B683" i="16"/>
  <c r="M627" i="16"/>
  <c r="D627" i="16"/>
  <c r="J627" i="16"/>
  <c r="N627" i="16" s="1"/>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I574" i="16"/>
  <c r="C574" i="16"/>
  <c r="E574" i="16"/>
  <c r="G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M465" i="16"/>
  <c r="D465" i="16"/>
  <c r="J465" i="16"/>
  <c r="N465" i="16" s="1"/>
  <c r="P465" i="16"/>
  <c r="Q465" i="16"/>
  <c r="R465" i="16"/>
  <c r="L466" i="16"/>
  <c r="C466" i="16"/>
  <c r="K466" i="16" s="1"/>
  <c r="E466" i="16"/>
  <c r="F466" i="16"/>
  <c r="O466" i="16" s="1"/>
  <c r="G466" i="16"/>
  <c r="I466" i="16"/>
  <c r="B467" i="16"/>
  <c r="M411" i="16"/>
  <c r="D411" i="16"/>
  <c r="J411" i="16"/>
  <c r="N411" i="16" s="1"/>
  <c r="P411" i="16"/>
  <c r="Q411" i="16"/>
  <c r="R411" i="16"/>
  <c r="L412" i="16"/>
  <c r="C412" i="16"/>
  <c r="K412" i="16" s="1"/>
  <c r="E412" i="16"/>
  <c r="F412" i="16"/>
  <c r="O412" i="16" s="1"/>
  <c r="G412" i="16"/>
  <c r="I412" i="16"/>
  <c r="B413" i="16"/>
  <c r="M357" i="16"/>
  <c r="D357" i="16"/>
  <c r="J357" i="16"/>
  <c r="N357" i="16" s="1"/>
  <c r="P357" i="16"/>
  <c r="Q357" i="16"/>
  <c r="R357" i="16"/>
  <c r="L358" i="16"/>
  <c r="C358" i="16"/>
  <c r="K358" i="16" s="1"/>
  <c r="E358" i="16"/>
  <c r="F358" i="16"/>
  <c r="O358" i="16" s="1"/>
  <c r="G358" i="16"/>
  <c r="I358" i="16"/>
  <c r="B359" i="16"/>
  <c r="U302" i="16"/>
  <c r="S302" i="16"/>
  <c r="T302" i="16" s="1"/>
  <c r="M303" i="16"/>
  <c r="D303" i="16"/>
  <c r="J303" i="16"/>
  <c r="N303" i="16" s="1"/>
  <c r="P303" i="16"/>
  <c r="Q303" i="16"/>
  <c r="R303" i="16"/>
  <c r="L304" i="16"/>
  <c r="C304" i="16"/>
  <c r="K304" i="16" s="1"/>
  <c r="E304" i="16"/>
  <c r="F304" i="16"/>
  <c r="O304" i="16" s="1"/>
  <c r="G304" i="16"/>
  <c r="I304" i="16"/>
  <c r="B305" i="16"/>
  <c r="U248" i="16"/>
  <c r="S248" i="16"/>
  <c r="T248" i="16" s="1"/>
  <c r="M249" i="16"/>
  <c r="D249" i="16"/>
  <c r="J249" i="16"/>
  <c r="N249" i="16" s="1"/>
  <c r="P249" i="16"/>
  <c r="Q249" i="16"/>
  <c r="R249" i="16"/>
  <c r="L250" i="16"/>
  <c r="C250" i="16"/>
  <c r="E250" i="16"/>
  <c r="G250" i="16"/>
  <c r="I250" i="16"/>
  <c r="B251" i="16"/>
  <c r="M195" i="16"/>
  <c r="L196" i="16"/>
  <c r="G196" i="16"/>
  <c r="C196" i="16"/>
  <c r="E196" i="16"/>
  <c r="I196" i="16"/>
  <c r="B197" i="16"/>
  <c r="J195" i="16"/>
  <c r="N195" i="16" s="1"/>
  <c r="D195" i="16"/>
  <c r="P195" i="16"/>
  <c r="Q195" i="16"/>
  <c r="R195" i="16"/>
  <c r="P141" i="16"/>
  <c r="Q141" i="16"/>
  <c r="R141" i="16"/>
  <c r="L142" i="16"/>
  <c r="E142" i="16"/>
  <c r="C142" i="16"/>
  <c r="K142" i="16" s="1"/>
  <c r="F142" i="16"/>
  <c r="O142" i="16" s="1"/>
  <c r="G142" i="16"/>
  <c r="B143" i="16"/>
  <c r="I142" i="16"/>
  <c r="D141" i="16"/>
  <c r="J141" i="16"/>
  <c r="U86" i="16"/>
  <c r="S86" i="16"/>
  <c r="T86" i="16" s="1"/>
  <c r="M87" i="16"/>
  <c r="D87" i="16"/>
  <c r="J87" i="16"/>
  <c r="N87" i="16" s="1"/>
  <c r="P87" i="16"/>
  <c r="Q87" i="16"/>
  <c r="R87" i="16"/>
  <c r="L88" i="16"/>
  <c r="C88" i="16"/>
  <c r="E88" i="16"/>
  <c r="G88" i="16"/>
  <c r="I88" i="16"/>
  <c r="B89" i="16"/>
  <c r="U24" i="4"/>
  <c r="S24" i="4"/>
  <c r="T24" i="4" s="1"/>
  <c r="M25" i="4"/>
  <c r="D25" i="4"/>
  <c r="J25" i="4"/>
  <c r="N25" i="4" s="1"/>
  <c r="AC25" i="4"/>
  <c r="AB25" i="4"/>
  <c r="AA25" i="4"/>
  <c r="Z25" i="4"/>
  <c r="Y25" i="4"/>
  <c r="X25" i="4"/>
  <c r="W25" i="4"/>
  <c r="P25" i="4"/>
  <c r="Q25" i="4"/>
  <c r="R25" i="4"/>
  <c r="V25" i="4"/>
  <c r="L26" i="4"/>
  <c r="C26" i="4"/>
  <c r="K26" i="4" s="1"/>
  <c r="E26" i="4"/>
  <c r="F26" i="4"/>
  <c r="C26" i="5" s="1"/>
  <c r="E26" i="5" s="1"/>
  <c r="O26" i="4" s="1"/>
  <c r="G26" i="4"/>
  <c r="AE26" i="4" s="1"/>
  <c r="I26" i="4"/>
  <c r="B27" i="4"/>
  <c r="B26" i="5"/>
  <c r="AF16" i="4"/>
  <c r="B73" i="7"/>
  <c r="I73" i="7" s="1"/>
  <c r="AF15" i="4"/>
  <c r="AE17" i="4"/>
  <c r="AE18" i="4"/>
  <c r="AE19" i="4"/>
  <c r="AE20" i="4"/>
  <c r="AE21" i="4"/>
  <c r="AE22" i="4"/>
  <c r="AE23" i="4"/>
  <c r="AE24" i="4"/>
  <c r="AE25" i="4"/>
  <c r="U4165" i="16"/>
  <c r="S4165" i="16"/>
  <c r="T4165" i="16" s="1"/>
  <c r="U4111" i="16"/>
  <c r="S4111" i="16"/>
  <c r="T4111" i="16" s="1"/>
  <c r="U3487" i="16"/>
  <c r="S3487" i="16"/>
  <c r="T3487" i="16" s="1"/>
  <c r="U3379" i="16"/>
  <c r="S3379" i="16"/>
  <c r="T3379" i="16" s="1"/>
  <c r="U3325" i="16"/>
  <c r="S3325" i="16"/>
  <c r="T3325" i="16" s="1"/>
  <c r="S3217" i="16"/>
  <c r="T3217" i="16" s="1"/>
  <c r="U3217" i="16"/>
  <c r="U2893" i="16"/>
  <c r="S2893" i="16"/>
  <c r="T2893" i="16" s="1"/>
  <c r="U2731" i="16"/>
  <c r="S2731" i="16"/>
  <c r="T2731" i="16" s="1"/>
  <c r="U2623" i="16"/>
  <c r="S2623" i="16"/>
  <c r="T2623" i="16" s="1"/>
  <c r="U2461" i="16"/>
  <c r="S2461" i="16"/>
  <c r="T2461" i="16" s="1"/>
  <c r="U2353" i="16"/>
  <c r="S2353" i="16"/>
  <c r="T2353" i="16" s="1"/>
  <c r="U1705" i="16"/>
  <c r="S1705" i="16"/>
  <c r="T1705" i="16" s="1"/>
  <c r="U1489" i="16"/>
  <c r="S1489" i="16"/>
  <c r="T1489" i="16" s="1"/>
  <c r="U1327" i="16"/>
  <c r="S1327" i="16"/>
  <c r="T1327" i="16" s="1"/>
  <c r="S1219" i="16"/>
  <c r="T1219" i="16" s="1"/>
  <c r="U1219" i="16"/>
  <c r="U1003" i="16"/>
  <c r="S1003" i="16"/>
  <c r="T1003" i="16" s="1"/>
  <c r="U571" i="16"/>
  <c r="S571" i="16"/>
  <c r="T571" i="16" s="1"/>
  <c r="M4682" i="16"/>
  <c r="N4682" i="16"/>
  <c r="S4682" i="16" s="1"/>
  <c r="N4166" i="16"/>
  <c r="M4166" i="16"/>
  <c r="M3704" i="16"/>
  <c r="N3704" i="16"/>
  <c r="M3650" i="16"/>
  <c r="N3650" i="16"/>
  <c r="M3272" i="16"/>
  <c r="N3272" i="16"/>
  <c r="M3218" i="16"/>
  <c r="N3218" i="16"/>
  <c r="M3110" i="16"/>
  <c r="N3110" i="16"/>
  <c r="N3056" i="16"/>
  <c r="M3056" i="16"/>
  <c r="M2840" i="16"/>
  <c r="N2840" i="16"/>
  <c r="N2786" i="16"/>
  <c r="S2786" i="16" s="1"/>
  <c r="T2786" i="16" s="1"/>
  <c r="U2786" i="16" s="1"/>
  <c r="M2786" i="16"/>
  <c r="M2732" i="16"/>
  <c r="N2732" i="16"/>
  <c r="M2678" i="16"/>
  <c r="N2678" i="16"/>
  <c r="N2570" i="16"/>
  <c r="M2570" i="16"/>
  <c r="M2354" i="16"/>
  <c r="N2354" i="16"/>
  <c r="M2138" i="16"/>
  <c r="N2138" i="16"/>
  <c r="M2084" i="16"/>
  <c r="N2084" i="16"/>
  <c r="M1868" i="16"/>
  <c r="N1868" i="16"/>
  <c r="M1706" i="16"/>
  <c r="N1706" i="16"/>
  <c r="M1652" i="16"/>
  <c r="N1652" i="16"/>
  <c r="M1598" i="16"/>
  <c r="N1598" i="16"/>
  <c r="M1382" i="16"/>
  <c r="N1382" i="16"/>
  <c r="M1328" i="16"/>
  <c r="N1328" i="16"/>
  <c r="N1004" i="16"/>
  <c r="M1004" i="16"/>
  <c r="M950" i="16"/>
  <c r="N950" i="16"/>
  <c r="M896" i="16"/>
  <c r="N896" i="16"/>
  <c r="M842" i="16"/>
  <c r="N842" i="16"/>
  <c r="M680" i="16"/>
  <c r="N680" i="16"/>
  <c r="M626" i="16"/>
  <c r="N626" i="16"/>
  <c r="M410" i="16"/>
  <c r="N410" i="16"/>
  <c r="M356" i="16"/>
  <c r="N356" i="16"/>
  <c r="N194" i="16"/>
  <c r="M194" i="16"/>
  <c r="N140" i="16"/>
  <c r="M140" i="16"/>
  <c r="T4681" i="16"/>
  <c r="D4629" i="16"/>
  <c r="F4629" i="16"/>
  <c r="O4629" i="16" s="1"/>
  <c r="K4575" i="16"/>
  <c r="F4575" i="16"/>
  <c r="F4221" i="16"/>
  <c r="O4221" i="16" s="1"/>
  <c r="K4221" i="16"/>
  <c r="K3759" i="16"/>
  <c r="F3759" i="16"/>
  <c r="O3759" i="16" s="1"/>
  <c r="K3435" i="16"/>
  <c r="F3435" i="16"/>
  <c r="O3435" i="16" s="1"/>
  <c r="K3219" i="16"/>
  <c r="F3219" i="16"/>
  <c r="O3219" i="16" s="1"/>
  <c r="F2949" i="16"/>
  <c r="O2949" i="16" s="1"/>
  <c r="K2949" i="16"/>
  <c r="F2895" i="16"/>
  <c r="O2895" i="16" s="1"/>
  <c r="K2895" i="16"/>
  <c r="F2841" i="16"/>
  <c r="O2841" i="16" s="1"/>
  <c r="K2841" i="16"/>
  <c r="F2787" i="16"/>
  <c r="O2787" i="16" s="1"/>
  <c r="K2787" i="16"/>
  <c r="K2679" i="16"/>
  <c r="F2679" i="16"/>
  <c r="O2679" i="16" s="1"/>
  <c r="F2625" i="16"/>
  <c r="O2625" i="16" s="1"/>
  <c r="K2625" i="16"/>
  <c r="K2409" i="16"/>
  <c r="F2409" i="16"/>
  <c r="O2409" i="16" s="1"/>
  <c r="F2355" i="16"/>
  <c r="O2355" i="16" s="1"/>
  <c r="K2355" i="16"/>
  <c r="K2301" i="16"/>
  <c r="F2301" i="16"/>
  <c r="O2301" i="16" s="1"/>
  <c r="F1869" i="16"/>
  <c r="O1869" i="16" s="1"/>
  <c r="K1869" i="16"/>
  <c r="K1653" i="16"/>
  <c r="F1653" i="16"/>
  <c r="O1653" i="16" s="1"/>
  <c r="K1437" i="16"/>
  <c r="F1437" i="16"/>
  <c r="O1437" i="16" s="1"/>
  <c r="F1383" i="16"/>
  <c r="O1383" i="16" s="1"/>
  <c r="K1383" i="16"/>
  <c r="F1329" i="16"/>
  <c r="O1329" i="16" s="1"/>
  <c r="K1329" i="16"/>
  <c r="K1275" i="16"/>
  <c r="F1275" i="16"/>
  <c r="O1275" i="16" s="1"/>
  <c r="K1221" i="16"/>
  <c r="F1221" i="16"/>
  <c r="O1221" i="16" s="1"/>
  <c r="F1167" i="16"/>
  <c r="O1167" i="16" s="1"/>
  <c r="K1167" i="16"/>
  <c r="K1113" i="16"/>
  <c r="F1113" i="16"/>
  <c r="O1113" i="16" s="1"/>
  <c r="F1005" i="16"/>
  <c r="O1005" i="16" s="1"/>
  <c r="K1005" i="16"/>
  <c r="F897" i="16"/>
  <c r="O897" i="16" s="1"/>
  <c r="K897" i="16"/>
  <c r="F681" i="16"/>
  <c r="O681" i="16" s="1"/>
  <c r="K681" i="16"/>
  <c r="K141" i="16"/>
  <c r="F141" i="16"/>
  <c r="O141" i="16" s="1"/>
  <c r="F24" i="5"/>
  <c r="G24" i="5"/>
  <c r="H24" i="5"/>
  <c r="K3598" i="16" l="1"/>
  <c r="F3598" i="16"/>
  <c r="O3598" i="16" s="1"/>
  <c r="K3220" i="16"/>
  <c r="F3220" i="16"/>
  <c r="O3220" i="16" s="1"/>
  <c r="K3112" i="16"/>
  <c r="F3112" i="16"/>
  <c r="O3112" i="16" s="1"/>
  <c r="K2788" i="16"/>
  <c r="F2788" i="16"/>
  <c r="O2788" i="16" s="1"/>
  <c r="K2572" i="16"/>
  <c r="F2572" i="16"/>
  <c r="O2572" i="16" s="1"/>
  <c r="K1978" i="16"/>
  <c r="F1978" i="16"/>
  <c r="O1978" i="16" s="1"/>
  <c r="K1762" i="16"/>
  <c r="F1762" i="16"/>
  <c r="O1762" i="16" s="1"/>
  <c r="K1600" i="16"/>
  <c r="F1600" i="16"/>
  <c r="O1600" i="16" s="1"/>
  <c r="K1276" i="16"/>
  <c r="M1276" i="16" s="1"/>
  <c r="F1276" i="16"/>
  <c r="O1276" i="16" s="1"/>
  <c r="K682" i="16"/>
  <c r="F682" i="16"/>
  <c r="O682" i="16" s="1"/>
  <c r="K88" i="16"/>
  <c r="F88" i="16"/>
  <c r="O88" i="16" s="1"/>
  <c r="U4683" i="16"/>
  <c r="S4683" i="16"/>
  <c r="M4684" i="16"/>
  <c r="D4684" i="16"/>
  <c r="J4684" i="16"/>
  <c r="N4684" i="16" s="1"/>
  <c r="P4684" i="16"/>
  <c r="Q4684" i="16"/>
  <c r="R4684" i="16"/>
  <c r="L4685" i="16"/>
  <c r="C4685" i="16"/>
  <c r="K4685" i="16" s="1"/>
  <c r="E4685" i="16"/>
  <c r="F4685" i="16"/>
  <c r="G4685" i="16"/>
  <c r="I4685" i="16"/>
  <c r="B4686" i="16"/>
  <c r="P4630" i="16"/>
  <c r="Q4630" i="16"/>
  <c r="R4630" i="16"/>
  <c r="C4631" i="16"/>
  <c r="D4631" i="16" s="1"/>
  <c r="E4631" i="16"/>
  <c r="F4631" i="16"/>
  <c r="O4631" i="16" s="1"/>
  <c r="G4631" i="16"/>
  <c r="B4632" i="16"/>
  <c r="D4576" i="16"/>
  <c r="J4576" i="16"/>
  <c r="P4576" i="16"/>
  <c r="Q4576" i="16"/>
  <c r="R4576" i="16"/>
  <c r="L4577" i="16"/>
  <c r="C4577" i="16"/>
  <c r="E4577" i="16"/>
  <c r="G4577" i="16"/>
  <c r="I4577" i="16"/>
  <c r="B4578" i="16"/>
  <c r="D4522" i="16"/>
  <c r="J4522" i="16"/>
  <c r="N4522" i="16" s="1"/>
  <c r="P4522" i="16"/>
  <c r="Q4522" i="16"/>
  <c r="R4522" i="16"/>
  <c r="M4522" i="16"/>
  <c r="C4523" i="16"/>
  <c r="E4523" i="16"/>
  <c r="G4523" i="16"/>
  <c r="L4523" i="16"/>
  <c r="B4524" i="16"/>
  <c r="I4523" i="16"/>
  <c r="D4222" i="16"/>
  <c r="J4222" i="16"/>
  <c r="P4222" i="16"/>
  <c r="Q4222" i="16"/>
  <c r="R4222" i="16"/>
  <c r="L4223" i="16"/>
  <c r="C4223" i="16"/>
  <c r="K4223" i="16" s="1"/>
  <c r="E4223" i="16"/>
  <c r="F4223" i="16"/>
  <c r="O4223" i="16" s="1"/>
  <c r="G4223" i="16"/>
  <c r="I4223" i="16"/>
  <c r="B4224" i="16"/>
  <c r="U4167" i="16"/>
  <c r="S4167" i="16"/>
  <c r="T4167" i="16" s="1"/>
  <c r="J4168" i="16"/>
  <c r="N4168" i="16" s="1"/>
  <c r="D4168" i="16"/>
  <c r="P4168" i="16"/>
  <c r="Q4168" i="16"/>
  <c r="R4168" i="16"/>
  <c r="M4168" i="16"/>
  <c r="L4169" i="16"/>
  <c r="I4169" i="16"/>
  <c r="B4170" i="16"/>
  <c r="C4169" i="16"/>
  <c r="E4169" i="16"/>
  <c r="G4169" i="16"/>
  <c r="U4113" i="16"/>
  <c r="S4113" i="16"/>
  <c r="T4113" i="16" s="1"/>
  <c r="J4114" i="16"/>
  <c r="D4114" i="16"/>
  <c r="P4114" i="16"/>
  <c r="Q4114" i="16"/>
  <c r="R4114" i="16"/>
  <c r="C4115" i="16"/>
  <c r="E4115" i="16"/>
  <c r="G4115" i="16"/>
  <c r="L4115" i="16"/>
  <c r="B4116" i="16"/>
  <c r="I4115" i="16"/>
  <c r="U4059" i="16"/>
  <c r="S4059" i="16"/>
  <c r="T4059" i="16" s="1"/>
  <c r="M4060" i="16"/>
  <c r="D4060" i="16"/>
  <c r="J4060" i="16"/>
  <c r="N4060" i="16" s="1"/>
  <c r="P4060" i="16"/>
  <c r="Q4060" i="16"/>
  <c r="R4060" i="16"/>
  <c r="L4061" i="16"/>
  <c r="C4061" i="16"/>
  <c r="K4061" i="16" s="1"/>
  <c r="E4061" i="16"/>
  <c r="F4061" i="16"/>
  <c r="O4061" i="16" s="1"/>
  <c r="G4061" i="16"/>
  <c r="I4061" i="16"/>
  <c r="B4062" i="16"/>
  <c r="M3760" i="16"/>
  <c r="D3760" i="16"/>
  <c r="J3760" i="16"/>
  <c r="N3760" i="16" s="1"/>
  <c r="P3760" i="16"/>
  <c r="Q3760" i="16"/>
  <c r="R3760" i="16"/>
  <c r="L3761" i="16"/>
  <c r="C3761" i="16"/>
  <c r="K3761" i="16" s="1"/>
  <c r="E3761" i="16"/>
  <c r="F3761" i="16"/>
  <c r="O3761" i="16" s="1"/>
  <c r="G3761" i="16"/>
  <c r="I3761" i="16"/>
  <c r="B3762" i="16"/>
  <c r="U3705" i="16"/>
  <c r="S3705" i="16"/>
  <c r="T3705" i="16" s="1"/>
  <c r="M3706" i="16"/>
  <c r="D3706" i="16"/>
  <c r="J3706" i="16"/>
  <c r="N3706" i="16" s="1"/>
  <c r="P3706" i="16"/>
  <c r="Q3706" i="16"/>
  <c r="R3706" i="16"/>
  <c r="L3707" i="16"/>
  <c r="C3707" i="16"/>
  <c r="K3707" i="16" s="1"/>
  <c r="E3707" i="16"/>
  <c r="F3707" i="16"/>
  <c r="O3707" i="16" s="1"/>
  <c r="G3707" i="16"/>
  <c r="I3707" i="16"/>
  <c r="B3708" i="16"/>
  <c r="U3651" i="16"/>
  <c r="S3651" i="16"/>
  <c r="T3651" i="16" s="1"/>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U3489" i="16"/>
  <c r="S3489" i="16"/>
  <c r="T3489" i="16" s="1"/>
  <c r="M3490" i="16"/>
  <c r="D3490" i="16"/>
  <c r="J3490" i="16"/>
  <c r="N3490" i="16" s="1"/>
  <c r="P3490" i="16"/>
  <c r="Q3490" i="16"/>
  <c r="R3490" i="16"/>
  <c r="L3491" i="16"/>
  <c r="I3491" i="16"/>
  <c r="C3491" i="16"/>
  <c r="K3491" i="16" s="1"/>
  <c r="E3491" i="16"/>
  <c r="F3491" i="16"/>
  <c r="O3491" i="16" s="1"/>
  <c r="G3491" i="16"/>
  <c r="B3492" i="16"/>
  <c r="D3436" i="16"/>
  <c r="J3436" i="16"/>
  <c r="P3436" i="16"/>
  <c r="Q3436" i="16"/>
  <c r="R3436" i="16"/>
  <c r="L3437" i="16"/>
  <c r="C3437" i="16"/>
  <c r="K3437" i="16" s="1"/>
  <c r="E3437" i="16"/>
  <c r="F3437" i="16"/>
  <c r="O3437" i="16" s="1"/>
  <c r="G3437" i="16"/>
  <c r="B3438" i="16"/>
  <c r="I3437" i="16"/>
  <c r="U3381" i="16"/>
  <c r="S3381" i="16"/>
  <c r="T3381" i="16" s="1"/>
  <c r="M3382" i="16"/>
  <c r="D3382" i="16"/>
  <c r="J3382" i="16"/>
  <c r="N3382" i="16" s="1"/>
  <c r="P3382" i="16"/>
  <c r="Q3382" i="16"/>
  <c r="R3382" i="16"/>
  <c r="L3383" i="16"/>
  <c r="C3383" i="16"/>
  <c r="E3383" i="16"/>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M3220" i="16"/>
  <c r="D3220" i="16"/>
  <c r="J3220" i="16"/>
  <c r="N3220" i="16" s="1"/>
  <c r="P3220" i="16"/>
  <c r="Q3220" i="16"/>
  <c r="R3220" i="16"/>
  <c r="L3221" i="16"/>
  <c r="E3221" i="16"/>
  <c r="G3221" i="16"/>
  <c r="B3222" i="16"/>
  <c r="I3221" i="16"/>
  <c r="C3221" i="16"/>
  <c r="U3165" i="16"/>
  <c r="S3165" i="16"/>
  <c r="T3165" i="16" s="1"/>
  <c r="M3166" i="16"/>
  <c r="D3166" i="16"/>
  <c r="J3166" i="16"/>
  <c r="N3166" i="16" s="1"/>
  <c r="P3166" i="16"/>
  <c r="Q3166" i="16"/>
  <c r="R3166" i="16"/>
  <c r="L3167" i="16"/>
  <c r="C3167" i="16"/>
  <c r="K3167" i="16" s="1"/>
  <c r="E3167" i="16"/>
  <c r="F3167" i="16"/>
  <c r="O3167" i="16" s="1"/>
  <c r="G3167" i="16"/>
  <c r="I3167" i="16"/>
  <c r="B3168" i="16"/>
  <c r="U3111" i="16"/>
  <c r="S3111" i="16"/>
  <c r="T3111" i="16" s="1"/>
  <c r="M3112" i="16"/>
  <c r="L3113" i="16"/>
  <c r="E3113" i="16"/>
  <c r="C3113" i="16"/>
  <c r="I3113" i="16"/>
  <c r="B3114" i="16"/>
  <c r="G3113" i="16"/>
  <c r="D3112" i="16"/>
  <c r="J3112" i="16"/>
  <c r="N3112" i="16" s="1"/>
  <c r="P3112" i="16"/>
  <c r="Q3112" i="16"/>
  <c r="R3112" i="16"/>
  <c r="U3057" i="16"/>
  <c r="S3057" i="16"/>
  <c r="T3057" i="16" s="1"/>
  <c r="M3058" i="16"/>
  <c r="P3058" i="16"/>
  <c r="Q3058" i="16"/>
  <c r="R3058" i="16"/>
  <c r="J3058" i="16"/>
  <c r="N3058" i="16" s="1"/>
  <c r="D3058" i="16"/>
  <c r="L3059" i="16"/>
  <c r="G3059" i="16"/>
  <c r="I3059" i="16"/>
  <c r="B3060" i="16"/>
  <c r="C3059" i="16"/>
  <c r="E3059" i="16"/>
  <c r="U3003" i="16"/>
  <c r="S3003" i="16"/>
  <c r="T3003" i="16" s="1"/>
  <c r="J3004" i="16"/>
  <c r="D3004" i="16"/>
  <c r="P3004" i="16"/>
  <c r="Q3004" i="16"/>
  <c r="R3004" i="16"/>
  <c r="L3005" i="16"/>
  <c r="E3005" i="16"/>
  <c r="C3005" i="16"/>
  <c r="K3005" i="16" s="1"/>
  <c r="F3005" i="16"/>
  <c r="O3005" i="16" s="1"/>
  <c r="G3005" i="16"/>
  <c r="B3006" i="16"/>
  <c r="I3005" i="16"/>
  <c r="D2950" i="16"/>
  <c r="J2950" i="16"/>
  <c r="P2950" i="16"/>
  <c r="Q2950" i="16"/>
  <c r="R2950" i="16"/>
  <c r="L2951" i="16"/>
  <c r="C2951" i="16"/>
  <c r="K2951" i="16" s="1"/>
  <c r="E2951" i="16"/>
  <c r="F2951" i="16"/>
  <c r="O2951" i="16" s="1"/>
  <c r="G2951" i="16"/>
  <c r="I2951" i="16"/>
  <c r="B2952" i="16"/>
  <c r="M2896" i="16"/>
  <c r="D2896" i="16"/>
  <c r="J2896" i="16"/>
  <c r="N2896" i="16" s="1"/>
  <c r="P2896" i="16"/>
  <c r="Q2896" i="16"/>
  <c r="R2896" i="16"/>
  <c r="L2897" i="16"/>
  <c r="C2897" i="16"/>
  <c r="K2897" i="16" s="1"/>
  <c r="E2897" i="16"/>
  <c r="F2897" i="16"/>
  <c r="O2897" i="16" s="1"/>
  <c r="G2897" i="16"/>
  <c r="I2897" i="16"/>
  <c r="B2898" i="16"/>
  <c r="L2843" i="16"/>
  <c r="I2843" i="16"/>
  <c r="B2844" i="16"/>
  <c r="C2843" i="16"/>
  <c r="K2843" i="16" s="1"/>
  <c r="E2843" i="16"/>
  <c r="F2843" i="16"/>
  <c r="O2843" i="16" s="1"/>
  <c r="G2843" i="16"/>
  <c r="J2842" i="16"/>
  <c r="D2842" i="16"/>
  <c r="P2842" i="16"/>
  <c r="Q2842" i="16"/>
  <c r="R2842" i="16"/>
  <c r="M2788" i="16"/>
  <c r="N2788" i="16"/>
  <c r="S2788" i="16" s="1"/>
  <c r="T2788" i="16" s="1"/>
  <c r="U2788" i="16" s="1"/>
  <c r="P2788" i="16"/>
  <c r="Q2788" i="16"/>
  <c r="R2788" i="16"/>
  <c r="L2789" i="16"/>
  <c r="E2789" i="16"/>
  <c r="B2790" i="16"/>
  <c r="C2789" i="16"/>
  <c r="G2789" i="16"/>
  <c r="I2789" i="16"/>
  <c r="D2788" i="16"/>
  <c r="J2788" i="16"/>
  <c r="U2733" i="16"/>
  <c r="S2733" i="16"/>
  <c r="T2733" i="16" s="1"/>
  <c r="M2734" i="16"/>
  <c r="D2734" i="16"/>
  <c r="J2734" i="16"/>
  <c r="N2734" i="16" s="1"/>
  <c r="P2734" i="16"/>
  <c r="Q2734" i="16"/>
  <c r="R2734" i="16"/>
  <c r="L2735" i="16"/>
  <c r="C2735" i="16"/>
  <c r="K2735" i="16" s="1"/>
  <c r="E2735" i="16"/>
  <c r="F2735" i="16"/>
  <c r="O2735" i="16" s="1"/>
  <c r="G2735" i="16"/>
  <c r="I2735" i="16"/>
  <c r="B2736" i="16"/>
  <c r="M2680" i="16"/>
  <c r="D2680" i="16"/>
  <c r="J2680" i="16"/>
  <c r="N2680" i="16" s="1"/>
  <c r="L2681" i="16"/>
  <c r="E2681" i="16"/>
  <c r="G2681" i="16"/>
  <c r="B2682" i="16"/>
  <c r="I2681" i="16"/>
  <c r="C2681" i="16"/>
  <c r="P2680" i="16"/>
  <c r="Q2680" i="16"/>
  <c r="R2680" i="16"/>
  <c r="P2626" i="16"/>
  <c r="Q2626" i="16"/>
  <c r="R2626" i="16"/>
  <c r="L2627" i="16"/>
  <c r="G2627" i="16"/>
  <c r="E2627" i="16"/>
  <c r="I2627" i="16"/>
  <c r="C2627" i="16"/>
  <c r="B2628" i="16"/>
  <c r="D2626" i="16"/>
  <c r="J2626" i="16"/>
  <c r="U2571" i="16"/>
  <c r="S2571" i="16"/>
  <c r="T2571" i="16" s="1"/>
  <c r="P2572" i="16"/>
  <c r="Q2572" i="16"/>
  <c r="R2572" i="16"/>
  <c r="L2573" i="16"/>
  <c r="B2574" i="16"/>
  <c r="I2573" i="16"/>
  <c r="E2573" i="16"/>
  <c r="G2573" i="16"/>
  <c r="C2573" i="16"/>
  <c r="K2573" i="16" s="1"/>
  <c r="F2573" i="16"/>
  <c r="O2573" i="16" s="1"/>
  <c r="J2572" i="16"/>
  <c r="D2572"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M2410" i="16"/>
  <c r="D2410" i="16"/>
  <c r="J2410" i="16"/>
  <c r="N2410" i="16" s="1"/>
  <c r="P2410" i="16"/>
  <c r="Q2410" i="16"/>
  <c r="R2410" i="16"/>
  <c r="L2411" i="16"/>
  <c r="C2411" i="16"/>
  <c r="E2411" i="16"/>
  <c r="G2411" i="16"/>
  <c r="I2411" i="16"/>
  <c r="B2412" i="16"/>
  <c r="P2356" i="16"/>
  <c r="Q2356" i="16"/>
  <c r="R2356" i="16"/>
  <c r="L2357" i="16"/>
  <c r="C2357" i="16"/>
  <c r="K2357" i="16" s="1"/>
  <c r="I2357" i="16"/>
  <c r="G2357" i="16"/>
  <c r="E2357" i="16"/>
  <c r="B2358" i="16"/>
  <c r="F2357" i="16"/>
  <c r="O2357" i="16" s="1"/>
  <c r="J2356" i="16"/>
  <c r="D2356" i="16"/>
  <c r="M2302" i="16"/>
  <c r="D2302" i="16"/>
  <c r="J2302" i="16"/>
  <c r="N2302" i="16" s="1"/>
  <c r="P2302" i="16"/>
  <c r="Q2302" i="16"/>
  <c r="R2302" i="16"/>
  <c r="L2303" i="16"/>
  <c r="C2303" i="16"/>
  <c r="E2303" i="16"/>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E2195" i="16"/>
  <c r="G2195" i="16"/>
  <c r="I2195" i="16"/>
  <c r="B2196" i="16"/>
  <c r="U2139" i="16"/>
  <c r="S2139" i="16"/>
  <c r="T2139" i="16" s="1"/>
  <c r="M2140" i="16"/>
  <c r="D2140" i="16"/>
  <c r="J2140" i="16"/>
  <c r="N2140" i="16" s="1"/>
  <c r="P2140" i="16"/>
  <c r="Q2140" i="16"/>
  <c r="R2140" i="16"/>
  <c r="L2141" i="16"/>
  <c r="C2141" i="16"/>
  <c r="E2141" i="16"/>
  <c r="G2141" i="16"/>
  <c r="I2141" i="16"/>
  <c r="B2142" i="16"/>
  <c r="U2085" i="16"/>
  <c r="S2085" i="16"/>
  <c r="T2085" i="16" s="1"/>
  <c r="D2086" i="16"/>
  <c r="J2086" i="16"/>
  <c r="P2086" i="16"/>
  <c r="Q2086" i="16"/>
  <c r="R2086" i="16"/>
  <c r="L2087" i="16"/>
  <c r="C2087" i="16"/>
  <c r="E2087" i="16"/>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M1924" i="16"/>
  <c r="D1924" i="16"/>
  <c r="J1924" i="16"/>
  <c r="N1924" i="16" s="1"/>
  <c r="P1924" i="16"/>
  <c r="Q1924" i="16"/>
  <c r="R1924" i="16"/>
  <c r="L1925" i="16"/>
  <c r="C1925" i="16"/>
  <c r="K1925" i="16" s="1"/>
  <c r="E1925" i="16"/>
  <c r="F1925" i="16"/>
  <c r="O1925" i="16" s="1"/>
  <c r="G1925" i="16"/>
  <c r="I1925" i="16"/>
  <c r="B1926" i="16"/>
  <c r="M1870" i="16"/>
  <c r="D1870" i="16"/>
  <c r="J1870" i="16"/>
  <c r="N1870" i="16" s="1"/>
  <c r="P1870" i="16"/>
  <c r="Q1870" i="16"/>
  <c r="R1870" i="16"/>
  <c r="L1871" i="16"/>
  <c r="C1871" i="16"/>
  <c r="K1871" i="16" s="1"/>
  <c r="E1871" i="16"/>
  <c r="F1871" i="16"/>
  <c r="O1871" i="16" s="1"/>
  <c r="G1871" i="16"/>
  <c r="I1871" i="16"/>
  <c r="B1872" i="16"/>
  <c r="U1815" i="16"/>
  <c r="S1815" i="16"/>
  <c r="T1815" i="16" s="1"/>
  <c r="D1816" i="16"/>
  <c r="J1816" i="16"/>
  <c r="P1816" i="16"/>
  <c r="Q1816" i="16"/>
  <c r="R1816" i="16"/>
  <c r="L1817" i="16"/>
  <c r="C1817" i="16"/>
  <c r="E1817" i="16"/>
  <c r="G1817" i="16"/>
  <c r="I1817" i="16"/>
  <c r="B1818" i="16"/>
  <c r="U1761" i="16"/>
  <c r="S1761" i="16"/>
  <c r="T1761" i="16" s="1"/>
  <c r="M1762" i="16"/>
  <c r="D1762" i="16"/>
  <c r="J1762" i="16"/>
  <c r="N1762" i="16" s="1"/>
  <c r="P1762" i="16"/>
  <c r="Q1762" i="16"/>
  <c r="R1762" i="16"/>
  <c r="L1763" i="16"/>
  <c r="C1763" i="16"/>
  <c r="E1763" i="16"/>
  <c r="G1763" i="16"/>
  <c r="I1763" i="16"/>
  <c r="B1764" i="16"/>
  <c r="U1707" i="16"/>
  <c r="S1707" i="16"/>
  <c r="T1707" i="16" s="1"/>
  <c r="M1708" i="16"/>
  <c r="D1708" i="16"/>
  <c r="J1708" i="16"/>
  <c r="N1708" i="16" s="1"/>
  <c r="P1708" i="16"/>
  <c r="Q1708" i="16"/>
  <c r="R1708" i="16"/>
  <c r="L1709" i="16"/>
  <c r="C1709" i="16"/>
  <c r="K1709" i="16" s="1"/>
  <c r="E1709" i="16"/>
  <c r="F1709" i="16"/>
  <c r="O1709" i="16" s="1"/>
  <c r="G1709" i="16"/>
  <c r="I1709" i="16"/>
  <c r="B1710" i="16"/>
  <c r="M1654" i="16"/>
  <c r="D1654" i="16"/>
  <c r="J1654" i="16"/>
  <c r="N1654" i="16" s="1"/>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E1601" i="16"/>
  <c r="G1601" i="16"/>
  <c r="I1601" i="16"/>
  <c r="B1602" i="16"/>
  <c r="U1545" i="16"/>
  <c r="S1545" i="16"/>
  <c r="T1545" i="16" s="1"/>
  <c r="D1546" i="16"/>
  <c r="J1546" i="16"/>
  <c r="P1546" i="16"/>
  <c r="Q1546" i="16"/>
  <c r="R1546" i="16"/>
  <c r="L1547" i="16"/>
  <c r="C1547" i="16"/>
  <c r="E1547" i="16"/>
  <c r="G1547" i="16"/>
  <c r="I1547" i="16"/>
  <c r="B1548" i="16"/>
  <c r="U1491" i="16"/>
  <c r="S1491" i="16"/>
  <c r="T1491" i="16" s="1"/>
  <c r="L1493" i="16"/>
  <c r="C1493" i="16"/>
  <c r="K1493" i="16" s="1"/>
  <c r="F1493" i="16"/>
  <c r="O1493" i="16" s="1"/>
  <c r="B1494" i="16"/>
  <c r="G1493" i="16"/>
  <c r="E1493" i="16"/>
  <c r="I1493" i="16"/>
  <c r="P1492" i="16"/>
  <c r="Q1492" i="16"/>
  <c r="R1492" i="16"/>
  <c r="J1492" i="16"/>
  <c r="D1492" i="16"/>
  <c r="M1438" i="16"/>
  <c r="J1438" i="16"/>
  <c r="N1438" i="16" s="1"/>
  <c r="D1438" i="16"/>
  <c r="P1438" i="16"/>
  <c r="Q1438" i="16"/>
  <c r="R1438" i="16"/>
  <c r="L1439" i="16"/>
  <c r="C1439" i="16"/>
  <c r="K1439" i="16" s="1"/>
  <c r="G1439" i="16"/>
  <c r="B1440" i="16"/>
  <c r="I1439" i="16"/>
  <c r="F1439" i="16"/>
  <c r="O1439" i="16" s="1"/>
  <c r="E1439" i="16"/>
  <c r="M1384" i="16"/>
  <c r="D1384" i="16"/>
  <c r="J1384" i="16"/>
  <c r="N1384" i="16" s="1"/>
  <c r="P1384" i="16"/>
  <c r="Q1384" i="16"/>
  <c r="R1384" i="16"/>
  <c r="L1385" i="16"/>
  <c r="I1385" i="16"/>
  <c r="E1385" i="16"/>
  <c r="B1386" i="16"/>
  <c r="C1385" i="16"/>
  <c r="G1385" i="16"/>
  <c r="L1331" i="16"/>
  <c r="B1332" i="16"/>
  <c r="G1331" i="16"/>
  <c r="I1331" i="16"/>
  <c r="C1331" i="16"/>
  <c r="E1331" i="16"/>
  <c r="D1330" i="16"/>
  <c r="J1330" i="16"/>
  <c r="P1330" i="16"/>
  <c r="Q1330" i="16"/>
  <c r="R1330" i="16"/>
  <c r="P1276" i="16"/>
  <c r="Q1276" i="16"/>
  <c r="R1276" i="16"/>
  <c r="J1276" i="16"/>
  <c r="D1276" i="16"/>
  <c r="L1277" i="16"/>
  <c r="E1277" i="16"/>
  <c r="I1277" i="16"/>
  <c r="C1277" i="16"/>
  <c r="K1277" i="16" s="1"/>
  <c r="F1277" i="16"/>
  <c r="O1277" i="16" s="1"/>
  <c r="B1278" i="16"/>
  <c r="G1277" i="16"/>
  <c r="P1222" i="16"/>
  <c r="Q1222" i="16"/>
  <c r="R1222" i="16"/>
  <c r="I1223" i="16"/>
  <c r="C1223" i="16"/>
  <c r="K1223" i="16"/>
  <c r="F1223" i="16"/>
  <c r="O1223" i="16" s="1"/>
  <c r="E1223" i="16"/>
  <c r="G1223" i="16"/>
  <c r="B1224" i="16"/>
  <c r="L1223" i="16"/>
  <c r="J1222" i="16"/>
  <c r="D1222" i="16"/>
  <c r="M1168" i="16"/>
  <c r="D1168" i="16"/>
  <c r="J1168" i="16"/>
  <c r="N1168" i="16" s="1"/>
  <c r="P1168" i="16"/>
  <c r="Q1168" i="16"/>
  <c r="R1168" i="16"/>
  <c r="L1169" i="16"/>
  <c r="C1169" i="16"/>
  <c r="K1169" i="16" s="1"/>
  <c r="E1169" i="16"/>
  <c r="F1169" i="16"/>
  <c r="O1169" i="16" s="1"/>
  <c r="G1169" i="16"/>
  <c r="I1169" i="16"/>
  <c r="B1170" i="16"/>
  <c r="M1114" i="16"/>
  <c r="D1114" i="16"/>
  <c r="J1114" i="16"/>
  <c r="N1114" i="16" s="1"/>
  <c r="P1114" i="16"/>
  <c r="Q1114" i="16"/>
  <c r="R1114" i="16"/>
  <c r="L1115" i="16"/>
  <c r="C1115" i="16"/>
  <c r="K1115" i="16" s="1"/>
  <c r="E1115" i="16"/>
  <c r="F1115" i="16"/>
  <c r="O1115" i="16" s="1"/>
  <c r="G1115" i="16"/>
  <c r="I1115" i="16"/>
  <c r="B1116" i="16"/>
  <c r="U1059" i="16"/>
  <c r="S1059" i="16"/>
  <c r="T1059" i="16" s="1"/>
  <c r="D1060" i="16"/>
  <c r="J1060" i="16"/>
  <c r="P1060" i="16"/>
  <c r="Q1060" i="16"/>
  <c r="R1060" i="16"/>
  <c r="L1061" i="16"/>
  <c r="C1061" i="16"/>
  <c r="E1061" i="16"/>
  <c r="G1061" i="16"/>
  <c r="I1061" i="16"/>
  <c r="B1062" i="16"/>
  <c r="P1006" i="16"/>
  <c r="Q1006" i="16"/>
  <c r="R1006" i="16"/>
  <c r="L1007" i="16"/>
  <c r="E1007" i="16"/>
  <c r="C1007" i="16"/>
  <c r="K1007" i="16" s="1"/>
  <c r="G1007" i="16"/>
  <c r="B1008" i="16"/>
  <c r="F1007" i="16"/>
  <c r="O1007" i="16" s="1"/>
  <c r="I1007" i="16"/>
  <c r="J1006" i="16"/>
  <c r="D1006" i="16"/>
  <c r="U951" i="16"/>
  <c r="S951" i="16"/>
  <c r="T951" i="16" s="1"/>
  <c r="M952" i="16"/>
  <c r="D952" i="16"/>
  <c r="J952" i="16"/>
  <c r="N952" i="16" s="1"/>
  <c r="P952" i="16"/>
  <c r="Q952" i="16"/>
  <c r="R952" i="16"/>
  <c r="L953" i="16"/>
  <c r="C953" i="16"/>
  <c r="K953" i="16" s="1"/>
  <c r="E953" i="16"/>
  <c r="F953" i="16"/>
  <c r="O953" i="16" s="1"/>
  <c r="G953" i="16"/>
  <c r="I953" i="16"/>
  <c r="B954" i="16"/>
  <c r="M898" i="16"/>
  <c r="D898" i="16"/>
  <c r="J898" i="16"/>
  <c r="N898" i="16" s="1"/>
  <c r="P898" i="16"/>
  <c r="Q898" i="16"/>
  <c r="R898" i="16"/>
  <c r="L899" i="16"/>
  <c r="C899" i="16"/>
  <c r="E899" i="16"/>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U789" i="16"/>
  <c r="S789" i="16"/>
  <c r="T789" i="16" s="1"/>
  <c r="D790" i="16"/>
  <c r="J790" i="16"/>
  <c r="P790" i="16"/>
  <c r="Q790" i="16"/>
  <c r="R790" i="16"/>
  <c r="L791" i="16"/>
  <c r="C791" i="16"/>
  <c r="K791" i="16" s="1"/>
  <c r="E791" i="16"/>
  <c r="F791" i="16"/>
  <c r="O791" i="16" s="1"/>
  <c r="G791" i="16"/>
  <c r="I791" i="16"/>
  <c r="B792" i="16"/>
  <c r="U735" i="16"/>
  <c r="S735" i="16"/>
  <c r="T735" i="16" s="1"/>
  <c r="M736" i="16"/>
  <c r="D736" i="16"/>
  <c r="J736" i="16"/>
  <c r="N736" i="16" s="1"/>
  <c r="P736" i="16"/>
  <c r="Q736" i="16"/>
  <c r="R736" i="16"/>
  <c r="L737" i="16"/>
  <c r="C737" i="16"/>
  <c r="E737" i="16"/>
  <c r="G737" i="16"/>
  <c r="I737" i="16"/>
  <c r="B738" i="16"/>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U573" i="16"/>
  <c r="S573" i="16"/>
  <c r="T573" i="16" s="1"/>
  <c r="J574" i="16"/>
  <c r="D574" i="16"/>
  <c r="P574" i="16"/>
  <c r="Q574" i="16"/>
  <c r="R574" i="16"/>
  <c r="L575" i="16"/>
  <c r="I575" i="16"/>
  <c r="B576" i="16"/>
  <c r="C575" i="16"/>
  <c r="K575" i="16" s="1"/>
  <c r="E575" i="16"/>
  <c r="F575" i="16"/>
  <c r="O575" i="16" s="1"/>
  <c r="G575" i="16"/>
  <c r="U519" i="16"/>
  <c r="S519" i="16"/>
  <c r="T519" i="16" s="1"/>
  <c r="M520" i="16"/>
  <c r="D520" i="16"/>
  <c r="J520" i="16"/>
  <c r="N520" i="16" s="1"/>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K359" i="16" s="1"/>
  <c r="E359" i="16"/>
  <c r="F359" i="16"/>
  <c r="O359" i="16" s="1"/>
  <c r="G359" i="16"/>
  <c r="I359" i="16"/>
  <c r="B360" i="16"/>
  <c r="U303" i="16"/>
  <c r="S303" i="16"/>
  <c r="T303" i="16" s="1"/>
  <c r="M304" i="16"/>
  <c r="D304" i="16"/>
  <c r="J304" i="16"/>
  <c r="N304" i="16" s="1"/>
  <c r="P304" i="16"/>
  <c r="Q304" i="16"/>
  <c r="R304" i="16"/>
  <c r="L305" i="16"/>
  <c r="C305" i="16"/>
  <c r="K305" i="16" s="1"/>
  <c r="E305" i="16"/>
  <c r="F305" i="16"/>
  <c r="O305" i="16" s="1"/>
  <c r="G305" i="16"/>
  <c r="I305" i="16"/>
  <c r="B306" i="16"/>
  <c r="U249" i="16"/>
  <c r="S249" i="16"/>
  <c r="T249" i="16" s="1"/>
  <c r="D250" i="16"/>
  <c r="J250" i="16"/>
  <c r="P250" i="16"/>
  <c r="Q250" i="16"/>
  <c r="R250" i="16"/>
  <c r="L251" i="16"/>
  <c r="C251" i="16"/>
  <c r="K251" i="16" s="1"/>
  <c r="E251" i="16"/>
  <c r="F251" i="16"/>
  <c r="O251" i="16" s="1"/>
  <c r="G251" i="16"/>
  <c r="I251" i="16"/>
  <c r="B252" i="16"/>
  <c r="U195" i="16"/>
  <c r="S195" i="16"/>
  <c r="T195" i="16" s="1"/>
  <c r="P196" i="16"/>
  <c r="Q196" i="16"/>
  <c r="R196" i="16"/>
  <c r="D196" i="16"/>
  <c r="J196" i="16"/>
  <c r="L197" i="16"/>
  <c r="G197" i="16"/>
  <c r="C197" i="16"/>
  <c r="K197" i="16" s="1"/>
  <c r="E197" i="16"/>
  <c r="F197" i="16"/>
  <c r="O197" i="16" s="1"/>
  <c r="I197" i="16"/>
  <c r="B198" i="16"/>
  <c r="M142" i="16"/>
  <c r="D142" i="16"/>
  <c r="J142" i="16"/>
  <c r="N142" i="16" s="1"/>
  <c r="P142" i="16"/>
  <c r="Q142" i="16"/>
  <c r="R142" i="16"/>
  <c r="L143" i="16"/>
  <c r="E143" i="16"/>
  <c r="G143" i="16"/>
  <c r="B144" i="16"/>
  <c r="C143" i="16"/>
  <c r="K143" i="16" s="1"/>
  <c r="F143" i="16"/>
  <c r="O143" i="16" s="1"/>
  <c r="I143" i="16"/>
  <c r="U87" i="16"/>
  <c r="S87" i="16"/>
  <c r="T87" i="16" s="1"/>
  <c r="M88" i="16"/>
  <c r="D88" i="16"/>
  <c r="J88" i="16"/>
  <c r="N88" i="16" s="1"/>
  <c r="P88" i="16"/>
  <c r="Q88" i="16"/>
  <c r="R88" i="16"/>
  <c r="L89" i="16"/>
  <c r="C89" i="16"/>
  <c r="E89" i="16"/>
  <c r="G89" i="16"/>
  <c r="I89" i="16"/>
  <c r="B90" i="16"/>
  <c r="U25" i="4"/>
  <c r="S25" i="4"/>
  <c r="T25" i="4" s="1"/>
  <c r="M26" i="4"/>
  <c r="D26" i="4"/>
  <c r="J26" i="4"/>
  <c r="N26" i="4" s="1"/>
  <c r="AD26" i="4"/>
  <c r="AC26" i="4"/>
  <c r="AB26" i="4"/>
  <c r="AA26" i="4"/>
  <c r="Z26" i="4"/>
  <c r="Y26" i="4"/>
  <c r="X26" i="4"/>
  <c r="W26" i="4"/>
  <c r="P26" i="4"/>
  <c r="Q26" i="4"/>
  <c r="R26" i="4"/>
  <c r="V26" i="4"/>
  <c r="L27" i="4"/>
  <c r="C27" i="4"/>
  <c r="E27" i="4"/>
  <c r="G27" i="4"/>
  <c r="I27" i="4"/>
  <c r="B28" i="4"/>
  <c r="B27" i="5"/>
  <c r="AG16" i="4"/>
  <c r="B74" i="7"/>
  <c r="I74" i="7" s="1"/>
  <c r="AG15" i="4"/>
  <c r="AF17" i="4"/>
  <c r="AF18" i="4"/>
  <c r="AF19" i="4"/>
  <c r="AF20" i="4"/>
  <c r="AF21" i="4"/>
  <c r="AF22" i="4"/>
  <c r="AF23" i="4"/>
  <c r="AF24" i="4"/>
  <c r="AF25" i="4"/>
  <c r="AF26" i="4"/>
  <c r="AF27" i="4"/>
  <c r="U4166" i="16"/>
  <c r="S4166" i="16"/>
  <c r="T4166" i="16" s="1"/>
  <c r="U3704" i="16"/>
  <c r="S3704" i="16"/>
  <c r="T3704" i="16" s="1"/>
  <c r="U3650" i="16"/>
  <c r="S3650" i="16"/>
  <c r="T3650" i="16" s="1"/>
  <c r="U3272" i="16"/>
  <c r="S3272" i="16"/>
  <c r="T3272" i="16" s="1"/>
  <c r="S3218" i="16"/>
  <c r="T3218" i="16" s="1"/>
  <c r="U3218" i="16"/>
  <c r="U3110" i="16"/>
  <c r="S3110" i="16"/>
  <c r="T3110" i="16" s="1"/>
  <c r="U3056" i="16"/>
  <c r="S3056" i="16"/>
  <c r="T3056" i="16" s="1"/>
  <c r="U2840" i="16"/>
  <c r="S2840" i="16"/>
  <c r="T2840" i="16" s="1"/>
  <c r="U2732" i="16"/>
  <c r="S2732" i="16"/>
  <c r="T2732" i="16" s="1"/>
  <c r="U2678" i="16"/>
  <c r="S2678" i="16"/>
  <c r="T2678" i="16" s="1"/>
  <c r="U2570" i="16"/>
  <c r="S2570" i="16"/>
  <c r="T2570" i="16" s="1"/>
  <c r="U2354" i="16"/>
  <c r="S2354" i="16"/>
  <c r="T2354" i="16" s="1"/>
  <c r="U2138" i="16"/>
  <c r="S2138" i="16"/>
  <c r="T2138" i="16" s="1"/>
  <c r="U2084" i="16"/>
  <c r="S2084" i="16"/>
  <c r="T2084" i="16" s="1"/>
  <c r="U1868" i="16"/>
  <c r="S1868" i="16"/>
  <c r="T1868" i="16" s="1"/>
  <c r="U1706" i="16"/>
  <c r="S1706" i="16"/>
  <c r="T1706" i="16" s="1"/>
  <c r="U1652" i="16"/>
  <c r="S1652" i="16"/>
  <c r="T1652" i="16" s="1"/>
  <c r="U1598" i="16"/>
  <c r="S1598" i="16"/>
  <c r="T1598" i="16" s="1"/>
  <c r="U1382" i="16"/>
  <c r="S1382" i="16"/>
  <c r="T1382" i="16" s="1"/>
  <c r="U1328" i="16"/>
  <c r="S1328" i="16"/>
  <c r="T1328" i="16" s="1"/>
  <c r="U1004" i="16"/>
  <c r="S1004" i="16"/>
  <c r="T1004" i="16" s="1"/>
  <c r="U950" i="16"/>
  <c r="S950" i="16"/>
  <c r="T950" i="16" s="1"/>
  <c r="U896" i="16"/>
  <c r="S896" i="16"/>
  <c r="T896" i="16" s="1"/>
  <c r="U842" i="16"/>
  <c r="S842" i="16"/>
  <c r="T842" i="16" s="1"/>
  <c r="U680" i="16"/>
  <c r="S680" i="16"/>
  <c r="T680" i="16" s="1"/>
  <c r="U626" i="16"/>
  <c r="S626" i="16"/>
  <c r="T626" i="16" s="1"/>
  <c r="U410" i="16"/>
  <c r="S410" i="16"/>
  <c r="T410" i="16" s="1"/>
  <c r="U356" i="16"/>
  <c r="S356" i="16"/>
  <c r="T356" i="16" s="1"/>
  <c r="U194" i="16"/>
  <c r="S194" i="16"/>
  <c r="T194" i="16" s="1"/>
  <c r="U140" i="16"/>
  <c r="S140" i="16"/>
  <c r="T140" i="16" s="1"/>
  <c r="M4575" i="16"/>
  <c r="N4575" i="16"/>
  <c r="M4221" i="16"/>
  <c r="N4221" i="16"/>
  <c r="M3759" i="16"/>
  <c r="N3759" i="16"/>
  <c r="M3435" i="16"/>
  <c r="N3435" i="16"/>
  <c r="N3219" i="16"/>
  <c r="M3219" i="16"/>
  <c r="M2949" i="16"/>
  <c r="N2949" i="16"/>
  <c r="M2895" i="16"/>
  <c r="N2895" i="16"/>
  <c r="M2841" i="16"/>
  <c r="N2841" i="16"/>
  <c r="M2787" i="16"/>
  <c r="N2787" i="16"/>
  <c r="S2787" i="16" s="1"/>
  <c r="T2787" i="16" s="1"/>
  <c r="U2787" i="16" s="1"/>
  <c r="M2679" i="16"/>
  <c r="N2679" i="16"/>
  <c r="M2625" i="16"/>
  <c r="N2625" i="16"/>
  <c r="M2409" i="16"/>
  <c r="N2409" i="16"/>
  <c r="N2355" i="16"/>
  <c r="M2355" i="16"/>
  <c r="M2301" i="16"/>
  <c r="N2301" i="16"/>
  <c r="M1869" i="16"/>
  <c r="N1869" i="16"/>
  <c r="M1653" i="16"/>
  <c r="N1653" i="16"/>
  <c r="N1437" i="16"/>
  <c r="M1437" i="16"/>
  <c r="N1383" i="16"/>
  <c r="M1383" i="16"/>
  <c r="M1329" i="16"/>
  <c r="N1329" i="16"/>
  <c r="M1275" i="16"/>
  <c r="N1275" i="16"/>
  <c r="M1221" i="16"/>
  <c r="N1221" i="16"/>
  <c r="M1167" i="16"/>
  <c r="N1167" i="16"/>
  <c r="M1113" i="16"/>
  <c r="N1113" i="16"/>
  <c r="N1005" i="16"/>
  <c r="M1005" i="16"/>
  <c r="M897" i="16"/>
  <c r="N897" i="16"/>
  <c r="M681" i="16"/>
  <c r="N681" i="16"/>
  <c r="M141" i="16"/>
  <c r="N141" i="16"/>
  <c r="K4576" i="16"/>
  <c r="F4576" i="16"/>
  <c r="K4222" i="16"/>
  <c r="F4222" i="16"/>
  <c r="O4222" i="16" s="1"/>
  <c r="F4114" i="16"/>
  <c r="O4114" i="16" s="1"/>
  <c r="K4114" i="16"/>
  <c r="K3436" i="16"/>
  <c r="F3436" i="16"/>
  <c r="O3436" i="16" s="1"/>
  <c r="F3004" i="16"/>
  <c r="O3004" i="16" s="1"/>
  <c r="K3004" i="16"/>
  <c r="K2950" i="16"/>
  <c r="F2950" i="16"/>
  <c r="O2950" i="16" s="1"/>
  <c r="K2842" i="16"/>
  <c r="F2842" i="16"/>
  <c r="O2842" i="16" s="1"/>
  <c r="K2626" i="16"/>
  <c r="F2626" i="16"/>
  <c r="O2626" i="16" s="1"/>
  <c r="K2356" i="16"/>
  <c r="F2356" i="16"/>
  <c r="O2356" i="16" s="1"/>
  <c r="F2086" i="16"/>
  <c r="O2086" i="16" s="1"/>
  <c r="K2086" i="16"/>
  <c r="F1816" i="16"/>
  <c r="O1816" i="16" s="1"/>
  <c r="K1816" i="16"/>
  <c r="F1546" i="16"/>
  <c r="O1546" i="16" s="1"/>
  <c r="K1546" i="16"/>
  <c r="K1492" i="16"/>
  <c r="F1492" i="16"/>
  <c r="O1492" i="16" s="1"/>
  <c r="F1330" i="16"/>
  <c r="O1330" i="16" s="1"/>
  <c r="K1330" i="16"/>
  <c r="K1222" i="16"/>
  <c r="F1222" i="16"/>
  <c r="O1222" i="16" s="1"/>
  <c r="K1060" i="16"/>
  <c r="F1060" i="16"/>
  <c r="O1060" i="16" s="1"/>
  <c r="F1006" i="16"/>
  <c r="O1006" i="16" s="1"/>
  <c r="K1006" i="16"/>
  <c r="K790" i="16"/>
  <c r="F790" i="16"/>
  <c r="O790" i="16" s="1"/>
  <c r="K574" i="16"/>
  <c r="F574" i="16"/>
  <c r="O574" i="16" s="1"/>
  <c r="F250" i="16"/>
  <c r="O250" i="16" s="1"/>
  <c r="K250" i="16"/>
  <c r="F196" i="16"/>
  <c r="O196" i="16" s="1"/>
  <c r="K196" i="16"/>
  <c r="F25" i="5"/>
  <c r="G25" i="5"/>
  <c r="H25" i="5"/>
  <c r="T4682" i="16"/>
  <c r="T4683" i="16"/>
  <c r="N1276" i="16" l="1"/>
  <c r="M2572" i="16"/>
  <c r="N2572" i="16"/>
  <c r="K4169" i="16"/>
  <c r="F4169" i="16"/>
  <c r="O4169" i="16" s="1"/>
  <c r="F2789" i="16"/>
  <c r="O2789" i="16" s="1"/>
  <c r="K2789" i="16"/>
  <c r="K2681" i="16"/>
  <c r="F2681" i="16"/>
  <c r="O2681" i="16" s="1"/>
  <c r="K2411" i="16"/>
  <c r="F2411" i="16"/>
  <c r="O2411" i="16" s="1"/>
  <c r="K2195" i="16"/>
  <c r="F2195" i="16"/>
  <c r="O2195" i="16" s="1"/>
  <c r="K1763" i="16"/>
  <c r="F1763" i="16"/>
  <c r="O1763" i="16" s="1"/>
  <c r="K899" i="16"/>
  <c r="F899" i="16"/>
  <c r="O899" i="16" s="1"/>
  <c r="K89" i="16"/>
  <c r="F89" i="16"/>
  <c r="O89" i="16" s="1"/>
  <c r="U4684" i="16"/>
  <c r="S4684" i="16"/>
  <c r="M4685" i="16"/>
  <c r="D4685" i="16"/>
  <c r="J4685" i="16"/>
  <c r="N4685" i="16" s="1"/>
  <c r="P4685" i="16"/>
  <c r="Q4685" i="16"/>
  <c r="R4685" i="16"/>
  <c r="L4686" i="16"/>
  <c r="C4686" i="16"/>
  <c r="K4686" i="16" s="1"/>
  <c r="E4686" i="16"/>
  <c r="F4686" i="16"/>
  <c r="G4686" i="16"/>
  <c r="I4686" i="16"/>
  <c r="B4687" i="16"/>
  <c r="P4631" i="16"/>
  <c r="Q4631" i="16"/>
  <c r="R4631" i="16"/>
  <c r="C4632" i="16"/>
  <c r="D4632" i="16" s="1"/>
  <c r="E4632" i="16"/>
  <c r="F4632" i="16"/>
  <c r="O4632" i="16" s="1"/>
  <c r="G4632" i="16"/>
  <c r="B4633" i="16"/>
  <c r="D4577" i="16"/>
  <c r="J4577" i="16"/>
  <c r="P4577" i="16"/>
  <c r="Q4577" i="16"/>
  <c r="R4577" i="16"/>
  <c r="L4578" i="16"/>
  <c r="C4578" i="16"/>
  <c r="E4578" i="16"/>
  <c r="G4578" i="16"/>
  <c r="I4578" i="16"/>
  <c r="B4579" i="16"/>
  <c r="D4523" i="16"/>
  <c r="J4523" i="16"/>
  <c r="P4523" i="16"/>
  <c r="Q4523" i="16"/>
  <c r="R4523" i="16"/>
  <c r="C4524" i="16"/>
  <c r="E4524" i="16"/>
  <c r="G4524" i="16"/>
  <c r="I4524" i="16"/>
  <c r="L4524" i="16"/>
  <c r="B4525" i="16"/>
  <c r="M4223" i="16"/>
  <c r="D4223" i="16"/>
  <c r="J4223" i="16"/>
  <c r="N4223" i="16" s="1"/>
  <c r="P4223" i="16"/>
  <c r="Q4223" i="16"/>
  <c r="R4223" i="16"/>
  <c r="L4224" i="16"/>
  <c r="C4224" i="16"/>
  <c r="K4224" i="16" s="1"/>
  <c r="E4224" i="16"/>
  <c r="F4224" i="16"/>
  <c r="O4224" i="16" s="1"/>
  <c r="G4224" i="16"/>
  <c r="I4224" i="16"/>
  <c r="B4225" i="16"/>
  <c r="U4168" i="16"/>
  <c r="S4168" i="16"/>
  <c r="T4168" i="16" s="1"/>
  <c r="M4169" i="16"/>
  <c r="G4170" i="16"/>
  <c r="I4170" i="16"/>
  <c r="B4171" i="16"/>
  <c r="C4170" i="16"/>
  <c r="E4170" i="16"/>
  <c r="L4170" i="16"/>
  <c r="D4169" i="16"/>
  <c r="J4169" i="16"/>
  <c r="N4169" i="16" s="1"/>
  <c r="P4169" i="16"/>
  <c r="Q4169" i="16"/>
  <c r="R4169" i="16"/>
  <c r="J4115" i="16"/>
  <c r="D4115" i="16"/>
  <c r="P4115" i="16"/>
  <c r="Q4115" i="16"/>
  <c r="R4115" i="16"/>
  <c r="C4116" i="16"/>
  <c r="F4116" i="16" s="1"/>
  <c r="O4116" i="16" s="1"/>
  <c r="E4116" i="16"/>
  <c r="G4116" i="16"/>
  <c r="L4116" i="16"/>
  <c r="I4116" i="16"/>
  <c r="K4116" i="16"/>
  <c r="B4117" i="16"/>
  <c r="U4060" i="16"/>
  <c r="S4060" i="16"/>
  <c r="T4060" i="16" s="1"/>
  <c r="M4061" i="16"/>
  <c r="D4061" i="16"/>
  <c r="J4061" i="16"/>
  <c r="N4061" i="16" s="1"/>
  <c r="P4061" i="16"/>
  <c r="Q4061" i="16"/>
  <c r="R4061" i="16"/>
  <c r="L4062" i="16"/>
  <c r="C4062" i="16"/>
  <c r="K4062" i="16" s="1"/>
  <c r="E4062" i="16"/>
  <c r="F4062" i="16"/>
  <c r="O4062" i="16" s="1"/>
  <c r="G4062" i="16"/>
  <c r="I4062" i="16"/>
  <c r="B4063" i="16"/>
  <c r="U3760" i="16"/>
  <c r="S3760" i="16"/>
  <c r="T3760" i="16" s="1"/>
  <c r="M3761" i="16"/>
  <c r="D3761" i="16"/>
  <c r="J3761" i="16"/>
  <c r="N3761" i="16" s="1"/>
  <c r="P3761" i="16"/>
  <c r="Q3761" i="16"/>
  <c r="R3761" i="16"/>
  <c r="L3762" i="16"/>
  <c r="C3762" i="16"/>
  <c r="K3762" i="16" s="1"/>
  <c r="E3762" i="16"/>
  <c r="F3762" i="16"/>
  <c r="O3762" i="16" s="1"/>
  <c r="G3762" i="16"/>
  <c r="I3762" i="16"/>
  <c r="B3763" i="16"/>
  <c r="U3706" i="16"/>
  <c r="S3706" i="16"/>
  <c r="T3706" i="16" s="1"/>
  <c r="M3707" i="16"/>
  <c r="D3707" i="16"/>
  <c r="J3707" i="16"/>
  <c r="N3707" i="16" s="1"/>
  <c r="P3707" i="16"/>
  <c r="Q3707" i="16"/>
  <c r="R3707" i="16"/>
  <c r="L3708" i="16"/>
  <c r="C3708" i="16"/>
  <c r="E3708" i="16"/>
  <c r="G3708" i="16"/>
  <c r="I3708" i="16"/>
  <c r="B3709" i="16"/>
  <c r="U3652" i="16"/>
  <c r="S3652" i="16"/>
  <c r="T3652" i="16" s="1"/>
  <c r="D3653" i="16"/>
  <c r="J3653" i="16"/>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M3491" i="16"/>
  <c r="D3491" i="16"/>
  <c r="J3491" i="16"/>
  <c r="N3491" i="16" s="1"/>
  <c r="P3491" i="16"/>
  <c r="Q3491" i="16"/>
  <c r="R3491" i="16"/>
  <c r="L3492" i="16"/>
  <c r="G3492" i="16"/>
  <c r="I3492" i="16"/>
  <c r="B3493" i="16"/>
  <c r="C3492" i="16"/>
  <c r="E3492" i="16"/>
  <c r="M3437" i="16"/>
  <c r="D3437" i="16"/>
  <c r="J3437" i="16"/>
  <c r="N3437" i="16" s="1"/>
  <c r="P3437" i="16"/>
  <c r="Q3437" i="16"/>
  <c r="R3437" i="16"/>
  <c r="L3438" i="16"/>
  <c r="C3438" i="16"/>
  <c r="K3438" i="16" s="1"/>
  <c r="E3438" i="16"/>
  <c r="F3438" i="16"/>
  <c r="O3438" i="16" s="1"/>
  <c r="G3438" i="16"/>
  <c r="I3438" i="16"/>
  <c r="B3439" i="16"/>
  <c r="U3382" i="16"/>
  <c r="S3382" i="16"/>
  <c r="T3382" i="16" s="1"/>
  <c r="D3383" i="16"/>
  <c r="J3383" i="16"/>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S3220" i="16"/>
  <c r="T3220" i="16" s="1"/>
  <c r="U3220" i="16"/>
  <c r="P3221" i="16"/>
  <c r="Q3221" i="16"/>
  <c r="R3221" i="16"/>
  <c r="L3222" i="16"/>
  <c r="G3222" i="16"/>
  <c r="B3223" i="16"/>
  <c r="C3222" i="16"/>
  <c r="E3222" i="16"/>
  <c r="I3222" i="16"/>
  <c r="D3221" i="16"/>
  <c r="J3221" i="16"/>
  <c r="U3166" i="16"/>
  <c r="S3166" i="16"/>
  <c r="T3166" i="16" s="1"/>
  <c r="M3167" i="16"/>
  <c r="D3167" i="16"/>
  <c r="J3167" i="16"/>
  <c r="N3167" i="16" s="1"/>
  <c r="P3167" i="16"/>
  <c r="Q3167" i="16"/>
  <c r="R3167" i="16"/>
  <c r="L3168" i="16"/>
  <c r="C3168" i="16"/>
  <c r="E3168" i="16"/>
  <c r="G3168" i="16"/>
  <c r="I3168" i="16"/>
  <c r="B3169" i="16"/>
  <c r="U3112" i="16"/>
  <c r="S3112" i="16"/>
  <c r="T3112" i="16" s="1"/>
  <c r="D3113" i="16"/>
  <c r="J3113" i="16"/>
  <c r="L3114" i="16"/>
  <c r="I3114" i="16"/>
  <c r="C3114" i="16"/>
  <c r="B3115" i="16"/>
  <c r="E3114" i="16"/>
  <c r="G3114" i="16"/>
  <c r="P3113" i="16"/>
  <c r="Q3113" i="16"/>
  <c r="R3113" i="16"/>
  <c r="U3058" i="16"/>
  <c r="S3058" i="16"/>
  <c r="T3058" i="16" s="1"/>
  <c r="P3059" i="16"/>
  <c r="Q3059" i="16"/>
  <c r="R3059" i="16"/>
  <c r="L3060" i="16"/>
  <c r="G3060" i="16"/>
  <c r="C3060" i="16"/>
  <c r="K3060" i="16" s="1"/>
  <c r="E3060" i="16"/>
  <c r="F3060" i="16"/>
  <c r="O3060" i="16" s="1"/>
  <c r="B3061" i="16"/>
  <c r="I3060" i="16"/>
  <c r="D3059" i="16"/>
  <c r="J3059" i="16"/>
  <c r="M3005" i="16"/>
  <c r="J3005" i="16"/>
  <c r="N3005" i="16" s="1"/>
  <c r="D3005" i="16"/>
  <c r="P3005" i="16"/>
  <c r="Q3005" i="16"/>
  <c r="R3005" i="16"/>
  <c r="L3006" i="16"/>
  <c r="G3006" i="16"/>
  <c r="I3006" i="16"/>
  <c r="C3006" i="16"/>
  <c r="E3006" i="16"/>
  <c r="B3007" i="16"/>
  <c r="M2951" i="16"/>
  <c r="D2951" i="16"/>
  <c r="J2951" i="16"/>
  <c r="N2951" i="16" s="1"/>
  <c r="P2951" i="16"/>
  <c r="Q2951" i="16"/>
  <c r="R2951" i="16"/>
  <c r="L2952" i="16"/>
  <c r="C2952" i="16"/>
  <c r="K2952" i="16" s="1"/>
  <c r="E2952" i="16"/>
  <c r="F2952" i="16"/>
  <c r="O2952" i="16" s="1"/>
  <c r="G2952" i="16"/>
  <c r="I2952" i="16"/>
  <c r="B2953" i="16"/>
  <c r="U2896" i="16"/>
  <c r="S2896" i="16"/>
  <c r="T2896" i="16" s="1"/>
  <c r="M2897" i="16"/>
  <c r="D2897" i="16"/>
  <c r="J2897" i="16"/>
  <c r="N2897" i="16" s="1"/>
  <c r="P2897" i="16"/>
  <c r="Q2897" i="16"/>
  <c r="R2897" i="16"/>
  <c r="L2898" i="16"/>
  <c r="C2898" i="16"/>
  <c r="E2898" i="16"/>
  <c r="G2898" i="16"/>
  <c r="I2898" i="16"/>
  <c r="B2899" i="16"/>
  <c r="M2843" i="16"/>
  <c r="L2844" i="16"/>
  <c r="B2845" i="16"/>
  <c r="E2844" i="16"/>
  <c r="G2844" i="16"/>
  <c r="C2844" i="16"/>
  <c r="I2844" i="16"/>
  <c r="D2843" i="16"/>
  <c r="J2843" i="16"/>
  <c r="N2843" i="16" s="1"/>
  <c r="P2843" i="16"/>
  <c r="Q2843" i="16"/>
  <c r="R2843" i="16"/>
  <c r="M2789" i="16"/>
  <c r="L2790" i="16"/>
  <c r="G2790" i="16"/>
  <c r="B2791" i="16"/>
  <c r="I2790" i="16"/>
  <c r="C2790" i="16"/>
  <c r="E2790" i="16"/>
  <c r="J2789" i="16"/>
  <c r="N2789" i="16" s="1"/>
  <c r="S2789" i="16" s="1"/>
  <c r="T2789" i="16" s="1"/>
  <c r="U2789" i="16" s="1"/>
  <c r="D2789" i="16"/>
  <c r="P2789" i="16"/>
  <c r="Q2789" i="16"/>
  <c r="R2789"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P2681" i="16"/>
  <c r="Q2681" i="16"/>
  <c r="R2681" i="16"/>
  <c r="L2682" i="16"/>
  <c r="C2682" i="16"/>
  <c r="K2682" i="16" s="1"/>
  <c r="I2682" i="16"/>
  <c r="B2683" i="16"/>
  <c r="G2682" i="16"/>
  <c r="F2682" i="16"/>
  <c r="O2682" i="16" s="1"/>
  <c r="E2682" i="16"/>
  <c r="D2681" i="16"/>
  <c r="J2681" i="16"/>
  <c r="N2681" i="16" s="1"/>
  <c r="P2627" i="16"/>
  <c r="Q2627" i="16"/>
  <c r="R2627" i="16"/>
  <c r="J2627" i="16"/>
  <c r="D2627" i="16"/>
  <c r="L2628" i="16"/>
  <c r="E2628" i="16"/>
  <c r="G2628" i="16"/>
  <c r="B2629" i="16"/>
  <c r="I2628" i="16"/>
  <c r="C2628" i="16"/>
  <c r="U2572" i="16"/>
  <c r="S2572" i="16"/>
  <c r="T2572" i="16" s="1"/>
  <c r="M2573" i="16"/>
  <c r="L2574" i="16"/>
  <c r="G2574" i="16"/>
  <c r="C2574" i="16"/>
  <c r="K2574" i="16" s="1"/>
  <c r="B2575" i="16"/>
  <c r="I2574" i="16"/>
  <c r="F2574" i="16"/>
  <c r="O2574" i="16" s="1"/>
  <c r="E2574" i="16"/>
  <c r="P2573" i="16"/>
  <c r="Q2573" i="16"/>
  <c r="R2573" i="16"/>
  <c r="J2573" i="16"/>
  <c r="N2573" i="16" s="1"/>
  <c r="D2573" i="16"/>
  <c r="U2518" i="16"/>
  <c r="S2518" i="16"/>
  <c r="T2518" i="16" s="1"/>
  <c r="M2519" i="16"/>
  <c r="D2519" i="16"/>
  <c r="J2519" i="16"/>
  <c r="N2519" i="16" s="1"/>
  <c r="P2519" i="16"/>
  <c r="Q2519" i="16"/>
  <c r="R2519" i="16"/>
  <c r="L2520" i="16"/>
  <c r="C2520" i="16"/>
  <c r="E2520" i="16"/>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U2410" i="16"/>
  <c r="S2410" i="16"/>
  <c r="T2410" i="16" s="1"/>
  <c r="M2411" i="16"/>
  <c r="D2411" i="16"/>
  <c r="J2411" i="16"/>
  <c r="N2411" i="16" s="1"/>
  <c r="P2411" i="16"/>
  <c r="Q2411" i="16"/>
  <c r="R2411" i="16"/>
  <c r="L2412" i="16"/>
  <c r="C2412" i="16"/>
  <c r="K2412" i="16" s="1"/>
  <c r="E2412" i="16"/>
  <c r="F2412" i="16"/>
  <c r="O2412" i="16" s="1"/>
  <c r="G2412" i="16"/>
  <c r="I2412" i="16"/>
  <c r="B2413" i="16"/>
  <c r="M2357" i="16"/>
  <c r="J2357" i="16"/>
  <c r="N2357" i="16" s="1"/>
  <c r="D2357" i="16"/>
  <c r="P2357" i="16"/>
  <c r="Q2357" i="16"/>
  <c r="R2357" i="16"/>
  <c r="L2358" i="16"/>
  <c r="I2358" i="16"/>
  <c r="B2359" i="16"/>
  <c r="E2358" i="16"/>
  <c r="C2358" i="16"/>
  <c r="G2358" i="16"/>
  <c r="U2302" i="16"/>
  <c r="S2302" i="16"/>
  <c r="T2302" i="16" s="1"/>
  <c r="D2303" i="16"/>
  <c r="J2303" i="16"/>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E2250" i="16"/>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U2140" i="16"/>
  <c r="S2140" i="16"/>
  <c r="T2140" i="16" s="1"/>
  <c r="D2141" i="16"/>
  <c r="J2141" i="16"/>
  <c r="P2141" i="16"/>
  <c r="Q2141" i="16"/>
  <c r="R2141" i="16"/>
  <c r="L2142" i="16"/>
  <c r="C2142" i="16"/>
  <c r="E2142" i="16"/>
  <c r="G2142" i="16"/>
  <c r="I2142" i="16"/>
  <c r="B2143" i="16"/>
  <c r="D2087" i="16"/>
  <c r="J2087" i="16"/>
  <c r="P2087" i="16"/>
  <c r="Q2087" i="16"/>
  <c r="R2087" i="16"/>
  <c r="L2088" i="16"/>
  <c r="C2088" i="16"/>
  <c r="E2088" i="16"/>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U1924" i="16"/>
  <c r="S1924" i="16"/>
  <c r="T1924" i="16" s="1"/>
  <c r="M1925" i="16"/>
  <c r="D1925" i="16"/>
  <c r="J1925" i="16"/>
  <c r="N1925" i="16" s="1"/>
  <c r="P1925" i="16"/>
  <c r="Q1925" i="16"/>
  <c r="R1925" i="16"/>
  <c r="L1926" i="16"/>
  <c r="C1926" i="16"/>
  <c r="K1926" i="16" s="1"/>
  <c r="E1926" i="16"/>
  <c r="F1926" i="16"/>
  <c r="O1926" i="16" s="1"/>
  <c r="G1926" i="16"/>
  <c r="I1926" i="16"/>
  <c r="B1927" i="16"/>
  <c r="U1870" i="16"/>
  <c r="S1870" i="16"/>
  <c r="T1870" i="16" s="1"/>
  <c r="M1871" i="16"/>
  <c r="D1871" i="16"/>
  <c r="J1871" i="16"/>
  <c r="N1871" i="16" s="1"/>
  <c r="P1871" i="16"/>
  <c r="Q1871" i="16"/>
  <c r="R1871" i="16"/>
  <c r="L1872" i="16"/>
  <c r="C1872" i="16"/>
  <c r="K1872" i="16" s="1"/>
  <c r="E1872" i="16"/>
  <c r="F1872" i="16"/>
  <c r="O1872" i="16" s="1"/>
  <c r="G1872" i="16"/>
  <c r="I1872" i="16"/>
  <c r="B1873" i="16"/>
  <c r="D1817" i="16"/>
  <c r="J1817" i="16"/>
  <c r="P1817" i="16"/>
  <c r="Q1817" i="16"/>
  <c r="R1817" i="16"/>
  <c r="L1818" i="16"/>
  <c r="C1818" i="16"/>
  <c r="E1818" i="16"/>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U1654" i="16"/>
  <c r="S1654" i="16"/>
  <c r="T1654" i="16" s="1"/>
  <c r="D1655" i="16"/>
  <c r="J1655" i="16"/>
  <c r="P1655" i="16"/>
  <c r="Q1655" i="16"/>
  <c r="R1655" i="16"/>
  <c r="L1656" i="16"/>
  <c r="C1656" i="16"/>
  <c r="K1656" i="16" s="1"/>
  <c r="E1656" i="16"/>
  <c r="F1656" i="16"/>
  <c r="O1656" i="16" s="1"/>
  <c r="G1656" i="16"/>
  <c r="I1656" i="16"/>
  <c r="B1657" i="16"/>
  <c r="U1600" i="16"/>
  <c r="S1600" i="16"/>
  <c r="T1600" i="16" s="1"/>
  <c r="D1601" i="16"/>
  <c r="J1601" i="16"/>
  <c r="P1601" i="16"/>
  <c r="Q1601" i="16"/>
  <c r="R1601" i="16"/>
  <c r="L1602" i="16"/>
  <c r="C1602" i="16"/>
  <c r="E1602" i="16"/>
  <c r="G1602" i="16"/>
  <c r="I1602" i="16"/>
  <c r="B1603" i="16"/>
  <c r="D1547" i="16"/>
  <c r="J1547" i="16"/>
  <c r="P1547" i="16"/>
  <c r="Q1547" i="16"/>
  <c r="R1547" i="16"/>
  <c r="L1548" i="16"/>
  <c r="C1548" i="16"/>
  <c r="E1548" i="16"/>
  <c r="G1548" i="16"/>
  <c r="I1548" i="16"/>
  <c r="B1549" i="16"/>
  <c r="M1493" i="16"/>
  <c r="D1493" i="16"/>
  <c r="J1493" i="16"/>
  <c r="N1493" i="16" s="1"/>
  <c r="L1494" i="16"/>
  <c r="G1494" i="16"/>
  <c r="I1494" i="16"/>
  <c r="B1495" i="16"/>
  <c r="E1494" i="16"/>
  <c r="C1494" i="16"/>
  <c r="P1493" i="16"/>
  <c r="Q1493" i="16"/>
  <c r="R1493" i="16"/>
  <c r="U1438" i="16"/>
  <c r="S1438" i="16"/>
  <c r="T1438" i="16" s="1"/>
  <c r="M1439" i="16"/>
  <c r="D1439" i="16"/>
  <c r="J1439" i="16"/>
  <c r="N1439" i="16" s="1"/>
  <c r="P1439" i="16"/>
  <c r="Q1439" i="16"/>
  <c r="R1439" i="16"/>
  <c r="L1440" i="16"/>
  <c r="G1440" i="16"/>
  <c r="E1440" i="16"/>
  <c r="I1440" i="16"/>
  <c r="B1441" i="16"/>
  <c r="C1440" i="16"/>
  <c r="U1384" i="16"/>
  <c r="S1384" i="16"/>
  <c r="T1384" i="16" s="1"/>
  <c r="L1386" i="16"/>
  <c r="E1386" i="16"/>
  <c r="G1386" i="16"/>
  <c r="C1386" i="16"/>
  <c r="K1386" i="16" s="1"/>
  <c r="F1386" i="16"/>
  <c r="O1386" i="16" s="1"/>
  <c r="B1387" i="16"/>
  <c r="I1386" i="16"/>
  <c r="D1385" i="16"/>
  <c r="J1385" i="16"/>
  <c r="P1385" i="16"/>
  <c r="Q1385" i="16"/>
  <c r="R1385" i="16"/>
  <c r="L1332" i="16"/>
  <c r="G1332" i="16"/>
  <c r="B1333" i="16"/>
  <c r="E1332" i="16"/>
  <c r="I1332" i="16"/>
  <c r="C1332" i="16"/>
  <c r="P1331" i="16"/>
  <c r="Q1331" i="16"/>
  <c r="R1331" i="16"/>
  <c r="J1331" i="16"/>
  <c r="D1331" i="16"/>
  <c r="U1276" i="16"/>
  <c r="S1276" i="16"/>
  <c r="T1276" i="16" s="1"/>
  <c r="M1277" i="16"/>
  <c r="J1277" i="16"/>
  <c r="N1277" i="16" s="1"/>
  <c r="D1277" i="16"/>
  <c r="L1278" i="16"/>
  <c r="B1279" i="16"/>
  <c r="C1278" i="16"/>
  <c r="K1278" i="16" s="1"/>
  <c r="E1278" i="16"/>
  <c r="I1278" i="16"/>
  <c r="G1278" i="16"/>
  <c r="F1278" i="16"/>
  <c r="O1278" i="16" s="1"/>
  <c r="P1277" i="16"/>
  <c r="Q1277" i="16"/>
  <c r="R1277" i="16"/>
  <c r="D1223" i="16"/>
  <c r="J1223" i="16"/>
  <c r="M1223" i="16"/>
  <c r="N1223" i="16"/>
  <c r="P1223" i="16"/>
  <c r="Q1223" i="16"/>
  <c r="R1223" i="16"/>
  <c r="B1225" i="16"/>
  <c r="C1224" i="16"/>
  <c r="E1224" i="16"/>
  <c r="F1224" i="16"/>
  <c r="O1224" i="16" s="1"/>
  <c r="K1224" i="16"/>
  <c r="I1224" i="16"/>
  <c r="L1224" i="16"/>
  <c r="G1224"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D1061" i="16"/>
  <c r="J1061" i="16"/>
  <c r="P1061" i="16"/>
  <c r="Q1061" i="16"/>
  <c r="R1061" i="16"/>
  <c r="L1062" i="16"/>
  <c r="C1062" i="16"/>
  <c r="E1062" i="16"/>
  <c r="G1062" i="16"/>
  <c r="I1062" i="16"/>
  <c r="B1063" i="16"/>
  <c r="M1007" i="16"/>
  <c r="D1007" i="16"/>
  <c r="J1007" i="16"/>
  <c r="N1007" i="16" s="1"/>
  <c r="P1007" i="16"/>
  <c r="Q1007" i="16"/>
  <c r="R1007" i="16"/>
  <c r="L1008" i="16"/>
  <c r="C1008" i="16"/>
  <c r="G1008" i="16"/>
  <c r="B1009" i="16"/>
  <c r="I1008" i="16"/>
  <c r="E1008" i="16"/>
  <c r="U952" i="16"/>
  <c r="S952" i="16"/>
  <c r="T952" i="16" s="1"/>
  <c r="M953" i="16"/>
  <c r="D953" i="16"/>
  <c r="J953" i="16"/>
  <c r="N953" i="16" s="1"/>
  <c r="P953" i="16"/>
  <c r="Q953" i="16"/>
  <c r="R953" i="16"/>
  <c r="L954" i="16"/>
  <c r="C954" i="16"/>
  <c r="E954" i="16"/>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E846" i="16"/>
  <c r="G846" i="16"/>
  <c r="I846" i="16"/>
  <c r="B847" i="16"/>
  <c r="M791" i="16"/>
  <c r="D791" i="16"/>
  <c r="J791" i="16"/>
  <c r="N791" i="16" s="1"/>
  <c r="P791" i="16"/>
  <c r="Q791" i="16"/>
  <c r="R791" i="16"/>
  <c r="L792" i="16"/>
  <c r="C792" i="16"/>
  <c r="E792" i="16"/>
  <c r="G792" i="16"/>
  <c r="I792" i="16"/>
  <c r="B793" i="16"/>
  <c r="U736" i="16"/>
  <c r="S736" i="16"/>
  <c r="T736" i="16" s="1"/>
  <c r="D737" i="16"/>
  <c r="J737" i="16"/>
  <c r="P737" i="16"/>
  <c r="Q737" i="16"/>
  <c r="R737" i="16"/>
  <c r="L738" i="16"/>
  <c r="K738" i="16"/>
  <c r="C738" i="16"/>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K630" i="16" s="1"/>
  <c r="E630" i="16"/>
  <c r="F630" i="16"/>
  <c r="O630" i="16" s="1"/>
  <c r="G630" i="16"/>
  <c r="I630" i="16"/>
  <c r="B631" i="16"/>
  <c r="M575" i="16"/>
  <c r="L576" i="16"/>
  <c r="G576" i="16"/>
  <c r="I576" i="16"/>
  <c r="C576" i="16"/>
  <c r="E576" i="16"/>
  <c r="B577" i="16"/>
  <c r="J575" i="16"/>
  <c r="N575" i="16" s="1"/>
  <c r="D575" i="16"/>
  <c r="P575" i="16"/>
  <c r="Q575" i="16"/>
  <c r="R575" i="16"/>
  <c r="U520" i="16"/>
  <c r="S520" i="16"/>
  <c r="T520" i="16" s="1"/>
  <c r="M521" i="16"/>
  <c r="D521" i="16"/>
  <c r="J521" i="16"/>
  <c r="N521" i="16" s="1"/>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U358" i="16"/>
  <c r="S358" i="16"/>
  <c r="T358" i="16" s="1"/>
  <c r="M359" i="16"/>
  <c r="D359" i="16"/>
  <c r="J359" i="16"/>
  <c r="N359" i="16" s="1"/>
  <c r="P359" i="16"/>
  <c r="Q359" i="16"/>
  <c r="R359" i="16"/>
  <c r="L360" i="16"/>
  <c r="C360" i="16"/>
  <c r="E360" i="16"/>
  <c r="G360" i="16"/>
  <c r="I360" i="16"/>
  <c r="B361" i="16"/>
  <c r="U304" i="16"/>
  <c r="S304" i="16"/>
  <c r="T304" i="16" s="1"/>
  <c r="M305" i="16"/>
  <c r="D305" i="16"/>
  <c r="J305" i="16"/>
  <c r="N305" i="16" s="1"/>
  <c r="P305" i="16"/>
  <c r="Q305" i="16"/>
  <c r="R305" i="16"/>
  <c r="L306" i="16"/>
  <c r="C306" i="16"/>
  <c r="E306" i="16"/>
  <c r="G306" i="16"/>
  <c r="I306" i="16"/>
  <c r="B307" i="16"/>
  <c r="M251" i="16"/>
  <c r="D251" i="16"/>
  <c r="J251" i="16"/>
  <c r="N251" i="16" s="1"/>
  <c r="P251" i="16"/>
  <c r="Q251" i="16"/>
  <c r="R251" i="16"/>
  <c r="L252" i="16"/>
  <c r="C252" i="16"/>
  <c r="K252" i="16" s="1"/>
  <c r="E252" i="16"/>
  <c r="F252" i="16"/>
  <c r="O252" i="16" s="1"/>
  <c r="G252" i="16"/>
  <c r="I252" i="16"/>
  <c r="B253" i="16"/>
  <c r="M197" i="16"/>
  <c r="P197" i="16"/>
  <c r="Q197" i="16"/>
  <c r="R197" i="16"/>
  <c r="D197" i="16"/>
  <c r="J197" i="16"/>
  <c r="N197" i="16" s="1"/>
  <c r="L198" i="16"/>
  <c r="C198" i="16"/>
  <c r="K198" i="16" s="1"/>
  <c r="E198" i="16"/>
  <c r="G198" i="16"/>
  <c r="F198" i="16"/>
  <c r="O198" i="16" s="1"/>
  <c r="I198" i="16"/>
  <c r="B199" i="16"/>
  <c r="U142" i="16"/>
  <c r="S142" i="16"/>
  <c r="T142" i="16" s="1"/>
  <c r="M143" i="16"/>
  <c r="P143" i="16"/>
  <c r="Q143" i="16"/>
  <c r="R143" i="16"/>
  <c r="L144" i="16"/>
  <c r="B145" i="16"/>
  <c r="C144" i="16"/>
  <c r="E144" i="16"/>
  <c r="G144" i="16"/>
  <c r="I144" i="16"/>
  <c r="D143" i="16"/>
  <c r="J143" i="16"/>
  <c r="N143" i="16" s="1"/>
  <c r="U88" i="16"/>
  <c r="S88" i="16"/>
  <c r="T88" i="16" s="1"/>
  <c r="M89" i="16"/>
  <c r="D89" i="16"/>
  <c r="J89" i="16"/>
  <c r="N89" i="16" s="1"/>
  <c r="P89" i="16"/>
  <c r="Q89" i="16"/>
  <c r="R89" i="16"/>
  <c r="L90" i="16"/>
  <c r="C90" i="16"/>
  <c r="K90" i="16" s="1"/>
  <c r="E90" i="16"/>
  <c r="F90" i="16"/>
  <c r="O90" i="16" s="1"/>
  <c r="G90" i="16"/>
  <c r="I90" i="16"/>
  <c r="B91" i="16"/>
  <c r="U26" i="4"/>
  <c r="S26" i="4"/>
  <c r="T26" i="4" s="1"/>
  <c r="D27" i="4"/>
  <c r="J27" i="4"/>
  <c r="AE27" i="4"/>
  <c r="AD27" i="4"/>
  <c r="AC27" i="4"/>
  <c r="AB27" i="4"/>
  <c r="AA27" i="4"/>
  <c r="Z27" i="4"/>
  <c r="Y27" i="4"/>
  <c r="X27" i="4"/>
  <c r="W27" i="4"/>
  <c r="P27" i="4"/>
  <c r="F27" i="5" s="1"/>
  <c r="Q27" i="4"/>
  <c r="G27" i="5" s="1"/>
  <c r="R27" i="4"/>
  <c r="H27" i="5" s="1"/>
  <c r="V27" i="4"/>
  <c r="L28" i="4"/>
  <c r="C28" i="4"/>
  <c r="K28" i="4" s="1"/>
  <c r="E28" i="4"/>
  <c r="F28" i="4"/>
  <c r="C28" i="5" s="1"/>
  <c r="E28" i="5" s="1"/>
  <c r="O28" i="4" s="1"/>
  <c r="G28" i="4"/>
  <c r="AG28" i="4" s="1"/>
  <c r="I28" i="4"/>
  <c r="B29" i="4"/>
  <c r="B28" i="5"/>
  <c r="AH16" i="4"/>
  <c r="B75" i="7"/>
  <c r="I75" i="7" s="1"/>
  <c r="AH15" i="4"/>
  <c r="AG17" i="4"/>
  <c r="AG18" i="4"/>
  <c r="AG19" i="4"/>
  <c r="AG20" i="4"/>
  <c r="AG21" i="4"/>
  <c r="AG22" i="4"/>
  <c r="AG23" i="4"/>
  <c r="AG24" i="4"/>
  <c r="AG25" i="4"/>
  <c r="AG26" i="4"/>
  <c r="AG27" i="4"/>
  <c r="U4221" i="16"/>
  <c r="S4221" i="16"/>
  <c r="T4221" i="16" s="1"/>
  <c r="U3759" i="16"/>
  <c r="S3759" i="16"/>
  <c r="T3759" i="16" s="1"/>
  <c r="S3435" i="16"/>
  <c r="T3435" i="16" s="1"/>
  <c r="U3435" i="16"/>
  <c r="U3219" i="16"/>
  <c r="S3219" i="16"/>
  <c r="T3219" i="16" s="1"/>
  <c r="U2949" i="16"/>
  <c r="S2949" i="16"/>
  <c r="T2949" i="16" s="1"/>
  <c r="U2895" i="16"/>
  <c r="S2895" i="16"/>
  <c r="T2895" i="16" s="1"/>
  <c r="U2841" i="16"/>
  <c r="S2841" i="16"/>
  <c r="T2841" i="16" s="1"/>
  <c r="U2679" i="16"/>
  <c r="S2679" i="16"/>
  <c r="T2679" i="16" s="1"/>
  <c r="U2625" i="16"/>
  <c r="S2625" i="16"/>
  <c r="T2625" i="16" s="1"/>
  <c r="U2409" i="16"/>
  <c r="S2409" i="16"/>
  <c r="T2409" i="16" s="1"/>
  <c r="U2355" i="16"/>
  <c r="S2355" i="16"/>
  <c r="T2355" i="16" s="1"/>
  <c r="U2301" i="16"/>
  <c r="S2301" i="16"/>
  <c r="T2301" i="16" s="1"/>
  <c r="U1869" i="16"/>
  <c r="S1869" i="16"/>
  <c r="T1869" i="16" s="1"/>
  <c r="U1653" i="16"/>
  <c r="S1653" i="16"/>
  <c r="T1653" i="16" s="1"/>
  <c r="U1437" i="16"/>
  <c r="S1437" i="16"/>
  <c r="T1437" i="16" s="1"/>
  <c r="U1383" i="16"/>
  <c r="S1383" i="16"/>
  <c r="T1383" i="16" s="1"/>
  <c r="U1329" i="16"/>
  <c r="S1329" i="16"/>
  <c r="T1329" i="16" s="1"/>
  <c r="U1275" i="16"/>
  <c r="S1275" i="16"/>
  <c r="T1275" i="16" s="1"/>
  <c r="S1221" i="16"/>
  <c r="T1221" i="16" s="1"/>
  <c r="U1221" i="16"/>
  <c r="U1167" i="16"/>
  <c r="S1167" i="16"/>
  <c r="T1167" i="16" s="1"/>
  <c r="U1113" i="16"/>
  <c r="S1113" i="16"/>
  <c r="T1113" i="16" s="1"/>
  <c r="U1005" i="16"/>
  <c r="S1005" i="16"/>
  <c r="T1005" i="16" s="1"/>
  <c r="U897" i="16"/>
  <c r="S897" i="16"/>
  <c r="T897" i="16" s="1"/>
  <c r="U681" i="16"/>
  <c r="S681" i="16"/>
  <c r="T681" i="16" s="1"/>
  <c r="U141" i="16"/>
  <c r="S141" i="16"/>
  <c r="T141" i="16" s="1"/>
  <c r="M4576" i="16"/>
  <c r="N4576" i="16"/>
  <c r="M4222" i="16"/>
  <c r="N4222" i="16"/>
  <c r="N4114" i="16"/>
  <c r="M4114" i="16"/>
  <c r="M3436" i="16"/>
  <c r="N3436" i="16"/>
  <c r="N3004" i="16"/>
  <c r="M3004" i="16"/>
  <c r="M2950" i="16"/>
  <c r="N2950" i="16"/>
  <c r="M2842" i="16"/>
  <c r="N2842" i="16"/>
  <c r="N2626" i="16"/>
  <c r="M2626" i="16"/>
  <c r="N2356" i="16"/>
  <c r="M2356" i="16"/>
  <c r="M2086" i="16"/>
  <c r="N2086" i="16"/>
  <c r="M1816" i="16"/>
  <c r="N1816" i="16"/>
  <c r="M1546" i="16"/>
  <c r="N1546" i="16"/>
  <c r="N1492" i="16"/>
  <c r="M1492" i="16"/>
  <c r="M1330" i="16"/>
  <c r="N1330" i="16"/>
  <c r="M1222" i="16"/>
  <c r="N1222" i="16"/>
  <c r="M1060" i="16"/>
  <c r="N1060" i="16"/>
  <c r="N1006" i="16"/>
  <c r="M1006" i="16"/>
  <c r="M790" i="16"/>
  <c r="N790" i="16"/>
  <c r="M574" i="16"/>
  <c r="N574" i="16"/>
  <c r="M250" i="16"/>
  <c r="N250" i="16"/>
  <c r="M196" i="16"/>
  <c r="N196" i="16"/>
  <c r="F4577" i="16"/>
  <c r="K4577" i="16"/>
  <c r="K4523" i="16"/>
  <c r="F4523" i="16"/>
  <c r="F4115" i="16"/>
  <c r="O4115" i="16" s="1"/>
  <c r="K4115" i="16"/>
  <c r="F3653" i="16"/>
  <c r="O3653" i="16" s="1"/>
  <c r="K3653" i="16"/>
  <c r="F3383" i="16"/>
  <c r="O3383" i="16" s="1"/>
  <c r="K3383" i="16"/>
  <c r="K3221" i="16"/>
  <c r="F3221" i="16"/>
  <c r="O3221" i="16" s="1"/>
  <c r="K3113" i="16"/>
  <c r="F3113" i="16"/>
  <c r="O3113" i="16" s="1"/>
  <c r="F3059" i="16"/>
  <c r="O3059" i="16" s="1"/>
  <c r="K3059" i="16"/>
  <c r="K2627" i="16"/>
  <c r="F2627" i="16"/>
  <c r="O2627" i="16" s="1"/>
  <c r="K2303" i="16"/>
  <c r="F2303" i="16"/>
  <c r="O2303" i="16" s="1"/>
  <c r="F2141" i="16"/>
  <c r="O2141" i="16" s="1"/>
  <c r="K2141" i="16"/>
  <c r="F2087" i="16"/>
  <c r="O2087" i="16" s="1"/>
  <c r="K2087" i="16"/>
  <c r="F1817" i="16"/>
  <c r="O1817" i="16" s="1"/>
  <c r="K1817" i="16"/>
  <c r="K1655" i="16"/>
  <c r="F1655" i="16"/>
  <c r="O1655" i="16" s="1"/>
  <c r="K1601" i="16"/>
  <c r="F1601" i="16"/>
  <c r="O1601" i="16" s="1"/>
  <c r="K1547" i="16"/>
  <c r="F1547" i="16"/>
  <c r="O1547" i="16" s="1"/>
  <c r="F1385" i="16"/>
  <c r="O1385" i="16" s="1"/>
  <c r="K1385" i="16"/>
  <c r="F1331" i="16"/>
  <c r="O1331" i="16" s="1"/>
  <c r="K1331" i="16"/>
  <c r="K1061" i="16"/>
  <c r="F1061" i="16"/>
  <c r="O1061" i="16" s="1"/>
  <c r="K737" i="16"/>
  <c r="F737" i="16"/>
  <c r="O737" i="16" s="1"/>
  <c r="F26" i="5"/>
  <c r="G26" i="5"/>
  <c r="H26" i="5"/>
  <c r="F27" i="4"/>
  <c r="C27" i="5" s="1"/>
  <c r="E27" i="5" s="1"/>
  <c r="O27" i="4" s="1"/>
  <c r="K27" i="4"/>
  <c r="K4578" i="16" l="1"/>
  <c r="F4578" i="16"/>
  <c r="K3654" i="16"/>
  <c r="F3654" i="16"/>
  <c r="O3654" i="16" s="1"/>
  <c r="K3114" i="16"/>
  <c r="F3114" i="16"/>
  <c r="O3114" i="16" s="1"/>
  <c r="K2790" i="16"/>
  <c r="F2790" i="16"/>
  <c r="O2790" i="16" s="1"/>
  <c r="K2628" i="16"/>
  <c r="F2628" i="16"/>
  <c r="O2628" i="16" s="1"/>
  <c r="K2520" i="16"/>
  <c r="F2520" i="16"/>
  <c r="O2520" i="16" s="1"/>
  <c r="K2250" i="16"/>
  <c r="F2250" i="16"/>
  <c r="O2250" i="16" s="1"/>
  <c r="F1008" i="16"/>
  <c r="O1008" i="16" s="1"/>
  <c r="K1008" i="16"/>
  <c r="K954" i="16"/>
  <c r="F954" i="16"/>
  <c r="O954" i="16" s="1"/>
  <c r="T4684" i="16"/>
  <c r="U4685" i="16"/>
  <c r="S4685" i="16"/>
  <c r="T4685" i="16" s="1"/>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M4578" i="16"/>
  <c r="D4578" i="16"/>
  <c r="J4578" i="16"/>
  <c r="N4578" i="16" s="1"/>
  <c r="P4578" i="16"/>
  <c r="Q4578" i="16"/>
  <c r="R4578" i="16"/>
  <c r="L4579" i="16"/>
  <c r="C4579" i="16"/>
  <c r="E4579" i="16"/>
  <c r="G4579" i="16"/>
  <c r="I4579" i="16"/>
  <c r="B4580" i="16"/>
  <c r="D4524" i="16"/>
  <c r="J4524" i="16"/>
  <c r="P4524" i="16"/>
  <c r="Q4524" i="16"/>
  <c r="R4524" i="16"/>
  <c r="C4525" i="16"/>
  <c r="F4525" i="16" s="1"/>
  <c r="E4525" i="16"/>
  <c r="G4525" i="16"/>
  <c r="L4525" i="16"/>
  <c r="I4525" i="16"/>
  <c r="K4525" i="16"/>
  <c r="B4526" i="16"/>
  <c r="U4223" i="16"/>
  <c r="S4223" i="16"/>
  <c r="T4223" i="16" s="1"/>
  <c r="M4224" i="16"/>
  <c r="D4224" i="16"/>
  <c r="J4224" i="16"/>
  <c r="N4224" i="16" s="1"/>
  <c r="P4224" i="16"/>
  <c r="Q4224" i="16"/>
  <c r="R4224" i="16"/>
  <c r="L4225" i="16"/>
  <c r="C4225" i="16"/>
  <c r="K4225" i="16" s="1"/>
  <c r="E4225" i="16"/>
  <c r="F4225" i="16"/>
  <c r="O4225" i="16" s="1"/>
  <c r="G4225" i="16"/>
  <c r="I4225" i="16"/>
  <c r="B4226" i="16"/>
  <c r="U4169" i="16"/>
  <c r="S4169" i="16"/>
  <c r="T4169" i="16" s="1"/>
  <c r="P4170" i="16"/>
  <c r="Q4170" i="16"/>
  <c r="R4170" i="16"/>
  <c r="C4171" i="16"/>
  <c r="F4171" i="16" s="1"/>
  <c r="O4171" i="16" s="1"/>
  <c r="E4171" i="16"/>
  <c r="G4171" i="16"/>
  <c r="K4171" i="16"/>
  <c r="B4172" i="16"/>
  <c r="I4171" i="16"/>
  <c r="L4171" i="16"/>
  <c r="D4170" i="16"/>
  <c r="J4170" i="16"/>
  <c r="D4116" i="16"/>
  <c r="J4116" i="16"/>
  <c r="N4116" i="16" s="1"/>
  <c r="P4116" i="16"/>
  <c r="Q4116" i="16"/>
  <c r="R4116" i="16"/>
  <c r="M4116" i="16"/>
  <c r="G4117" i="16"/>
  <c r="L4117" i="16"/>
  <c r="I4117" i="16"/>
  <c r="B4118" i="16"/>
  <c r="C4117" i="16"/>
  <c r="E4117"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C3763" i="16"/>
  <c r="E3763" i="16"/>
  <c r="G3763" i="16"/>
  <c r="I3763" i="16"/>
  <c r="B3764" i="16"/>
  <c r="U3707" i="16"/>
  <c r="S3707" i="16"/>
  <c r="T3707" i="16" s="1"/>
  <c r="D3708" i="16"/>
  <c r="J3708" i="16"/>
  <c r="P3708" i="16"/>
  <c r="Q3708" i="16"/>
  <c r="R3708" i="16"/>
  <c r="L3709" i="16"/>
  <c r="C3709" i="16"/>
  <c r="K3709" i="16" s="1"/>
  <c r="E3709" i="16"/>
  <c r="F3709" i="16"/>
  <c r="O3709" i="16" s="1"/>
  <c r="G3709" i="16"/>
  <c r="I3709" i="16"/>
  <c r="B3710" i="16"/>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U3491" i="16"/>
  <c r="S3491" i="16"/>
  <c r="T3491" i="16" s="1"/>
  <c r="P3492" i="16"/>
  <c r="Q3492" i="16"/>
  <c r="R3492" i="16"/>
  <c r="L3493" i="16"/>
  <c r="B3494" i="16"/>
  <c r="C3493" i="16"/>
  <c r="E3493" i="16"/>
  <c r="G3493" i="16"/>
  <c r="I3493" i="16"/>
  <c r="J3492" i="16"/>
  <c r="D3492" i="16"/>
  <c r="S3437" i="16"/>
  <c r="T3437" i="16" s="1"/>
  <c r="U3437" i="16"/>
  <c r="M3438" i="16"/>
  <c r="D3438" i="16"/>
  <c r="J3438" i="16"/>
  <c r="N3438" i="16" s="1"/>
  <c r="P3438" i="16"/>
  <c r="Q3438" i="16"/>
  <c r="R3438" i="16"/>
  <c r="L3439" i="16"/>
  <c r="C3439" i="16"/>
  <c r="K3439" i="16" s="1"/>
  <c r="E3439" i="16"/>
  <c r="F3439" i="16"/>
  <c r="O3439" i="16" s="1"/>
  <c r="G3439" i="16"/>
  <c r="I3439" i="16"/>
  <c r="B3440" i="16"/>
  <c r="D3384" i="16"/>
  <c r="J3384" i="16"/>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P3222" i="16"/>
  <c r="Q3222" i="16"/>
  <c r="R3222" i="16"/>
  <c r="L3223" i="16"/>
  <c r="B3224" i="16"/>
  <c r="C3223" i="16"/>
  <c r="E3223" i="16"/>
  <c r="G3223" i="16"/>
  <c r="I3223" i="16"/>
  <c r="J3222" i="16"/>
  <c r="D3222" i="16"/>
  <c r="U3167" i="16"/>
  <c r="S3167" i="16"/>
  <c r="T3167" i="16" s="1"/>
  <c r="D3168" i="16"/>
  <c r="J3168" i="16"/>
  <c r="P3168" i="16"/>
  <c r="Q3168" i="16"/>
  <c r="R3168" i="16"/>
  <c r="L3169" i="16"/>
  <c r="C3169" i="16"/>
  <c r="K3169" i="16" s="1"/>
  <c r="E3169" i="16"/>
  <c r="F3169" i="16"/>
  <c r="O3169" i="16" s="1"/>
  <c r="G3169" i="16"/>
  <c r="I3169" i="16"/>
  <c r="B3170" i="16"/>
  <c r="M3114" i="16"/>
  <c r="J3114" i="16"/>
  <c r="N3114" i="16" s="1"/>
  <c r="D3114" i="16"/>
  <c r="L3115" i="16"/>
  <c r="E3115" i="16"/>
  <c r="G3115" i="16"/>
  <c r="C3115" i="16"/>
  <c r="B3116" i="16"/>
  <c r="I3115" i="16"/>
  <c r="P3114" i="16"/>
  <c r="Q3114" i="16"/>
  <c r="R3114" i="16"/>
  <c r="M3060" i="16"/>
  <c r="P3060" i="16"/>
  <c r="Q3060" i="16"/>
  <c r="R3060" i="16"/>
  <c r="J3060" i="16"/>
  <c r="N3060" i="16" s="1"/>
  <c r="D3060" i="16"/>
  <c r="L3061" i="16"/>
  <c r="C3061" i="16"/>
  <c r="G3061" i="16"/>
  <c r="B3062" i="16"/>
  <c r="I3061" i="16"/>
  <c r="E3061" i="16"/>
  <c r="U3005" i="16"/>
  <c r="S3005" i="16"/>
  <c r="T3005" i="16" s="1"/>
  <c r="P3006" i="16"/>
  <c r="Q3006" i="16"/>
  <c r="R3006" i="16"/>
  <c r="J3006" i="16"/>
  <c r="D3006" i="16"/>
  <c r="L3007" i="16"/>
  <c r="E3007" i="16"/>
  <c r="C3007" i="16"/>
  <c r="G3007" i="16"/>
  <c r="I3007" i="16"/>
  <c r="B3008" i="16"/>
  <c r="U2951" i="16"/>
  <c r="S2951" i="16"/>
  <c r="T2951" i="16" s="1"/>
  <c r="M2952" i="16"/>
  <c r="D2952" i="16"/>
  <c r="J2952" i="16"/>
  <c r="N2952" i="16" s="1"/>
  <c r="P2952" i="16"/>
  <c r="Q2952" i="16"/>
  <c r="R2952" i="16"/>
  <c r="L2953" i="16"/>
  <c r="C2953" i="16"/>
  <c r="K2953" i="16" s="1"/>
  <c r="E2953" i="16"/>
  <c r="F2953" i="16"/>
  <c r="O2953" i="16" s="1"/>
  <c r="G2953" i="16"/>
  <c r="I2953" i="16"/>
  <c r="B2954" i="16"/>
  <c r="U2897" i="16"/>
  <c r="S2897" i="16"/>
  <c r="T2897" i="16" s="1"/>
  <c r="D2898" i="16"/>
  <c r="J2898" i="16"/>
  <c r="P2898" i="16"/>
  <c r="Q2898" i="16"/>
  <c r="R2898" i="16"/>
  <c r="L2899" i="16"/>
  <c r="C2899" i="16"/>
  <c r="E2899" i="16"/>
  <c r="G2899" i="16"/>
  <c r="I2899" i="16"/>
  <c r="B2900" i="16"/>
  <c r="U2843" i="16"/>
  <c r="S2843" i="16"/>
  <c r="T2843" i="16" s="1"/>
  <c r="L2845" i="16"/>
  <c r="E2845" i="16"/>
  <c r="G2845" i="16"/>
  <c r="C2845" i="16"/>
  <c r="K2845" i="16" s="1"/>
  <c r="I2845" i="16"/>
  <c r="F2845" i="16"/>
  <c r="O2845" i="16" s="1"/>
  <c r="B2846" i="16"/>
  <c r="P2844" i="16"/>
  <c r="Q2844" i="16"/>
  <c r="R2844" i="16"/>
  <c r="J2844" i="16"/>
  <c r="D2844" i="16"/>
  <c r="M2790" i="16"/>
  <c r="P2790" i="16"/>
  <c r="Q2790" i="16"/>
  <c r="R2790" i="16"/>
  <c r="L2791" i="16"/>
  <c r="C2791" i="16"/>
  <c r="E2791" i="16"/>
  <c r="G2791" i="16"/>
  <c r="I2791" i="16"/>
  <c r="B2792" i="16"/>
  <c r="J2790" i="16"/>
  <c r="N2790" i="16" s="1"/>
  <c r="S2790" i="16" s="1"/>
  <c r="T2790" i="16" s="1"/>
  <c r="U2790" i="16" s="1"/>
  <c r="D2790"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M2682" i="16"/>
  <c r="D2682" i="16"/>
  <c r="J2682" i="16"/>
  <c r="N2682" i="16" s="1"/>
  <c r="L2683" i="16"/>
  <c r="E2683" i="16"/>
  <c r="I2683" i="16"/>
  <c r="B2684" i="16"/>
  <c r="C2683" i="16"/>
  <c r="G2683" i="16"/>
  <c r="P2682" i="16"/>
  <c r="Q2682" i="16"/>
  <c r="R2682" i="16"/>
  <c r="M2628" i="16"/>
  <c r="P2628" i="16"/>
  <c r="Q2628" i="16"/>
  <c r="R2628" i="16"/>
  <c r="L2629" i="16"/>
  <c r="E2629" i="16"/>
  <c r="G2629" i="16"/>
  <c r="C2629" i="16"/>
  <c r="I2629" i="16"/>
  <c r="B2630" i="16"/>
  <c r="D2628" i="16"/>
  <c r="J2628" i="16"/>
  <c r="N2628" i="16" s="1"/>
  <c r="U2573" i="16"/>
  <c r="S2573" i="16"/>
  <c r="T2573" i="16" s="1"/>
  <c r="M2574" i="16"/>
  <c r="P2574" i="16"/>
  <c r="Q2574" i="16"/>
  <c r="R2574" i="16"/>
  <c r="D2574" i="16"/>
  <c r="J2574" i="16"/>
  <c r="N2574" i="16" s="1"/>
  <c r="L2575" i="16"/>
  <c r="E2575" i="16"/>
  <c r="C2575" i="16"/>
  <c r="K2575" i="16" s="1"/>
  <c r="B2576" i="16"/>
  <c r="F2575" i="16"/>
  <c r="O2575" i="16" s="1"/>
  <c r="G2575" i="16"/>
  <c r="I2575"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U2411" i="16"/>
  <c r="S2411" i="16"/>
  <c r="T2411" i="16" s="1"/>
  <c r="M2412" i="16"/>
  <c r="D2412" i="16"/>
  <c r="J2412" i="16"/>
  <c r="N2412" i="16" s="1"/>
  <c r="P2412" i="16"/>
  <c r="Q2412" i="16"/>
  <c r="R2412" i="16"/>
  <c r="L2413" i="16"/>
  <c r="C2413" i="16"/>
  <c r="K2413" i="16" s="1"/>
  <c r="E2413" i="16"/>
  <c r="F2413" i="16"/>
  <c r="O2413" i="16" s="1"/>
  <c r="G2413" i="16"/>
  <c r="I2413" i="16"/>
  <c r="B2414" i="16"/>
  <c r="U2357" i="16"/>
  <c r="S2357" i="16"/>
  <c r="T2357" i="16" s="1"/>
  <c r="L2359" i="16"/>
  <c r="C2359" i="16"/>
  <c r="E2359" i="16"/>
  <c r="G2359" i="16"/>
  <c r="I2359" i="16"/>
  <c r="B2360" i="16"/>
  <c r="J2358" i="16"/>
  <c r="D2358" i="16"/>
  <c r="P2358" i="16"/>
  <c r="Q2358" i="16"/>
  <c r="R2358" i="16"/>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D2142" i="16"/>
  <c r="J2142" i="16"/>
  <c r="P2142" i="16"/>
  <c r="Q2142" i="16"/>
  <c r="R2142" i="16"/>
  <c r="L2143" i="16"/>
  <c r="C2143" i="16"/>
  <c r="E2143" i="16"/>
  <c r="G2143" i="16"/>
  <c r="I2143" i="16"/>
  <c r="B2144" i="16"/>
  <c r="D2088" i="16"/>
  <c r="J2088" i="16"/>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E2035" i="16"/>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U1925" i="16"/>
  <c r="S1925" i="16"/>
  <c r="T1925" i="16" s="1"/>
  <c r="M1926" i="16"/>
  <c r="D1926" i="16"/>
  <c r="J1926" i="16"/>
  <c r="N1926" i="16" s="1"/>
  <c r="P1926" i="16"/>
  <c r="Q1926" i="16"/>
  <c r="R1926" i="16"/>
  <c r="L1927" i="16"/>
  <c r="C1927" i="16"/>
  <c r="K1927" i="16" s="1"/>
  <c r="E1927" i="16"/>
  <c r="F1927" i="16"/>
  <c r="O1927" i="16" s="1"/>
  <c r="G1927" i="16"/>
  <c r="I1927" i="16"/>
  <c r="B1928" i="16"/>
  <c r="U1871" i="16"/>
  <c r="S1871" i="16"/>
  <c r="T1871" i="16" s="1"/>
  <c r="M1872" i="16"/>
  <c r="D1872" i="16"/>
  <c r="J1872" i="16"/>
  <c r="N1872" i="16" s="1"/>
  <c r="P1872" i="16"/>
  <c r="Q1872" i="16"/>
  <c r="R1872" i="16"/>
  <c r="L1873" i="16"/>
  <c r="C1873" i="16"/>
  <c r="K1873" i="16" s="1"/>
  <c r="E1873" i="16"/>
  <c r="F1873" i="16"/>
  <c r="O1873" i="16" s="1"/>
  <c r="G1873" i="16"/>
  <c r="I1873" i="16"/>
  <c r="B1874" i="16"/>
  <c r="D1818" i="16"/>
  <c r="J1818" i="16"/>
  <c r="P1818" i="16"/>
  <c r="Q1818" i="16"/>
  <c r="R1818" i="16"/>
  <c r="L1819" i="16"/>
  <c r="C1819" i="16"/>
  <c r="E1819" i="16"/>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K1711" i="16" s="1"/>
  <c r="E1711" i="16"/>
  <c r="F1711" i="16"/>
  <c r="O1711" i="16" s="1"/>
  <c r="G1711" i="16"/>
  <c r="I1711" i="16"/>
  <c r="B1712" i="16"/>
  <c r="M1656" i="16"/>
  <c r="D1656" i="16"/>
  <c r="J1656" i="16"/>
  <c r="N1656" i="16" s="1"/>
  <c r="P1656" i="16"/>
  <c r="Q1656" i="16"/>
  <c r="R1656" i="16"/>
  <c r="L1657" i="16"/>
  <c r="C1657" i="16"/>
  <c r="K1657" i="16" s="1"/>
  <c r="E1657" i="16"/>
  <c r="F1657" i="16"/>
  <c r="O1657" i="16" s="1"/>
  <c r="G1657" i="16"/>
  <c r="I1657" i="16"/>
  <c r="B1658" i="16"/>
  <c r="D1602" i="16"/>
  <c r="J1602" i="16"/>
  <c r="P1602" i="16"/>
  <c r="Q1602" i="16"/>
  <c r="R1602" i="16"/>
  <c r="L1603" i="16"/>
  <c r="C1603" i="16"/>
  <c r="E1603" i="16"/>
  <c r="G1603" i="16"/>
  <c r="I1603" i="16"/>
  <c r="B1604" i="16"/>
  <c r="D1548" i="16"/>
  <c r="J1548" i="16"/>
  <c r="P1548" i="16"/>
  <c r="Q1548" i="16"/>
  <c r="R1548" i="16"/>
  <c r="L1549" i="16"/>
  <c r="C1549" i="16"/>
  <c r="K1549" i="16" s="1"/>
  <c r="E1549" i="16"/>
  <c r="F1549" i="16"/>
  <c r="O1549" i="16" s="1"/>
  <c r="G1549" i="16"/>
  <c r="I1549" i="16"/>
  <c r="B1550" i="16"/>
  <c r="U1493" i="16"/>
  <c r="S1493" i="16"/>
  <c r="T1493" i="16" s="1"/>
  <c r="P1494" i="16"/>
  <c r="Q1494" i="16"/>
  <c r="R1494" i="16"/>
  <c r="L1495" i="16"/>
  <c r="E1495" i="16"/>
  <c r="I1495" i="16"/>
  <c r="G1495" i="16"/>
  <c r="C1495" i="16"/>
  <c r="K1495" i="16" s="1"/>
  <c r="B1496" i="16"/>
  <c r="F1495" i="16"/>
  <c r="O1495" i="16" s="1"/>
  <c r="D1494" i="16"/>
  <c r="J1494" i="16"/>
  <c r="U1439" i="16"/>
  <c r="S1439" i="16"/>
  <c r="T1439" i="16" s="1"/>
  <c r="P1440" i="16"/>
  <c r="Q1440" i="16"/>
  <c r="R1440" i="16"/>
  <c r="L1441" i="16"/>
  <c r="E1441" i="16"/>
  <c r="B1442" i="16"/>
  <c r="C1441" i="16"/>
  <c r="K1441" i="16" s="1"/>
  <c r="F1441" i="16"/>
  <c r="O1441" i="16" s="1"/>
  <c r="I1441" i="16"/>
  <c r="G1441" i="16"/>
  <c r="D1440" i="16"/>
  <c r="J1440" i="16"/>
  <c r="M1386" i="16"/>
  <c r="P1386" i="16"/>
  <c r="Q1386" i="16"/>
  <c r="R1386" i="16"/>
  <c r="J1386" i="16"/>
  <c r="N1386" i="16" s="1"/>
  <c r="D1386" i="16"/>
  <c r="L1387" i="16"/>
  <c r="G1387" i="16"/>
  <c r="E1387" i="16"/>
  <c r="C1387" i="16"/>
  <c r="B1388" i="16"/>
  <c r="I1387" i="16"/>
  <c r="P1332" i="16"/>
  <c r="Q1332" i="16"/>
  <c r="R1332" i="16"/>
  <c r="L1333" i="16"/>
  <c r="G1333" i="16"/>
  <c r="I1333" i="16"/>
  <c r="E1333" i="16"/>
  <c r="C1333" i="16"/>
  <c r="B1334" i="16"/>
  <c r="J1332" i="16"/>
  <c r="D1332" i="16"/>
  <c r="U1277" i="16"/>
  <c r="S1277" i="16"/>
  <c r="T1277" i="16" s="1"/>
  <c r="M1278" i="16"/>
  <c r="L1279" i="16"/>
  <c r="E1279" i="16"/>
  <c r="C1279" i="16"/>
  <c r="I1279" i="16"/>
  <c r="B1280" i="16"/>
  <c r="G1279" i="16"/>
  <c r="D1278" i="16"/>
  <c r="J1278" i="16"/>
  <c r="N1278" i="16" s="1"/>
  <c r="P1278" i="16"/>
  <c r="Q1278" i="16"/>
  <c r="R1278" i="16"/>
  <c r="S1223" i="16"/>
  <c r="T1223" i="16" s="1"/>
  <c r="U1223" i="16"/>
  <c r="B1226" i="16"/>
  <c r="L1225" i="16"/>
  <c r="I1225" i="16"/>
  <c r="C1225" i="16"/>
  <c r="E1225" i="16"/>
  <c r="G1225" i="16"/>
  <c r="F1225" i="16"/>
  <c r="O1225" i="16" s="1"/>
  <c r="K1225" i="16"/>
  <c r="D1224" i="16"/>
  <c r="J1224" i="16"/>
  <c r="M1224" i="16"/>
  <c r="N1224" i="16"/>
  <c r="P1224" i="16"/>
  <c r="Q1224" i="16"/>
  <c r="R1224" i="16"/>
  <c r="U1169" i="16"/>
  <c r="S1169" i="16"/>
  <c r="T1169" i="16" s="1"/>
  <c r="M1170" i="16"/>
  <c r="D1170" i="16"/>
  <c r="J1170" i="16"/>
  <c r="N1170" i="16" s="1"/>
  <c r="P1170" i="16"/>
  <c r="Q1170" i="16"/>
  <c r="R1170" i="16"/>
  <c r="L1171" i="16"/>
  <c r="C1171" i="16"/>
  <c r="E1171" i="16"/>
  <c r="G1171" i="16"/>
  <c r="I1171" i="16"/>
  <c r="B1172" i="16"/>
  <c r="U1115" i="16"/>
  <c r="S1115" i="16"/>
  <c r="T1115" i="16" s="1"/>
  <c r="M1116" i="16"/>
  <c r="D1116" i="16"/>
  <c r="J1116" i="16"/>
  <c r="N1116" i="16" s="1"/>
  <c r="P1116" i="16"/>
  <c r="Q1116" i="16"/>
  <c r="R1116" i="16"/>
  <c r="L1117" i="16"/>
  <c r="C1117" i="16"/>
  <c r="K1117" i="16" s="1"/>
  <c r="E1117" i="16"/>
  <c r="F1117" i="16"/>
  <c r="O1117" i="16" s="1"/>
  <c r="G1117" i="16"/>
  <c r="I1117" i="16"/>
  <c r="B1118" i="16"/>
  <c r="D1062" i="16"/>
  <c r="J1062" i="16"/>
  <c r="P1062" i="16"/>
  <c r="Q1062" i="16"/>
  <c r="R1062" i="16"/>
  <c r="L1063" i="16"/>
  <c r="C1063" i="16"/>
  <c r="E1063" i="16"/>
  <c r="G1063" i="16"/>
  <c r="I1063" i="16"/>
  <c r="B1064" i="16"/>
  <c r="U1007" i="16"/>
  <c r="S1007" i="16"/>
  <c r="T1007" i="16" s="1"/>
  <c r="M1008" i="16"/>
  <c r="D1008" i="16"/>
  <c r="J1008" i="16"/>
  <c r="N1008" i="16" s="1"/>
  <c r="P1008" i="16"/>
  <c r="Q1008" i="16"/>
  <c r="R1008" i="16"/>
  <c r="L1009" i="16"/>
  <c r="I1009" i="16"/>
  <c r="C1009" i="16"/>
  <c r="K1009" i="16" s="1"/>
  <c r="G1009" i="16"/>
  <c r="F1009" i="16"/>
  <c r="O1009" i="16" s="1"/>
  <c r="E1009" i="16"/>
  <c r="B1010"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K901" i="16" s="1"/>
  <c r="E901" i="16"/>
  <c r="F901" i="16"/>
  <c r="O901" i="16" s="1"/>
  <c r="G901" i="16"/>
  <c r="I901" i="16"/>
  <c r="B902" i="16"/>
  <c r="U845" i="16"/>
  <c r="S845" i="16"/>
  <c r="T845" i="16" s="1"/>
  <c r="D846" i="16"/>
  <c r="J846" i="16"/>
  <c r="P846" i="16"/>
  <c r="Q846" i="16"/>
  <c r="R846" i="16"/>
  <c r="L847" i="16"/>
  <c r="C847" i="16"/>
  <c r="E847" i="16"/>
  <c r="G847" i="16"/>
  <c r="I847" i="16"/>
  <c r="B848" i="16"/>
  <c r="U791" i="16"/>
  <c r="S791" i="16"/>
  <c r="T791" i="16" s="1"/>
  <c r="D792" i="16"/>
  <c r="J792" i="16"/>
  <c r="P792" i="16"/>
  <c r="Q792" i="16"/>
  <c r="R792" i="16"/>
  <c r="L793" i="16"/>
  <c r="C793" i="16"/>
  <c r="K793" i="16" s="1"/>
  <c r="E793" i="16"/>
  <c r="F793" i="16"/>
  <c r="O793" i="16" s="1"/>
  <c r="G793" i="16"/>
  <c r="I793" i="16"/>
  <c r="B794" i="16"/>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U575" i="16"/>
  <c r="S575" i="16"/>
  <c r="T575" i="16" s="1"/>
  <c r="P576" i="16"/>
  <c r="Q576" i="16"/>
  <c r="R576" i="16"/>
  <c r="J576" i="16"/>
  <c r="D576" i="16"/>
  <c r="L577" i="16"/>
  <c r="G577" i="16"/>
  <c r="I577" i="16"/>
  <c r="C577" i="16"/>
  <c r="E577" i="16"/>
  <c r="B578" i="16"/>
  <c r="U521" i="16"/>
  <c r="S521" i="16"/>
  <c r="T521" i="16" s="1"/>
  <c r="M522" i="16"/>
  <c r="D522" i="16"/>
  <c r="J522" i="16"/>
  <c r="N522" i="16" s="1"/>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E415" i="16"/>
  <c r="G415" i="16"/>
  <c r="I415" i="16"/>
  <c r="B416" i="16"/>
  <c r="U359" i="16"/>
  <c r="S359" i="16"/>
  <c r="T359" i="16" s="1"/>
  <c r="D360" i="16"/>
  <c r="J360" i="16"/>
  <c r="P360" i="16"/>
  <c r="Q360" i="16"/>
  <c r="R360" i="16"/>
  <c r="L361" i="16"/>
  <c r="C361" i="16"/>
  <c r="K361" i="16" s="1"/>
  <c r="E361" i="16"/>
  <c r="F361" i="16"/>
  <c r="O361" i="16" s="1"/>
  <c r="G361" i="16"/>
  <c r="I361" i="16"/>
  <c r="B362" i="16"/>
  <c r="U305" i="16"/>
  <c r="S305" i="16"/>
  <c r="T305" i="16" s="1"/>
  <c r="D306" i="16"/>
  <c r="J306" i="16"/>
  <c r="P306" i="16"/>
  <c r="Q306" i="16"/>
  <c r="R306" i="16"/>
  <c r="L307" i="16"/>
  <c r="C307" i="16"/>
  <c r="E307" i="16"/>
  <c r="G307" i="16"/>
  <c r="I307" i="16"/>
  <c r="B308" i="16"/>
  <c r="U251" i="16"/>
  <c r="S251" i="16"/>
  <c r="T251" i="16" s="1"/>
  <c r="M252" i="16"/>
  <c r="D252" i="16"/>
  <c r="J252" i="16"/>
  <c r="N252" i="16" s="1"/>
  <c r="P252" i="16"/>
  <c r="Q252" i="16"/>
  <c r="R252" i="16"/>
  <c r="L253" i="16"/>
  <c r="C253" i="16"/>
  <c r="K253" i="16" s="1"/>
  <c r="E253" i="16"/>
  <c r="F253" i="16"/>
  <c r="O253" i="16" s="1"/>
  <c r="G253" i="16"/>
  <c r="I253" i="16"/>
  <c r="B254" i="16"/>
  <c r="U197" i="16"/>
  <c r="S197" i="16"/>
  <c r="T197" i="16" s="1"/>
  <c r="M198" i="16"/>
  <c r="J198" i="16"/>
  <c r="N198" i="16" s="1"/>
  <c r="D198" i="16"/>
  <c r="P198" i="16"/>
  <c r="Q198" i="16"/>
  <c r="R198" i="16"/>
  <c r="L199" i="16"/>
  <c r="C199" i="16"/>
  <c r="E199" i="16"/>
  <c r="G199" i="16"/>
  <c r="I199" i="16"/>
  <c r="B200" i="16"/>
  <c r="U143" i="16"/>
  <c r="S143" i="16"/>
  <c r="T143" i="16" s="1"/>
  <c r="L145" i="16"/>
  <c r="C145" i="16"/>
  <c r="K145" i="16" s="1"/>
  <c r="E145" i="16"/>
  <c r="B146" i="16"/>
  <c r="I145" i="16"/>
  <c r="F145" i="16"/>
  <c r="O145" i="16" s="1"/>
  <c r="G145" i="16"/>
  <c r="D144" i="16"/>
  <c r="J144" i="16"/>
  <c r="P144" i="16"/>
  <c r="Q144" i="16"/>
  <c r="R144" i="16"/>
  <c r="U89" i="16"/>
  <c r="S89" i="16"/>
  <c r="T89" i="16" s="1"/>
  <c r="M90" i="16"/>
  <c r="D90" i="16"/>
  <c r="J90" i="16"/>
  <c r="N90" i="16" s="1"/>
  <c r="P90" i="16"/>
  <c r="Q90" i="16"/>
  <c r="R90" i="16"/>
  <c r="L91" i="16"/>
  <c r="C91" i="16"/>
  <c r="E91" i="16"/>
  <c r="G91" i="16"/>
  <c r="I91" i="16"/>
  <c r="B92" i="16"/>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AH29" i="4" s="1"/>
  <c r="I29" i="4"/>
  <c r="B30" i="4"/>
  <c r="B29" i="5"/>
  <c r="AI16" i="4"/>
  <c r="B76" i="7"/>
  <c r="I76" i="7" s="1"/>
  <c r="AI15" i="4"/>
  <c r="AH17" i="4"/>
  <c r="AH18" i="4"/>
  <c r="AH19" i="4"/>
  <c r="AH20" i="4"/>
  <c r="AH21" i="4"/>
  <c r="AH22" i="4"/>
  <c r="AH23" i="4"/>
  <c r="AH24" i="4"/>
  <c r="AH25" i="4"/>
  <c r="AH26" i="4"/>
  <c r="AH27" i="4"/>
  <c r="AH28" i="4"/>
  <c r="U4222" i="16"/>
  <c r="S4222" i="16"/>
  <c r="T4222" i="16" s="1"/>
  <c r="U4114" i="16"/>
  <c r="S4114" i="16"/>
  <c r="T4114" i="16" s="1"/>
  <c r="S3436" i="16"/>
  <c r="T3436" i="16" s="1"/>
  <c r="U3436" i="16"/>
  <c r="U3004" i="16"/>
  <c r="S3004" i="16"/>
  <c r="T3004" i="16" s="1"/>
  <c r="U2950" i="16"/>
  <c r="S2950" i="16"/>
  <c r="T2950" i="16" s="1"/>
  <c r="U2842" i="16"/>
  <c r="S2842" i="16"/>
  <c r="T2842" i="16" s="1"/>
  <c r="U2626" i="16"/>
  <c r="S2626" i="16"/>
  <c r="T2626" i="16" s="1"/>
  <c r="U2356" i="16"/>
  <c r="S2356" i="16"/>
  <c r="T2356" i="16" s="1"/>
  <c r="U2086" i="16"/>
  <c r="S2086" i="16"/>
  <c r="T2086" i="16" s="1"/>
  <c r="U1816" i="16"/>
  <c r="S1816" i="16"/>
  <c r="T1816" i="16" s="1"/>
  <c r="U1546" i="16"/>
  <c r="S1546" i="16"/>
  <c r="T1546" i="16" s="1"/>
  <c r="U1492" i="16"/>
  <c r="S1492" i="16"/>
  <c r="T1492" i="16" s="1"/>
  <c r="U1330" i="16"/>
  <c r="S1330" i="16"/>
  <c r="T1330" i="16" s="1"/>
  <c r="S1222" i="16"/>
  <c r="T1222" i="16" s="1"/>
  <c r="U1222" i="16"/>
  <c r="U1060" i="16"/>
  <c r="S1060" i="16"/>
  <c r="T1060" i="16" s="1"/>
  <c r="U1006" i="16"/>
  <c r="S1006" i="16"/>
  <c r="T1006" i="16" s="1"/>
  <c r="U790" i="16"/>
  <c r="S790" i="16"/>
  <c r="T790" i="16" s="1"/>
  <c r="U574" i="16"/>
  <c r="S574" i="16"/>
  <c r="T574" i="16" s="1"/>
  <c r="U250" i="16"/>
  <c r="S250" i="16"/>
  <c r="T250" i="16" s="1"/>
  <c r="U196" i="16"/>
  <c r="S196" i="16"/>
  <c r="T196" i="16" s="1"/>
  <c r="M4577" i="16"/>
  <c r="N4577" i="16"/>
  <c r="N4523" i="16"/>
  <c r="M4523" i="16"/>
  <c r="N4115" i="16"/>
  <c r="M4115" i="16"/>
  <c r="M3653" i="16"/>
  <c r="N3653" i="16"/>
  <c r="M3383" i="16"/>
  <c r="N3383" i="16"/>
  <c r="M3221" i="16"/>
  <c r="N3221" i="16"/>
  <c r="N3113" i="16"/>
  <c r="M3113" i="16"/>
  <c r="N3059" i="16"/>
  <c r="M3059" i="16"/>
  <c r="M2627" i="16"/>
  <c r="N2627" i="16"/>
  <c r="M2303" i="16"/>
  <c r="N2303" i="16"/>
  <c r="M2141" i="16"/>
  <c r="N2141" i="16"/>
  <c r="M2087" i="16"/>
  <c r="N2087" i="16"/>
  <c r="M1817" i="16"/>
  <c r="N1817" i="16"/>
  <c r="M1655" i="16"/>
  <c r="N1655" i="16"/>
  <c r="M1601" i="16"/>
  <c r="N1601" i="16"/>
  <c r="M1547" i="16"/>
  <c r="N1547" i="16"/>
  <c r="N1385" i="16"/>
  <c r="M1385" i="16"/>
  <c r="N1331" i="16"/>
  <c r="M1331" i="16"/>
  <c r="M1061" i="16"/>
  <c r="N1061" i="16"/>
  <c r="M737" i="16"/>
  <c r="N737" i="16"/>
  <c r="M27" i="4"/>
  <c r="N27" i="4"/>
  <c r="F4524" i="16"/>
  <c r="K4524" i="16"/>
  <c r="K4170" i="16"/>
  <c r="F4170" i="16"/>
  <c r="O4170" i="16" s="1"/>
  <c r="K3708" i="16"/>
  <c r="F3708" i="16"/>
  <c r="O3708" i="16" s="1"/>
  <c r="F3492" i="16"/>
  <c r="O3492" i="16" s="1"/>
  <c r="K3492" i="16"/>
  <c r="F3384" i="16"/>
  <c r="O3384" i="16" s="1"/>
  <c r="K3384" i="16"/>
  <c r="F3222" i="16"/>
  <c r="O3222" i="16" s="1"/>
  <c r="K3222" i="16"/>
  <c r="F3168" i="16"/>
  <c r="O3168" i="16" s="1"/>
  <c r="K3168" i="16"/>
  <c r="F3006" i="16"/>
  <c r="O3006" i="16" s="1"/>
  <c r="K3006" i="16"/>
  <c r="F2898" i="16"/>
  <c r="O2898" i="16" s="1"/>
  <c r="K2898" i="16"/>
  <c r="F2844" i="16"/>
  <c r="O2844" i="16" s="1"/>
  <c r="K2844" i="16"/>
  <c r="F2358" i="16"/>
  <c r="O2358" i="16" s="1"/>
  <c r="K2358" i="16"/>
  <c r="F2142" i="16"/>
  <c r="O2142" i="16" s="1"/>
  <c r="K2142" i="16"/>
  <c r="K2088" i="16"/>
  <c r="F2088" i="16"/>
  <c r="O2088" i="16" s="1"/>
  <c r="K1818" i="16"/>
  <c r="F1818" i="16"/>
  <c r="O1818" i="16" s="1"/>
  <c r="F1602" i="16"/>
  <c r="O1602" i="16" s="1"/>
  <c r="K1602" i="16"/>
  <c r="F1548" i="16"/>
  <c r="O1548" i="16" s="1"/>
  <c r="K1548" i="16"/>
  <c r="K1494" i="16"/>
  <c r="F1494" i="16"/>
  <c r="O1494" i="16" s="1"/>
  <c r="K1440" i="16"/>
  <c r="F1440" i="16"/>
  <c r="O1440" i="16" s="1"/>
  <c r="F1332" i="16"/>
  <c r="O1332" i="16" s="1"/>
  <c r="K1332" i="16"/>
  <c r="F1062" i="16"/>
  <c r="O1062" i="16" s="1"/>
  <c r="K1062" i="16"/>
  <c r="F846" i="16"/>
  <c r="O846" i="16" s="1"/>
  <c r="K846" i="16"/>
  <c r="K792" i="16"/>
  <c r="F792" i="16"/>
  <c r="O792" i="16" s="1"/>
  <c r="F576" i="16"/>
  <c r="O576" i="16" s="1"/>
  <c r="K576" i="16"/>
  <c r="F360" i="16"/>
  <c r="O360" i="16" s="1"/>
  <c r="K360" i="16"/>
  <c r="K306" i="16"/>
  <c r="F306" i="16"/>
  <c r="O306" i="16" s="1"/>
  <c r="K144" i="16"/>
  <c r="F144" i="16"/>
  <c r="O144" i="16" s="1"/>
  <c r="F4117" i="16" l="1"/>
  <c r="O4117" i="16" s="1"/>
  <c r="K4117" i="16"/>
  <c r="F3115" i="16"/>
  <c r="O3115" i="16" s="1"/>
  <c r="K3115" i="16"/>
  <c r="K3061" i="16"/>
  <c r="F3061" i="16"/>
  <c r="O3061" i="16" s="1"/>
  <c r="K2035" i="16"/>
  <c r="F2035" i="16"/>
  <c r="O2035" i="16" s="1"/>
  <c r="K1603" i="16"/>
  <c r="F1603" i="16"/>
  <c r="O1603" i="16" s="1"/>
  <c r="K1171" i="16"/>
  <c r="F1171" i="16"/>
  <c r="O1171" i="16" s="1"/>
  <c r="K415" i="16"/>
  <c r="F415" i="16"/>
  <c r="O415" i="16" s="1"/>
  <c r="U4686" i="16"/>
  <c r="S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D4579" i="16"/>
  <c r="J4579" i="16"/>
  <c r="P4579" i="16"/>
  <c r="Q4579" i="16"/>
  <c r="R4579" i="16"/>
  <c r="L4580" i="16"/>
  <c r="C4580" i="16"/>
  <c r="E4580" i="16"/>
  <c r="G4580" i="16"/>
  <c r="I4580" i="16"/>
  <c r="B4581" i="16"/>
  <c r="D4525" i="16"/>
  <c r="J4525" i="16"/>
  <c r="N4525" i="16" s="1"/>
  <c r="P4525" i="16"/>
  <c r="Q4525" i="16"/>
  <c r="R4525" i="16"/>
  <c r="M4525" i="16"/>
  <c r="C4526" i="16"/>
  <c r="F4526" i="16" s="1"/>
  <c r="E4526" i="16"/>
  <c r="G4526" i="16"/>
  <c r="K4526" i="16"/>
  <c r="I4526" i="16"/>
  <c r="L4526" i="16"/>
  <c r="B4527" i="16"/>
  <c r="U4224" i="16"/>
  <c r="S4224" i="16"/>
  <c r="T4224" i="16" s="1"/>
  <c r="M4225" i="16"/>
  <c r="D4225" i="16"/>
  <c r="J4225" i="16"/>
  <c r="N4225" i="16" s="1"/>
  <c r="P4225" i="16"/>
  <c r="Q4225" i="16"/>
  <c r="R4225" i="16"/>
  <c r="L4226" i="16"/>
  <c r="C4226" i="16"/>
  <c r="E4226" i="16"/>
  <c r="G4226" i="16"/>
  <c r="I4226" i="16"/>
  <c r="B4227" i="16"/>
  <c r="J4171" i="16"/>
  <c r="N4171" i="16" s="1"/>
  <c r="D4171" i="16"/>
  <c r="P4171" i="16"/>
  <c r="Q4171" i="16"/>
  <c r="R4171" i="16"/>
  <c r="M4171" i="16"/>
  <c r="G4172" i="16"/>
  <c r="I4172" i="16"/>
  <c r="L4172" i="16"/>
  <c r="C4172" i="16"/>
  <c r="E4172" i="16"/>
  <c r="B4173" i="16"/>
  <c r="U4116" i="16"/>
  <c r="S4116" i="16"/>
  <c r="T4116" i="16" s="1"/>
  <c r="Q4117" i="16"/>
  <c r="P4117" i="16"/>
  <c r="R4117" i="16"/>
  <c r="E4118" i="16"/>
  <c r="C4118" i="16"/>
  <c r="F4118" i="16" s="1"/>
  <c r="O4118" i="16" s="1"/>
  <c r="G4118" i="16"/>
  <c r="K4118" i="16"/>
  <c r="B4119" i="16"/>
  <c r="I4118" i="16"/>
  <c r="L4118" i="16"/>
  <c r="D4117" i="16"/>
  <c r="J4117" i="16"/>
  <c r="N4117" i="16" s="1"/>
  <c r="M4117" i="16"/>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D3763" i="16"/>
  <c r="J3763" i="16"/>
  <c r="P3763" i="16"/>
  <c r="Q3763" i="16"/>
  <c r="R3763" i="16"/>
  <c r="L3764" i="16"/>
  <c r="C3764" i="16"/>
  <c r="E3764" i="16"/>
  <c r="G3764" i="16"/>
  <c r="I3764" i="16"/>
  <c r="B3765" i="16"/>
  <c r="M3709" i="16"/>
  <c r="D3709" i="16"/>
  <c r="J3709" i="16"/>
  <c r="N3709" i="16" s="1"/>
  <c r="P3709" i="16"/>
  <c r="Q3709" i="16"/>
  <c r="R3709" i="16"/>
  <c r="L3710" i="16"/>
  <c r="C3710" i="16"/>
  <c r="E3710" i="16"/>
  <c r="G3710" i="16"/>
  <c r="I3710" i="16"/>
  <c r="B3711" i="16"/>
  <c r="U3654" i="16"/>
  <c r="S3654" i="16"/>
  <c r="T3654" i="16" s="1"/>
  <c r="M3655" i="16"/>
  <c r="D3655" i="16"/>
  <c r="J3655" i="16"/>
  <c r="N3655" i="16" s="1"/>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L3494" i="16"/>
  <c r="B3495" i="16"/>
  <c r="C3494" i="16"/>
  <c r="E3494" i="16"/>
  <c r="G3494" i="16"/>
  <c r="I3494" i="16"/>
  <c r="D3493" i="16"/>
  <c r="J3493" i="16"/>
  <c r="P3493" i="16"/>
  <c r="Q3493" i="16"/>
  <c r="R3493" i="16"/>
  <c r="S3438" i="16"/>
  <c r="T3438" i="16" s="1"/>
  <c r="U3438" i="16"/>
  <c r="M3439" i="16"/>
  <c r="D3439" i="16"/>
  <c r="J3439" i="16"/>
  <c r="N3439" i="16" s="1"/>
  <c r="P3439" i="16"/>
  <c r="Q3439" i="16"/>
  <c r="R3439" i="16"/>
  <c r="L3440" i="16"/>
  <c r="C3440" i="16"/>
  <c r="E3440" i="16"/>
  <c r="G3440" i="16"/>
  <c r="I3440" i="16"/>
  <c r="B3441" i="16"/>
  <c r="M3385" i="16"/>
  <c r="D3385" i="16"/>
  <c r="J3385" i="16"/>
  <c r="N3385" i="16" s="1"/>
  <c r="P3385" i="16"/>
  <c r="Q3385" i="16"/>
  <c r="R3385" i="16"/>
  <c r="L3386" i="16"/>
  <c r="C3386" i="16"/>
  <c r="K3386" i="16" s="1"/>
  <c r="E3386" i="16"/>
  <c r="F3386" i="16"/>
  <c r="O3386" i="16" s="1"/>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L3224" i="16"/>
  <c r="G3224" i="16"/>
  <c r="I3224" i="16"/>
  <c r="B3225" i="16"/>
  <c r="C3224" i="16"/>
  <c r="E3224" i="16"/>
  <c r="J3223" i="16"/>
  <c r="D3223" i="16"/>
  <c r="P3223" i="16"/>
  <c r="Q3223" i="16"/>
  <c r="R3223" i="16"/>
  <c r="M3169" i="16"/>
  <c r="D3169" i="16"/>
  <c r="J3169" i="16"/>
  <c r="N3169" i="16" s="1"/>
  <c r="P3169" i="16"/>
  <c r="Q3169" i="16"/>
  <c r="R3169" i="16"/>
  <c r="L3170" i="16"/>
  <c r="C3170" i="16"/>
  <c r="E3170" i="16"/>
  <c r="G3170" i="16"/>
  <c r="I3170" i="16"/>
  <c r="B3171" i="16"/>
  <c r="U3114" i="16"/>
  <c r="S3114" i="16"/>
  <c r="T3114" i="16" s="1"/>
  <c r="M3115" i="16"/>
  <c r="P3115" i="16"/>
  <c r="Q3115" i="16"/>
  <c r="R3115" i="16"/>
  <c r="J3115" i="16"/>
  <c r="N3115" i="16" s="1"/>
  <c r="D3115" i="16"/>
  <c r="L3116" i="16"/>
  <c r="C3116" i="16"/>
  <c r="K3116" i="16" s="1"/>
  <c r="E3116" i="16"/>
  <c r="F3116" i="16"/>
  <c r="O3116" i="16" s="1"/>
  <c r="G3116" i="16"/>
  <c r="I3116" i="16"/>
  <c r="B3117" i="16"/>
  <c r="U3060" i="16"/>
  <c r="S3060" i="16"/>
  <c r="T3060" i="16" s="1"/>
  <c r="M3061" i="16"/>
  <c r="J3061" i="16"/>
  <c r="N3061" i="16" s="1"/>
  <c r="D3061" i="16"/>
  <c r="P3061" i="16"/>
  <c r="Q3061" i="16"/>
  <c r="R3061" i="16"/>
  <c r="L3062" i="16"/>
  <c r="C3062" i="16"/>
  <c r="K3062" i="16" s="1"/>
  <c r="E3062" i="16"/>
  <c r="F3062" i="16"/>
  <c r="O3062" i="16" s="1"/>
  <c r="G3062" i="16"/>
  <c r="I3062" i="16"/>
  <c r="B3063" i="16"/>
  <c r="J3007" i="16"/>
  <c r="D3007" i="16"/>
  <c r="P3007" i="16"/>
  <c r="Q3007" i="16"/>
  <c r="R3007" i="16"/>
  <c r="L3008" i="16"/>
  <c r="C3008" i="16"/>
  <c r="B3009" i="16"/>
  <c r="I3008" i="16"/>
  <c r="E3008" i="16"/>
  <c r="G3008" i="16"/>
  <c r="U2952" i="16"/>
  <c r="S2952" i="16"/>
  <c r="T2952" i="16" s="1"/>
  <c r="M2953" i="16"/>
  <c r="D2953" i="16"/>
  <c r="J2953" i="16"/>
  <c r="N2953" i="16" s="1"/>
  <c r="P2953" i="16"/>
  <c r="Q2953" i="16"/>
  <c r="R2953" i="16"/>
  <c r="L2954" i="16"/>
  <c r="C2954" i="16"/>
  <c r="K2954" i="16" s="1"/>
  <c r="E2954" i="16"/>
  <c r="F2954" i="16"/>
  <c r="O2954" i="16" s="1"/>
  <c r="G2954" i="16"/>
  <c r="I2954" i="16"/>
  <c r="B2955" i="16"/>
  <c r="D2899" i="16"/>
  <c r="J2899" i="16"/>
  <c r="P2899" i="16"/>
  <c r="Q2899" i="16"/>
  <c r="R2899" i="16"/>
  <c r="L2900" i="16"/>
  <c r="C2900" i="16"/>
  <c r="E2900" i="16"/>
  <c r="G2900" i="16"/>
  <c r="I2900" i="16"/>
  <c r="B2901" i="16"/>
  <c r="M2845" i="16"/>
  <c r="P2845" i="16"/>
  <c r="Q2845" i="16"/>
  <c r="R2845" i="16"/>
  <c r="J2845" i="16"/>
  <c r="N2845" i="16" s="1"/>
  <c r="D2845" i="16"/>
  <c r="L2846" i="16"/>
  <c r="G2846" i="16"/>
  <c r="I2846" i="16"/>
  <c r="C2846" i="16"/>
  <c r="B2847" i="16"/>
  <c r="E2846" i="16"/>
  <c r="D2791" i="16"/>
  <c r="J2791" i="16"/>
  <c r="P2791" i="16"/>
  <c r="Q2791" i="16"/>
  <c r="R2791" i="16"/>
  <c r="L2792" i="16"/>
  <c r="G2792" i="16"/>
  <c r="I2792" i="16"/>
  <c r="B2793" i="16"/>
  <c r="C2792" i="16"/>
  <c r="E2792"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L2684" i="16"/>
  <c r="C2684" i="16"/>
  <c r="E2684" i="16"/>
  <c r="G2684" i="16"/>
  <c r="I2684" i="16"/>
  <c r="B2685" i="16"/>
  <c r="J2683" i="16"/>
  <c r="D2683" i="16"/>
  <c r="P2683" i="16"/>
  <c r="Q2683" i="16"/>
  <c r="R2683" i="16"/>
  <c r="U2628" i="16"/>
  <c r="S2628" i="16"/>
  <c r="T2628" i="16" s="1"/>
  <c r="P2629" i="16"/>
  <c r="Q2629" i="16"/>
  <c r="R2629" i="16"/>
  <c r="D2629" i="16"/>
  <c r="J2629" i="16"/>
  <c r="L2630" i="16"/>
  <c r="C2630" i="16"/>
  <c r="K2630" i="16" s="1"/>
  <c r="B2631" i="16"/>
  <c r="I2630" i="16"/>
  <c r="E2630" i="16"/>
  <c r="F2630" i="16"/>
  <c r="O2630" i="16" s="1"/>
  <c r="G2630" i="16"/>
  <c r="U2574" i="16"/>
  <c r="S2574" i="16"/>
  <c r="T2574" i="16" s="1"/>
  <c r="M2575" i="16"/>
  <c r="D2575" i="16"/>
  <c r="J2575" i="16"/>
  <c r="N2575" i="16" s="1"/>
  <c r="L2576" i="16"/>
  <c r="G2576" i="16"/>
  <c r="I2576" i="16"/>
  <c r="E2576" i="16"/>
  <c r="B2577" i="16"/>
  <c r="C2576" i="16"/>
  <c r="P2575" i="16"/>
  <c r="R2575" i="16"/>
  <c r="Q2575"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U2412" i="16"/>
  <c r="S2412" i="16"/>
  <c r="T2412" i="16" s="1"/>
  <c r="M2413" i="16"/>
  <c r="D2413" i="16"/>
  <c r="J2413" i="16"/>
  <c r="N2413" i="16" s="1"/>
  <c r="P2413" i="16"/>
  <c r="Q2413" i="16"/>
  <c r="R2413" i="16"/>
  <c r="L2414" i="16"/>
  <c r="C2414" i="16"/>
  <c r="E2414" i="16"/>
  <c r="G2414" i="16"/>
  <c r="I2414" i="16"/>
  <c r="B2415" i="16"/>
  <c r="D2359" i="16"/>
  <c r="J2359" i="16"/>
  <c r="P2359" i="16"/>
  <c r="Q2359" i="16"/>
  <c r="R2359" i="16"/>
  <c r="L2360" i="16"/>
  <c r="C2360" i="16"/>
  <c r="K2360" i="16" s="1"/>
  <c r="E2360" i="16"/>
  <c r="F2360" i="16"/>
  <c r="O2360" i="16" s="1"/>
  <c r="G2360" i="16"/>
  <c r="I2360" i="16"/>
  <c r="B2361"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D2143" i="16"/>
  <c r="J2143" i="16"/>
  <c r="P2143" i="16"/>
  <c r="Q2143" i="16"/>
  <c r="R2143" i="16"/>
  <c r="L2144" i="16"/>
  <c r="C2144" i="16"/>
  <c r="E2144" i="16"/>
  <c r="G2144" i="16"/>
  <c r="I2144" i="16"/>
  <c r="B2145" i="16"/>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E1982" i="16"/>
  <c r="G1982" i="16"/>
  <c r="I1982" i="16"/>
  <c r="B1983" i="16"/>
  <c r="U1926" i="16"/>
  <c r="S1926" i="16"/>
  <c r="T1926" i="16" s="1"/>
  <c r="M1927" i="16"/>
  <c r="D1927" i="16"/>
  <c r="J1927" i="16"/>
  <c r="N1927" i="16" s="1"/>
  <c r="P1927" i="16"/>
  <c r="Q1927" i="16"/>
  <c r="R1927" i="16"/>
  <c r="L1928" i="16"/>
  <c r="C1928" i="16"/>
  <c r="K1928" i="16" s="1"/>
  <c r="E1928" i="16"/>
  <c r="F1928" i="16"/>
  <c r="O1928" i="16" s="1"/>
  <c r="G1928" i="16"/>
  <c r="I1928" i="16"/>
  <c r="B1929" i="16"/>
  <c r="U1872" i="16"/>
  <c r="S1872" i="16"/>
  <c r="T1872" i="16" s="1"/>
  <c r="M1873" i="16"/>
  <c r="D1873" i="16"/>
  <c r="J1873" i="16"/>
  <c r="N1873" i="16" s="1"/>
  <c r="P1873" i="16"/>
  <c r="Q1873" i="16"/>
  <c r="R1873" i="16"/>
  <c r="L1874" i="16"/>
  <c r="C1874" i="16"/>
  <c r="K1874" i="16" s="1"/>
  <c r="E1874" i="16"/>
  <c r="F1874" i="16"/>
  <c r="O1874" i="16" s="1"/>
  <c r="G1874" i="16"/>
  <c r="I1874" i="16"/>
  <c r="B1875" i="16"/>
  <c r="D1819" i="16"/>
  <c r="J1819" i="16"/>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K1712" i="16" s="1"/>
  <c r="E1712" i="16"/>
  <c r="F1712" i="16"/>
  <c r="O1712" i="16" s="1"/>
  <c r="G1712" i="16"/>
  <c r="I1712" i="16"/>
  <c r="B1713" i="16"/>
  <c r="U1656" i="16"/>
  <c r="S1656" i="16"/>
  <c r="T1656" i="16" s="1"/>
  <c r="M1657" i="16"/>
  <c r="D1657" i="16"/>
  <c r="J1657" i="16"/>
  <c r="N1657" i="16" s="1"/>
  <c r="P1657" i="16"/>
  <c r="Q1657" i="16"/>
  <c r="R1657" i="16"/>
  <c r="L1658" i="16"/>
  <c r="C1658" i="16"/>
  <c r="K1658" i="16" s="1"/>
  <c r="E1658" i="16"/>
  <c r="F1658" i="16"/>
  <c r="O1658" i="16" s="1"/>
  <c r="G1658" i="16"/>
  <c r="I1658" i="16"/>
  <c r="B1659" i="16"/>
  <c r="M1603" i="16"/>
  <c r="D1603" i="16"/>
  <c r="J1603" i="16"/>
  <c r="N1603" i="16" s="1"/>
  <c r="P1603" i="16"/>
  <c r="Q1603" i="16"/>
  <c r="R1603" i="16"/>
  <c r="L1604" i="16"/>
  <c r="C1604" i="16"/>
  <c r="K1604" i="16" s="1"/>
  <c r="E1604" i="16"/>
  <c r="F1604" i="16"/>
  <c r="O1604" i="16" s="1"/>
  <c r="G1604" i="16"/>
  <c r="I1604" i="16"/>
  <c r="B1605" i="16"/>
  <c r="M1549" i="16"/>
  <c r="D1549" i="16"/>
  <c r="J1549" i="16"/>
  <c r="N1549" i="16" s="1"/>
  <c r="P1549" i="16"/>
  <c r="Q1549" i="16"/>
  <c r="R1549" i="16"/>
  <c r="L1550" i="16"/>
  <c r="C1550" i="16"/>
  <c r="K1550" i="16" s="1"/>
  <c r="E1550" i="16"/>
  <c r="F1550" i="16"/>
  <c r="O1550" i="16" s="1"/>
  <c r="G1550" i="16"/>
  <c r="I1550" i="16"/>
  <c r="B1551" i="16"/>
  <c r="M1495" i="16"/>
  <c r="P1495" i="16"/>
  <c r="Q1495" i="16"/>
  <c r="R1495" i="16"/>
  <c r="D1495" i="16"/>
  <c r="J1495" i="16"/>
  <c r="N1495" i="16" s="1"/>
  <c r="L1496" i="16"/>
  <c r="B1497" i="16"/>
  <c r="C1496" i="16"/>
  <c r="K1496" i="16" s="1"/>
  <c r="E1496" i="16"/>
  <c r="I1496" i="16"/>
  <c r="G1496" i="16"/>
  <c r="F1496" i="16"/>
  <c r="O1496" i="16" s="1"/>
  <c r="M1441" i="16"/>
  <c r="L1442" i="16"/>
  <c r="E1442" i="16"/>
  <c r="I1442" i="16"/>
  <c r="C1442" i="16"/>
  <c r="G1442" i="16"/>
  <c r="B1443" i="16"/>
  <c r="D1441" i="16"/>
  <c r="J1441" i="16"/>
  <c r="N1441" i="16" s="1"/>
  <c r="P1441" i="16"/>
  <c r="Q1441" i="16"/>
  <c r="R1441" i="16"/>
  <c r="U1386" i="16"/>
  <c r="S1386" i="16"/>
  <c r="T1386" i="16" s="1"/>
  <c r="P1387" i="16"/>
  <c r="Q1387" i="16"/>
  <c r="R1387" i="16"/>
  <c r="J1387" i="16"/>
  <c r="D1387" i="16"/>
  <c r="L1388" i="16"/>
  <c r="C1388" i="16"/>
  <c r="K1388" i="16" s="1"/>
  <c r="G1388" i="16"/>
  <c r="E1388" i="16"/>
  <c r="F1388" i="16"/>
  <c r="O1388" i="16" s="1"/>
  <c r="I1388" i="16"/>
  <c r="B1389" i="16"/>
  <c r="P1333" i="16"/>
  <c r="Q1333" i="16"/>
  <c r="R1333" i="16"/>
  <c r="J1333" i="16"/>
  <c r="D1333" i="16"/>
  <c r="L1334" i="16"/>
  <c r="E1334" i="16"/>
  <c r="G1334" i="16"/>
  <c r="B1335" i="16"/>
  <c r="I1334" i="16"/>
  <c r="C1334" i="16"/>
  <c r="U1278" i="16"/>
  <c r="S1278" i="16"/>
  <c r="T1278" i="16" s="1"/>
  <c r="J1279" i="16"/>
  <c r="D1279" i="16"/>
  <c r="L1280" i="16"/>
  <c r="I1280" i="16"/>
  <c r="E1280" i="16"/>
  <c r="C1280" i="16"/>
  <c r="B1281" i="16"/>
  <c r="G1280" i="16"/>
  <c r="P1279" i="16"/>
  <c r="Q1279" i="16"/>
  <c r="R1279" i="16"/>
  <c r="C1226" i="16"/>
  <c r="K1226" i="16"/>
  <c r="B1227" i="16"/>
  <c r="I1226" i="16"/>
  <c r="L1226" i="16"/>
  <c r="F1226" i="16"/>
  <c r="O1226" i="16" s="1"/>
  <c r="E1226" i="16"/>
  <c r="G1226" i="16"/>
  <c r="D1225" i="16"/>
  <c r="J1225" i="16"/>
  <c r="P1225" i="16"/>
  <c r="Q1225" i="16"/>
  <c r="R1225" i="16"/>
  <c r="N1225" i="16"/>
  <c r="M1225" i="16"/>
  <c r="U1224" i="16"/>
  <c r="S1224" i="16"/>
  <c r="T1224" i="16" s="1"/>
  <c r="U1170" i="16"/>
  <c r="S1170" i="16"/>
  <c r="T1170" i="16" s="1"/>
  <c r="M1171" i="16"/>
  <c r="D1171" i="16"/>
  <c r="J1171" i="16"/>
  <c r="N1171" i="16" s="1"/>
  <c r="P1171" i="16"/>
  <c r="Q1171" i="16"/>
  <c r="R1171" i="16"/>
  <c r="L1172" i="16"/>
  <c r="C1172" i="16"/>
  <c r="K1172" i="16" s="1"/>
  <c r="E1172" i="16"/>
  <c r="F1172" i="16"/>
  <c r="O1172" i="16" s="1"/>
  <c r="G1172" i="16"/>
  <c r="I1172" i="16"/>
  <c r="B1173" i="16"/>
  <c r="U1116" i="16"/>
  <c r="S1116" i="16"/>
  <c r="T1116" i="16" s="1"/>
  <c r="M1117" i="16"/>
  <c r="D1117" i="16"/>
  <c r="J1117" i="16"/>
  <c r="N1117" i="16" s="1"/>
  <c r="P1117" i="16"/>
  <c r="Q1117" i="16"/>
  <c r="R1117" i="16"/>
  <c r="L1118" i="16"/>
  <c r="C1118" i="16"/>
  <c r="K1118" i="16" s="1"/>
  <c r="E1118" i="16"/>
  <c r="F1118" i="16"/>
  <c r="O1118" i="16" s="1"/>
  <c r="G1118" i="16"/>
  <c r="I1118" i="16"/>
  <c r="B1119" i="16"/>
  <c r="D1063" i="16"/>
  <c r="J1063" i="16"/>
  <c r="P1063" i="16"/>
  <c r="Q1063" i="16"/>
  <c r="R1063" i="16"/>
  <c r="L1064" i="16"/>
  <c r="C1064" i="16"/>
  <c r="E1064" i="16"/>
  <c r="G1064" i="16"/>
  <c r="I1064" i="16"/>
  <c r="B1065" i="16"/>
  <c r="U1008" i="16"/>
  <c r="S1008" i="16"/>
  <c r="T1008" i="16" s="1"/>
  <c r="M1009" i="16"/>
  <c r="D1009" i="16"/>
  <c r="J1009" i="16"/>
  <c r="N1009" i="16" s="1"/>
  <c r="P1009" i="16"/>
  <c r="Q1009" i="16"/>
  <c r="R1009" i="16"/>
  <c r="L1010" i="16"/>
  <c r="G1010" i="16"/>
  <c r="E1010" i="16"/>
  <c r="B1011" i="16"/>
  <c r="I1010" i="16"/>
  <c r="C1010"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M901" i="16"/>
  <c r="D901" i="16"/>
  <c r="J901" i="16"/>
  <c r="N901" i="16" s="1"/>
  <c r="P901" i="16"/>
  <c r="Q901" i="16"/>
  <c r="R901" i="16"/>
  <c r="L902" i="16"/>
  <c r="C902" i="16"/>
  <c r="K902" i="16" s="1"/>
  <c r="E902" i="16"/>
  <c r="F902" i="16"/>
  <c r="O902" i="16" s="1"/>
  <c r="G902" i="16"/>
  <c r="I902" i="16"/>
  <c r="B903" i="16"/>
  <c r="D847" i="16"/>
  <c r="J847" i="16"/>
  <c r="P847" i="16"/>
  <c r="Q847" i="16"/>
  <c r="R847" i="16"/>
  <c r="L848" i="16"/>
  <c r="C848" i="16"/>
  <c r="E848" i="16"/>
  <c r="G848" i="16"/>
  <c r="I848" i="16"/>
  <c r="B849" i="16"/>
  <c r="M793" i="16"/>
  <c r="D793" i="16"/>
  <c r="J793" i="16"/>
  <c r="N793" i="16" s="1"/>
  <c r="P793" i="16"/>
  <c r="Q793" i="16"/>
  <c r="R793" i="16"/>
  <c r="L794" i="16"/>
  <c r="C794" i="16"/>
  <c r="E794" i="16"/>
  <c r="G794" i="16"/>
  <c r="I794" i="16"/>
  <c r="B795" i="16"/>
  <c r="U738" i="16"/>
  <c r="S738" i="16"/>
  <c r="T738" i="16" s="1"/>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E632" i="16"/>
  <c r="G632" i="16"/>
  <c r="I632" i="16"/>
  <c r="B633" i="16"/>
  <c r="P577" i="16"/>
  <c r="Q577" i="16"/>
  <c r="R577" i="16"/>
  <c r="J577" i="16"/>
  <c r="D577" i="16"/>
  <c r="L578" i="16"/>
  <c r="B579" i="16"/>
  <c r="C578" i="16"/>
  <c r="E578" i="16"/>
  <c r="G578" i="16"/>
  <c r="I578" i="16"/>
  <c r="U522" i="16"/>
  <c r="S522" i="16"/>
  <c r="T522" i="16" s="1"/>
  <c r="M523" i="16"/>
  <c r="D523" i="16"/>
  <c r="J523" i="16"/>
  <c r="N523" i="16" s="1"/>
  <c r="P523" i="16"/>
  <c r="Q523" i="16"/>
  <c r="R523" i="16"/>
  <c r="L524" i="16"/>
  <c r="C524" i="16"/>
  <c r="E524" i="16"/>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M361" i="16"/>
  <c r="D361" i="16"/>
  <c r="J361" i="16"/>
  <c r="N361" i="16" s="1"/>
  <c r="P361" i="16"/>
  <c r="Q361" i="16"/>
  <c r="R361" i="16"/>
  <c r="L362" i="16"/>
  <c r="C362" i="16"/>
  <c r="E362" i="16"/>
  <c r="G362" i="16"/>
  <c r="I362" i="16"/>
  <c r="B363" i="16"/>
  <c r="D307" i="16"/>
  <c r="J307" i="16"/>
  <c r="P307" i="16"/>
  <c r="Q307" i="16"/>
  <c r="R307" i="16"/>
  <c r="L308" i="16"/>
  <c r="C308" i="16"/>
  <c r="E308" i="16"/>
  <c r="G308" i="16"/>
  <c r="I308" i="16"/>
  <c r="B309" i="16"/>
  <c r="U252" i="16"/>
  <c r="S252" i="16"/>
  <c r="T252" i="16" s="1"/>
  <c r="M253" i="16"/>
  <c r="D253" i="16"/>
  <c r="J253" i="16"/>
  <c r="N253" i="16" s="1"/>
  <c r="P253" i="16"/>
  <c r="Q253" i="16"/>
  <c r="R253" i="16"/>
  <c r="L254" i="16"/>
  <c r="C254" i="16"/>
  <c r="E254" i="16"/>
  <c r="G254" i="16"/>
  <c r="I254" i="16"/>
  <c r="B255" i="16"/>
  <c r="U198" i="16"/>
  <c r="S198" i="16"/>
  <c r="T198" i="16" s="1"/>
  <c r="D199" i="16"/>
  <c r="J199" i="16"/>
  <c r="P199" i="16"/>
  <c r="Q199" i="16"/>
  <c r="R199" i="16"/>
  <c r="L200" i="16"/>
  <c r="E200" i="16"/>
  <c r="G200" i="16"/>
  <c r="I200" i="16"/>
  <c r="B201" i="16"/>
  <c r="C200" i="16"/>
  <c r="M145" i="16"/>
  <c r="J145" i="16"/>
  <c r="N145" i="16" s="1"/>
  <c r="D145" i="16"/>
  <c r="L146" i="16"/>
  <c r="E146" i="16"/>
  <c r="I146" i="16"/>
  <c r="C146" i="16"/>
  <c r="G146" i="16"/>
  <c r="B147" i="16"/>
  <c r="P145" i="16"/>
  <c r="Q145" i="16"/>
  <c r="R145" i="16"/>
  <c r="U90" i="16"/>
  <c r="S90" i="16"/>
  <c r="T90" i="16" s="1"/>
  <c r="D91" i="16"/>
  <c r="J91" i="16"/>
  <c r="P91" i="16"/>
  <c r="Q91" i="16"/>
  <c r="R91" i="16"/>
  <c r="L92" i="16"/>
  <c r="C92" i="16"/>
  <c r="K92" i="16" s="1"/>
  <c r="E92" i="16"/>
  <c r="F92" i="16"/>
  <c r="O92" i="16" s="1"/>
  <c r="G92" i="16"/>
  <c r="I92" i="16"/>
  <c r="B93" i="16"/>
  <c r="U28" i="4"/>
  <c r="S28" i="4"/>
  <c r="T28" i="4" s="1"/>
  <c r="F28" i="5"/>
  <c r="G28" i="5"/>
  <c r="H28" i="5"/>
  <c r="M29" i="4"/>
  <c r="D29" i="4"/>
  <c r="J29" i="4"/>
  <c r="N29" i="4" s="1"/>
  <c r="E64" i="7"/>
  <c r="O29" i="4"/>
  <c r="AG29" i="4"/>
  <c r="AF29" i="4"/>
  <c r="AE29" i="4"/>
  <c r="AD29" i="4"/>
  <c r="AC29" i="4"/>
  <c r="AB29" i="4"/>
  <c r="AA29" i="4"/>
  <c r="Z29" i="4"/>
  <c r="Y29" i="4"/>
  <c r="X29" i="4"/>
  <c r="W29" i="4"/>
  <c r="P29" i="4"/>
  <c r="F29" i="5" s="1"/>
  <c r="Q29" i="4"/>
  <c r="G29" i="5" s="1"/>
  <c r="R29" i="4"/>
  <c r="H29" i="5" s="1"/>
  <c r="V29" i="4"/>
  <c r="L30" i="4"/>
  <c r="C30" i="4"/>
  <c r="K30" i="4" s="1"/>
  <c r="E30" i="4"/>
  <c r="F30" i="4"/>
  <c r="C30" i="5" s="1"/>
  <c r="E30" i="5" s="1"/>
  <c r="G30" i="4"/>
  <c r="AI30" i="4" s="1"/>
  <c r="I30" i="4"/>
  <c r="B31" i="4"/>
  <c r="B30" i="5"/>
  <c r="AJ16" i="4"/>
  <c r="B77" i="7"/>
  <c r="I77" i="7" s="1"/>
  <c r="AJ15" i="4"/>
  <c r="AI17" i="4"/>
  <c r="AI18" i="4"/>
  <c r="AI19" i="4"/>
  <c r="AI20" i="4"/>
  <c r="AI21" i="4"/>
  <c r="AI22" i="4"/>
  <c r="AI23" i="4"/>
  <c r="AI24" i="4"/>
  <c r="AI25" i="4"/>
  <c r="AI26" i="4"/>
  <c r="AI27" i="4"/>
  <c r="AI28" i="4"/>
  <c r="AI29" i="4"/>
  <c r="U4115" i="16"/>
  <c r="S4115" i="16"/>
  <c r="T4115" i="16" s="1"/>
  <c r="U3653" i="16"/>
  <c r="S3653" i="16"/>
  <c r="T3653" i="16" s="1"/>
  <c r="U3383" i="16"/>
  <c r="S3383" i="16"/>
  <c r="T3383" i="16" s="1"/>
  <c r="U3221" i="16"/>
  <c r="S3221" i="16"/>
  <c r="T3221" i="16" s="1"/>
  <c r="U3113" i="16"/>
  <c r="S3113" i="16"/>
  <c r="T3113" i="16" s="1"/>
  <c r="U3059" i="16"/>
  <c r="S3059" i="16"/>
  <c r="T3059" i="16" s="1"/>
  <c r="U2627" i="16"/>
  <c r="S2627" i="16"/>
  <c r="T2627" i="16" s="1"/>
  <c r="U2303" i="16"/>
  <c r="S2303" i="16"/>
  <c r="T2303" i="16" s="1"/>
  <c r="U2141" i="16"/>
  <c r="S2141" i="16"/>
  <c r="T2141" i="16" s="1"/>
  <c r="U2087" i="16"/>
  <c r="S2087" i="16"/>
  <c r="T2087" i="16" s="1"/>
  <c r="U1817" i="16"/>
  <c r="S1817" i="16"/>
  <c r="T1817" i="16" s="1"/>
  <c r="U1655" i="16"/>
  <c r="S1655" i="16"/>
  <c r="T1655" i="16" s="1"/>
  <c r="U1601" i="16"/>
  <c r="S1601" i="16"/>
  <c r="T1601" i="16" s="1"/>
  <c r="U1547" i="16"/>
  <c r="S1547" i="16"/>
  <c r="T1547" i="16" s="1"/>
  <c r="U1385" i="16"/>
  <c r="S1385" i="16"/>
  <c r="T1385" i="16" s="1"/>
  <c r="U1331" i="16"/>
  <c r="S1331" i="16"/>
  <c r="T1331" i="16" s="1"/>
  <c r="U1061" i="16"/>
  <c r="S1061" i="16"/>
  <c r="T1061" i="16" s="1"/>
  <c r="U737" i="16"/>
  <c r="S737" i="16"/>
  <c r="T737" i="16" s="1"/>
  <c r="U27" i="4"/>
  <c r="S27" i="4"/>
  <c r="T27" i="4" s="1"/>
  <c r="N4524" i="16"/>
  <c r="M4524" i="16"/>
  <c r="N4170" i="16"/>
  <c r="M4170" i="16"/>
  <c r="M3708" i="16"/>
  <c r="N3708" i="16"/>
  <c r="M3492" i="16"/>
  <c r="N3492" i="16"/>
  <c r="M3384" i="16"/>
  <c r="N3384" i="16"/>
  <c r="M3222" i="16"/>
  <c r="N3222" i="16"/>
  <c r="M3168" i="16"/>
  <c r="N3168" i="16"/>
  <c r="M3006" i="16"/>
  <c r="N3006" i="16"/>
  <c r="M2898" i="16"/>
  <c r="N2898" i="16"/>
  <c r="N2844" i="16"/>
  <c r="M2844" i="16"/>
  <c r="M2358" i="16"/>
  <c r="N2358" i="16"/>
  <c r="M2142" i="16"/>
  <c r="N2142" i="16"/>
  <c r="M2088" i="16"/>
  <c r="N2088" i="16"/>
  <c r="M1818" i="16"/>
  <c r="N1818" i="16"/>
  <c r="M1602" i="16"/>
  <c r="N1602" i="16"/>
  <c r="M1548" i="16"/>
  <c r="N1548" i="16"/>
  <c r="N1494" i="16"/>
  <c r="M1494" i="16"/>
  <c r="N1440" i="16"/>
  <c r="M1440" i="16"/>
  <c r="N1332" i="16"/>
  <c r="M1332" i="16"/>
  <c r="M1062" i="16"/>
  <c r="N1062" i="16"/>
  <c r="M846" i="16"/>
  <c r="N846" i="16"/>
  <c r="M792" i="16"/>
  <c r="N792" i="16"/>
  <c r="M576" i="16"/>
  <c r="N576" i="16"/>
  <c r="M360" i="16"/>
  <c r="N360" i="16"/>
  <c r="M306" i="16"/>
  <c r="N306" i="16"/>
  <c r="N144" i="16"/>
  <c r="M144" i="16"/>
  <c r="D4633" i="16"/>
  <c r="F4633" i="16"/>
  <c r="O4633" i="16" s="1"/>
  <c r="F4579" i="16"/>
  <c r="K4579" i="16"/>
  <c r="F3763" i="16"/>
  <c r="O3763" i="16" s="1"/>
  <c r="K3763" i="16"/>
  <c r="K3493" i="16"/>
  <c r="F3493" i="16"/>
  <c r="O3493" i="16" s="1"/>
  <c r="K3223" i="16"/>
  <c r="F3223" i="16"/>
  <c r="O3223" i="16" s="1"/>
  <c r="F3007" i="16"/>
  <c r="O3007" i="16" s="1"/>
  <c r="K3007" i="16"/>
  <c r="F2899" i="16"/>
  <c r="O2899" i="16" s="1"/>
  <c r="K2899" i="16"/>
  <c r="K2791" i="16"/>
  <c r="F2791" i="16"/>
  <c r="O2791" i="16" s="1"/>
  <c r="K2683" i="16"/>
  <c r="F2683" i="16"/>
  <c r="O2683" i="16" s="1"/>
  <c r="K2629" i="16"/>
  <c r="F2629" i="16"/>
  <c r="O2629" i="16" s="1"/>
  <c r="K2359" i="16"/>
  <c r="F2359" i="16"/>
  <c r="O2359" i="16" s="1"/>
  <c r="F2143" i="16"/>
  <c r="O2143" i="16" s="1"/>
  <c r="K2143" i="16"/>
  <c r="F1819" i="16"/>
  <c r="O1819" i="16" s="1"/>
  <c r="K1819" i="16"/>
  <c r="F1387" i="16"/>
  <c r="O1387" i="16" s="1"/>
  <c r="K1387" i="16"/>
  <c r="F1333" i="16"/>
  <c r="O1333" i="16" s="1"/>
  <c r="K1333" i="16"/>
  <c r="K1279" i="16"/>
  <c r="F1279" i="16"/>
  <c r="O1279" i="16" s="1"/>
  <c r="K1063" i="16"/>
  <c r="F1063" i="16"/>
  <c r="O1063" i="16" s="1"/>
  <c r="F847" i="16"/>
  <c r="O847" i="16" s="1"/>
  <c r="K847" i="16"/>
  <c r="K577" i="16"/>
  <c r="F577" i="16"/>
  <c r="O577" i="16" s="1"/>
  <c r="F307" i="16"/>
  <c r="O307" i="16" s="1"/>
  <c r="K307" i="16"/>
  <c r="K199" i="16"/>
  <c r="F199" i="16"/>
  <c r="O199" i="16" s="1"/>
  <c r="F91" i="16"/>
  <c r="O91" i="16" s="1"/>
  <c r="K91" i="16"/>
  <c r="N3331" i="16" l="1"/>
  <c r="N739" i="16"/>
  <c r="N2035" i="16"/>
  <c r="K3008" i="16"/>
  <c r="F3008" i="16"/>
  <c r="O3008" i="16" s="1"/>
  <c r="K1982" i="16"/>
  <c r="F1982" i="16"/>
  <c r="O1982" i="16" s="1"/>
  <c r="K362" i="16"/>
  <c r="F362" i="16"/>
  <c r="O362" i="16" s="1"/>
  <c r="K146" i="16"/>
  <c r="F146" i="16"/>
  <c r="O146" i="16" s="1"/>
  <c r="T4686" i="16"/>
  <c r="U4687" i="16"/>
  <c r="S4687" i="16"/>
  <c r="T4687" i="16" s="1"/>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K4581" i="16" s="1"/>
  <c r="E4581" i="16"/>
  <c r="F4581" i="16"/>
  <c r="G4581" i="16"/>
  <c r="I4581" i="16"/>
  <c r="B4582" i="16"/>
  <c r="D4526" i="16"/>
  <c r="J4526" i="16"/>
  <c r="N4526" i="16" s="1"/>
  <c r="P4526" i="16"/>
  <c r="Q4526" i="16"/>
  <c r="R4526" i="16"/>
  <c r="M4526" i="16"/>
  <c r="C4527" i="16"/>
  <c r="E4527" i="16"/>
  <c r="G4527" i="16"/>
  <c r="I4527" i="16"/>
  <c r="L4527" i="16"/>
  <c r="B4528" i="16"/>
  <c r="U4225" i="16"/>
  <c r="S4225" i="16"/>
  <c r="T4225" i="16" s="1"/>
  <c r="D4226" i="16"/>
  <c r="J4226" i="16"/>
  <c r="P4226" i="16"/>
  <c r="Q4226" i="16"/>
  <c r="R4226" i="16"/>
  <c r="L4227" i="16"/>
  <c r="C4227" i="16"/>
  <c r="E4227" i="16"/>
  <c r="G4227" i="16"/>
  <c r="I4227" i="16"/>
  <c r="B4228" i="16"/>
  <c r="U4171" i="16"/>
  <c r="S4171" i="16"/>
  <c r="T4171" i="16" s="1"/>
  <c r="P4172" i="16"/>
  <c r="Q4172" i="16"/>
  <c r="R4172" i="16"/>
  <c r="D4172" i="16"/>
  <c r="J4172" i="16"/>
  <c r="G4173" i="16"/>
  <c r="C4173" i="16"/>
  <c r="E4173" i="16"/>
  <c r="L4173" i="16"/>
  <c r="B4174" i="16"/>
  <c r="I4173" i="16"/>
  <c r="D4118" i="16"/>
  <c r="J4118" i="16"/>
  <c r="N4118" i="16" s="1"/>
  <c r="Q4118" i="16"/>
  <c r="P4118" i="16"/>
  <c r="R4118" i="16"/>
  <c r="M4118" i="16"/>
  <c r="I4119" i="16"/>
  <c r="C4119" i="16"/>
  <c r="E4119" i="16"/>
  <c r="G4119" i="16"/>
  <c r="L4119" i="16"/>
  <c r="B4120" i="16"/>
  <c r="U4117" i="16"/>
  <c r="S4117" i="16"/>
  <c r="T4117" i="16" s="1"/>
  <c r="U4063" i="16"/>
  <c r="S4063" i="16"/>
  <c r="T4063" i="16" s="1"/>
  <c r="M4064" i="16"/>
  <c r="D4064" i="16"/>
  <c r="J4064" i="16"/>
  <c r="N4064" i="16" s="1"/>
  <c r="P4064" i="16"/>
  <c r="Q4064" i="16"/>
  <c r="R4064" i="16"/>
  <c r="L4065" i="16"/>
  <c r="C4065" i="16"/>
  <c r="E4065" i="16"/>
  <c r="G4065" i="16"/>
  <c r="I4065" i="16"/>
  <c r="B4066" i="16"/>
  <c r="D3764" i="16"/>
  <c r="J3764" i="16"/>
  <c r="P3764" i="16"/>
  <c r="Q3764" i="16"/>
  <c r="R3764" i="16"/>
  <c r="L3765" i="16"/>
  <c r="C3765" i="16"/>
  <c r="K3765" i="16" s="1"/>
  <c r="E3765" i="16"/>
  <c r="F3765" i="16"/>
  <c r="O3765" i="16" s="1"/>
  <c r="G3765" i="16"/>
  <c r="I3765" i="16"/>
  <c r="B3766" i="16"/>
  <c r="U3709" i="16"/>
  <c r="S3709" i="16"/>
  <c r="T3709" i="16" s="1"/>
  <c r="D3710" i="16"/>
  <c r="J3710" i="16"/>
  <c r="P3710" i="16"/>
  <c r="Q3710" i="16"/>
  <c r="R3710" i="16"/>
  <c r="L3711" i="16"/>
  <c r="C3711" i="16"/>
  <c r="E3711" i="16"/>
  <c r="G3711" i="16"/>
  <c r="I3711" i="16"/>
  <c r="B3712" i="16"/>
  <c r="U3655" i="16"/>
  <c r="S3655" i="16"/>
  <c r="T3655" i="16" s="1"/>
  <c r="D3656" i="16"/>
  <c r="J3656" i="16"/>
  <c r="P3656" i="16"/>
  <c r="Q3656" i="16"/>
  <c r="R3656" i="16"/>
  <c r="L3657" i="16"/>
  <c r="C3657" i="16"/>
  <c r="E3657" i="16"/>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L3495" i="16"/>
  <c r="G3495" i="16"/>
  <c r="C3495" i="16"/>
  <c r="E3495" i="16"/>
  <c r="I3495" i="16"/>
  <c r="B3496" i="16"/>
  <c r="D3494" i="16"/>
  <c r="J3494" i="16"/>
  <c r="P3494" i="16"/>
  <c r="Q3494" i="16"/>
  <c r="R3494" i="16"/>
  <c r="S3439" i="16"/>
  <c r="T3439" i="16" s="1"/>
  <c r="U3439" i="16"/>
  <c r="D3440" i="16"/>
  <c r="J3440" i="16"/>
  <c r="P3440" i="16"/>
  <c r="Q3440" i="16"/>
  <c r="R3440" i="16"/>
  <c r="L3441" i="16"/>
  <c r="C3441" i="16"/>
  <c r="K3441" i="16" s="1"/>
  <c r="E3441" i="16"/>
  <c r="F3441" i="16"/>
  <c r="O3441" i="16" s="1"/>
  <c r="G3441" i="16"/>
  <c r="B3442" i="16"/>
  <c r="I3441" i="16"/>
  <c r="U3385" i="16"/>
  <c r="S3385" i="16"/>
  <c r="T3385" i="16" s="1"/>
  <c r="D3386" i="16"/>
  <c r="M3386" i="16" s="1"/>
  <c r="J3386" i="16"/>
  <c r="P3386" i="16"/>
  <c r="Q3386" i="16"/>
  <c r="R3386" i="16"/>
  <c r="L3387" i="16"/>
  <c r="C3387" i="16"/>
  <c r="E3387" i="16"/>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P3224" i="16"/>
  <c r="Q3224" i="16"/>
  <c r="R3224" i="16"/>
  <c r="L3225" i="16"/>
  <c r="C3225" i="16"/>
  <c r="K3225" i="16" s="1"/>
  <c r="E3225" i="16"/>
  <c r="I3225" i="16"/>
  <c r="F3225" i="16"/>
  <c r="O3225" i="16" s="1"/>
  <c r="G3225" i="16"/>
  <c r="B3226" i="16"/>
  <c r="D3224" i="16"/>
  <c r="J3224" i="16"/>
  <c r="U3169" i="16"/>
  <c r="S3169" i="16"/>
  <c r="T3169" i="16" s="1"/>
  <c r="D3170" i="16"/>
  <c r="J3170" i="16"/>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E3117" i="16"/>
  <c r="G3117" i="16"/>
  <c r="I3117" i="16"/>
  <c r="B3118" i="16"/>
  <c r="U3061" i="16"/>
  <c r="S3061" i="16"/>
  <c r="T3061" i="16" s="1"/>
  <c r="M3062" i="16"/>
  <c r="D3062" i="16"/>
  <c r="J3062" i="16"/>
  <c r="N3062" i="16" s="1"/>
  <c r="P3062" i="16"/>
  <c r="Q3062" i="16"/>
  <c r="R3062" i="16"/>
  <c r="L3063" i="16"/>
  <c r="E3063" i="16"/>
  <c r="I3063" i="16"/>
  <c r="C3063" i="16"/>
  <c r="G3063" i="16"/>
  <c r="B3064" i="16"/>
  <c r="M3008" i="16"/>
  <c r="J3008" i="16"/>
  <c r="N3008" i="16" s="1"/>
  <c r="D3008" i="16"/>
  <c r="L3009" i="16"/>
  <c r="G3009" i="16"/>
  <c r="B3010" i="16"/>
  <c r="I3009" i="16"/>
  <c r="C3009" i="16"/>
  <c r="E3009" i="16"/>
  <c r="P3008" i="16"/>
  <c r="Q3008" i="16"/>
  <c r="R3008" i="16"/>
  <c r="U2953" i="16"/>
  <c r="S2953" i="16"/>
  <c r="T2953" i="16" s="1"/>
  <c r="M2954" i="16"/>
  <c r="D2954" i="16"/>
  <c r="J2954" i="16"/>
  <c r="N2954" i="16" s="1"/>
  <c r="P2954" i="16"/>
  <c r="Q2954" i="16"/>
  <c r="R2954" i="16"/>
  <c r="L2955" i="16"/>
  <c r="C2955" i="16"/>
  <c r="K2955" i="16" s="1"/>
  <c r="E2955" i="16"/>
  <c r="F2955" i="16"/>
  <c r="O2955" i="16" s="1"/>
  <c r="G2955" i="16"/>
  <c r="I2955" i="16"/>
  <c r="B2956" i="16"/>
  <c r="D2900" i="16"/>
  <c r="J2900" i="16"/>
  <c r="P2900" i="16"/>
  <c r="Q2900" i="16"/>
  <c r="R2900" i="16"/>
  <c r="L2901" i="16"/>
  <c r="C2901" i="16"/>
  <c r="K2901" i="16" s="1"/>
  <c r="E2901" i="16"/>
  <c r="F2901" i="16"/>
  <c r="O2901" i="16" s="1"/>
  <c r="G2901" i="16"/>
  <c r="I2901" i="16"/>
  <c r="B2902" i="16"/>
  <c r="U2845" i="16"/>
  <c r="S2845" i="16"/>
  <c r="T2845" i="16" s="1"/>
  <c r="P2846" i="16"/>
  <c r="Q2846" i="16"/>
  <c r="R2846" i="16"/>
  <c r="J2846" i="16"/>
  <c r="D2846" i="16"/>
  <c r="L2847" i="16"/>
  <c r="B2848" i="16"/>
  <c r="I2847" i="16"/>
  <c r="C2847" i="16"/>
  <c r="K2847" i="16" s="1"/>
  <c r="G2847" i="16"/>
  <c r="F2847" i="16"/>
  <c r="O2847" i="16" s="1"/>
  <c r="E2847" i="16"/>
  <c r="P2792" i="16"/>
  <c r="Q2792" i="16"/>
  <c r="R2792" i="16"/>
  <c r="L2793" i="16"/>
  <c r="E2793" i="16"/>
  <c r="C2793" i="16"/>
  <c r="K2793" i="16" s="1"/>
  <c r="G2793" i="16"/>
  <c r="B2794" i="16"/>
  <c r="I2793" i="16"/>
  <c r="F2793" i="16"/>
  <c r="O2793" i="16" s="1"/>
  <c r="D2792" i="16"/>
  <c r="J2792" i="16"/>
  <c r="U2737" i="16"/>
  <c r="S2737" i="16"/>
  <c r="T2737" i="16" s="1"/>
  <c r="D2738" i="16"/>
  <c r="M2738" i="16" s="1"/>
  <c r="J2738" i="16"/>
  <c r="P2738" i="16"/>
  <c r="Q2738" i="16"/>
  <c r="R2738" i="16"/>
  <c r="L2739" i="16"/>
  <c r="C2739" i="16"/>
  <c r="K2739" i="16" s="1"/>
  <c r="E2739" i="16"/>
  <c r="F2739" i="16"/>
  <c r="O2739" i="16" s="1"/>
  <c r="G2739" i="16"/>
  <c r="I2739" i="16"/>
  <c r="B2740" i="16"/>
  <c r="D2684" i="16"/>
  <c r="J2684" i="16"/>
  <c r="P2684" i="16"/>
  <c r="Q2684" i="16"/>
  <c r="R2684" i="16"/>
  <c r="L2685" i="16"/>
  <c r="E2685" i="16"/>
  <c r="I2685" i="16"/>
  <c r="C2685" i="16"/>
  <c r="K2685" i="16" s="1"/>
  <c r="F2685" i="16"/>
  <c r="O2685" i="16" s="1"/>
  <c r="G2685" i="16"/>
  <c r="B2686" i="16"/>
  <c r="M2630" i="16"/>
  <c r="D2630" i="16"/>
  <c r="J2630" i="16"/>
  <c r="N2630" i="16" s="1"/>
  <c r="L2631" i="16"/>
  <c r="E2631" i="16"/>
  <c r="I2631" i="16"/>
  <c r="B2632" i="16"/>
  <c r="C2631" i="16"/>
  <c r="K2631" i="16" s="1"/>
  <c r="G2631" i="16"/>
  <c r="F2631" i="16"/>
  <c r="O2631" i="16" s="1"/>
  <c r="P2630" i="16"/>
  <c r="Q2630" i="16"/>
  <c r="R2630" i="16"/>
  <c r="U2575" i="16"/>
  <c r="S2575" i="16"/>
  <c r="T2575" i="16" s="1"/>
  <c r="P2576" i="16"/>
  <c r="Q2576" i="16"/>
  <c r="R2576" i="16"/>
  <c r="L2577" i="16"/>
  <c r="I2577" i="16"/>
  <c r="E2577" i="16"/>
  <c r="C2577" i="16"/>
  <c r="G2577" i="16"/>
  <c r="B2578" i="16"/>
  <c r="D2576" i="16"/>
  <c r="J2576"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D2414" i="16"/>
  <c r="J2414" i="16"/>
  <c r="P2414" i="16"/>
  <c r="Q2414" i="16"/>
  <c r="R2414" i="16"/>
  <c r="L2415" i="16"/>
  <c r="C2415" i="16"/>
  <c r="K2415" i="16" s="1"/>
  <c r="E2415" i="16"/>
  <c r="F2415" i="16"/>
  <c r="O2415" i="16" s="1"/>
  <c r="G2415" i="16"/>
  <c r="I2415" i="16"/>
  <c r="B2416" i="16"/>
  <c r="M2360" i="16"/>
  <c r="D2360" i="16"/>
  <c r="J2360" i="16"/>
  <c r="N2360" i="16" s="1"/>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E2307" i="16"/>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K2199" i="16" s="1"/>
  <c r="E2199" i="16"/>
  <c r="F2199" i="16"/>
  <c r="O2199" i="16" s="1"/>
  <c r="G2199" i="16"/>
  <c r="I2199" i="16"/>
  <c r="B2200" i="16"/>
  <c r="D2144" i="16"/>
  <c r="J2144" i="16"/>
  <c r="P2144" i="16"/>
  <c r="Q2144" i="16"/>
  <c r="R2144" i="16"/>
  <c r="L2145" i="16"/>
  <c r="C2145" i="16"/>
  <c r="K2145" i="16" s="1"/>
  <c r="E2145" i="16"/>
  <c r="F2145" i="16"/>
  <c r="O2145" i="16" s="1"/>
  <c r="G2145" i="16"/>
  <c r="I2145" i="16"/>
  <c r="B2146" i="16"/>
  <c r="U2089" i="16"/>
  <c r="S2089" i="16"/>
  <c r="T2089" i="16" s="1"/>
  <c r="D2090" i="16"/>
  <c r="M2090" i="16" s="1"/>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U1927" i="16"/>
  <c r="S1927" i="16"/>
  <c r="T1927" i="16" s="1"/>
  <c r="M1928" i="16"/>
  <c r="D1928" i="16"/>
  <c r="J1928" i="16"/>
  <c r="N1928" i="16" s="1"/>
  <c r="P1928" i="16"/>
  <c r="Q1928" i="16"/>
  <c r="R1928" i="16"/>
  <c r="L1929" i="16"/>
  <c r="C1929" i="16"/>
  <c r="K1929" i="16" s="1"/>
  <c r="E1929" i="16"/>
  <c r="F1929" i="16"/>
  <c r="O1929" i="16" s="1"/>
  <c r="G1929" i="16"/>
  <c r="I1929" i="16"/>
  <c r="B1930" i="16"/>
  <c r="U1873" i="16"/>
  <c r="S1873" i="16"/>
  <c r="T1873" i="16" s="1"/>
  <c r="M1874" i="16"/>
  <c r="D1874" i="16"/>
  <c r="J1874" i="16"/>
  <c r="N1874" i="16" s="1"/>
  <c r="P1874" i="16"/>
  <c r="Q1874" i="16"/>
  <c r="R1874" i="16"/>
  <c r="L1875" i="16"/>
  <c r="C1875" i="16"/>
  <c r="K1875" i="16" s="1"/>
  <c r="E1875" i="16"/>
  <c r="F1875" i="16"/>
  <c r="O1875" i="16" s="1"/>
  <c r="G1875" i="16"/>
  <c r="I1875" i="16"/>
  <c r="B1876" i="16"/>
  <c r="M1820" i="16"/>
  <c r="D1820" i="16"/>
  <c r="J1820" i="16"/>
  <c r="N1820" i="16" s="1"/>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E1767" i="16"/>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U1657" i="16"/>
  <c r="S1657" i="16"/>
  <c r="T1657" i="16" s="1"/>
  <c r="M1658" i="16"/>
  <c r="D1658" i="16"/>
  <c r="J1658" i="16"/>
  <c r="N1658" i="16" s="1"/>
  <c r="P1658" i="16"/>
  <c r="Q1658" i="16"/>
  <c r="R1658" i="16"/>
  <c r="L1659" i="16"/>
  <c r="C1659" i="16"/>
  <c r="K1659" i="16" s="1"/>
  <c r="E1659" i="16"/>
  <c r="F1659" i="16"/>
  <c r="O1659" i="16" s="1"/>
  <c r="G1659" i="16"/>
  <c r="I1659" i="16"/>
  <c r="B1660" i="16"/>
  <c r="U1603" i="16"/>
  <c r="S1603" i="16"/>
  <c r="T1603" i="16" s="1"/>
  <c r="M1604" i="16"/>
  <c r="D1604" i="16"/>
  <c r="J1604" i="16"/>
  <c r="N1604" i="16" s="1"/>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U1495" i="16"/>
  <c r="S1495" i="16"/>
  <c r="T1495" i="16" s="1"/>
  <c r="M1496" i="16"/>
  <c r="L1497" i="16"/>
  <c r="B1498" i="16"/>
  <c r="G1497" i="16"/>
  <c r="I1497" i="16"/>
  <c r="E1497" i="16"/>
  <c r="C1497" i="16"/>
  <c r="J1496" i="16"/>
  <c r="N1496" i="16" s="1"/>
  <c r="D1496" i="16"/>
  <c r="P1496" i="16"/>
  <c r="Q1496" i="16"/>
  <c r="R1496" i="16"/>
  <c r="U1441" i="16"/>
  <c r="S1441" i="16"/>
  <c r="T1441" i="16" s="1"/>
  <c r="J1442" i="16"/>
  <c r="D1442" i="16"/>
  <c r="P1442" i="16"/>
  <c r="Q1442" i="16"/>
  <c r="R1442" i="16"/>
  <c r="L1443" i="16"/>
  <c r="I1443" i="16"/>
  <c r="G1443" i="16"/>
  <c r="E1443" i="16"/>
  <c r="C1443" i="16"/>
  <c r="B1444" i="16"/>
  <c r="M1388" i="16"/>
  <c r="D1388" i="16"/>
  <c r="J1388" i="16"/>
  <c r="N1388" i="16" s="1"/>
  <c r="P1388" i="16"/>
  <c r="Q1388" i="16"/>
  <c r="R1388" i="16"/>
  <c r="L1389" i="16"/>
  <c r="G1389" i="16"/>
  <c r="I1389" i="16"/>
  <c r="B1390" i="16"/>
  <c r="C1389" i="16"/>
  <c r="E1389" i="16"/>
  <c r="P1334" i="16"/>
  <c r="Q1334" i="16"/>
  <c r="R1334" i="16"/>
  <c r="L1335" i="16"/>
  <c r="E1335" i="16"/>
  <c r="C1335" i="16"/>
  <c r="K1335" i="16" s="1"/>
  <c r="B1336" i="16"/>
  <c r="F1335" i="16"/>
  <c r="O1335" i="16" s="1"/>
  <c r="G1335" i="16"/>
  <c r="I1335" i="16"/>
  <c r="J1334" i="16"/>
  <c r="D1334" i="16"/>
  <c r="J1280" i="16"/>
  <c r="D1280" i="16"/>
  <c r="L1281" i="16"/>
  <c r="E1281" i="16"/>
  <c r="G1281" i="16"/>
  <c r="B1282" i="16"/>
  <c r="C1281" i="16"/>
  <c r="I1281" i="16"/>
  <c r="P1280" i="16"/>
  <c r="Q1280" i="16"/>
  <c r="R1280" i="16"/>
  <c r="J1226" i="16"/>
  <c r="D1226" i="16"/>
  <c r="M1226" i="16"/>
  <c r="N1226" i="16"/>
  <c r="L1227" i="16"/>
  <c r="C1227" i="16"/>
  <c r="F1227" i="16"/>
  <c r="O1227" i="16" s="1"/>
  <c r="B1228" i="16"/>
  <c r="G1227" i="16"/>
  <c r="E1227" i="16"/>
  <c r="K1227" i="16"/>
  <c r="I1227" i="16"/>
  <c r="P1226" i="16"/>
  <c r="Q1226" i="16"/>
  <c r="R1226" i="16"/>
  <c r="S1225" i="16"/>
  <c r="T1225" i="16" s="1"/>
  <c r="U1225" i="16"/>
  <c r="U1171" i="16"/>
  <c r="S1171" i="16"/>
  <c r="T1171" i="16" s="1"/>
  <c r="M1172" i="16"/>
  <c r="D1172" i="16"/>
  <c r="J1172" i="16"/>
  <c r="N1172" i="16" s="1"/>
  <c r="P1172" i="16"/>
  <c r="Q1172" i="16"/>
  <c r="R1172" i="16"/>
  <c r="L1173" i="16"/>
  <c r="C1173" i="16"/>
  <c r="K1173" i="16" s="1"/>
  <c r="E1173" i="16"/>
  <c r="F1173" i="16"/>
  <c r="O1173" i="16" s="1"/>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D1064" i="16"/>
  <c r="J1064" i="16"/>
  <c r="P1064" i="16"/>
  <c r="Q1064" i="16"/>
  <c r="R1064" i="16"/>
  <c r="L1065" i="16"/>
  <c r="C1065" i="16"/>
  <c r="E1065" i="16"/>
  <c r="G1065" i="16"/>
  <c r="I1065" i="16"/>
  <c r="B1066" i="16"/>
  <c r="U1009" i="16"/>
  <c r="S1009" i="16"/>
  <c r="T1009" i="16" s="1"/>
  <c r="P1010" i="16"/>
  <c r="Q1010" i="16"/>
  <c r="R1010" i="16"/>
  <c r="L1011" i="16"/>
  <c r="I1011" i="16"/>
  <c r="C1011" i="16"/>
  <c r="E1011" i="16"/>
  <c r="B1012" i="16"/>
  <c r="G1011" i="16"/>
  <c r="D1010" i="16"/>
  <c r="J1010" i="16"/>
  <c r="U955" i="16"/>
  <c r="S955" i="16"/>
  <c r="T955" i="16" s="1"/>
  <c r="M956" i="16"/>
  <c r="D956" i="16"/>
  <c r="J956" i="16"/>
  <c r="N956" i="16" s="1"/>
  <c r="P956" i="16"/>
  <c r="Q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D848" i="16"/>
  <c r="J848" i="16"/>
  <c r="P848" i="16"/>
  <c r="Q848" i="16"/>
  <c r="R848" i="16"/>
  <c r="L849" i="16"/>
  <c r="C849" i="16"/>
  <c r="K849" i="16" s="1"/>
  <c r="E849" i="16"/>
  <c r="F849" i="16"/>
  <c r="O849" i="16" s="1"/>
  <c r="G849" i="16"/>
  <c r="I849" i="16"/>
  <c r="B850" i="16"/>
  <c r="U793" i="16"/>
  <c r="S793" i="16"/>
  <c r="T793" i="16" s="1"/>
  <c r="D794" i="16"/>
  <c r="J794" i="16"/>
  <c r="P794" i="16"/>
  <c r="Q794" i="16"/>
  <c r="R794" i="16"/>
  <c r="L795" i="16"/>
  <c r="C795" i="16"/>
  <c r="E795" i="16"/>
  <c r="G795" i="16"/>
  <c r="I795" i="16"/>
  <c r="B796" i="16"/>
  <c r="U739" i="16"/>
  <c r="S739" i="16"/>
  <c r="T739" i="16" s="1"/>
  <c r="M740" i="16"/>
  <c r="D740" i="16"/>
  <c r="J740" i="16"/>
  <c r="N740" i="16" s="1"/>
  <c r="P740" i="16"/>
  <c r="Q740" i="16"/>
  <c r="R740" i="16"/>
  <c r="L741" i="16"/>
  <c r="C741" i="16"/>
  <c r="E741" i="16"/>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D632" i="16"/>
  <c r="J632" i="16"/>
  <c r="P632" i="16"/>
  <c r="Q632" i="16"/>
  <c r="R632" i="16"/>
  <c r="L633" i="16"/>
  <c r="C633" i="16"/>
  <c r="K633" i="16" s="1"/>
  <c r="E633" i="16"/>
  <c r="F633" i="16"/>
  <c r="O633" i="16" s="1"/>
  <c r="G633" i="16"/>
  <c r="I633" i="16"/>
  <c r="B634" i="16"/>
  <c r="L579" i="16"/>
  <c r="C579" i="16"/>
  <c r="E579" i="16"/>
  <c r="G579" i="16"/>
  <c r="I579" i="16"/>
  <c r="B580" i="16"/>
  <c r="D578" i="16"/>
  <c r="J578" i="16"/>
  <c r="P578" i="16"/>
  <c r="Q578" i="16"/>
  <c r="R578" i="16"/>
  <c r="U523" i="16"/>
  <c r="S523" i="16"/>
  <c r="T523" i="16" s="1"/>
  <c r="D524" i="16"/>
  <c r="J524" i="16"/>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M362" i="16"/>
  <c r="D362" i="16"/>
  <c r="J362" i="16"/>
  <c r="N362" i="16" s="1"/>
  <c r="P362" i="16"/>
  <c r="Q362" i="16"/>
  <c r="R362" i="16"/>
  <c r="L363" i="16"/>
  <c r="C363" i="16"/>
  <c r="E363" i="16"/>
  <c r="G363" i="16"/>
  <c r="I363" i="16"/>
  <c r="B364" i="16"/>
  <c r="D308" i="16"/>
  <c r="J308" i="16"/>
  <c r="P308" i="16"/>
  <c r="Q308" i="16"/>
  <c r="R308" i="16"/>
  <c r="L309" i="16"/>
  <c r="C309" i="16"/>
  <c r="E309" i="16"/>
  <c r="G309" i="16"/>
  <c r="I309" i="16"/>
  <c r="B310" i="16"/>
  <c r="U253" i="16"/>
  <c r="S253" i="16"/>
  <c r="T253" i="16" s="1"/>
  <c r="D254" i="16"/>
  <c r="J254" i="16"/>
  <c r="P254" i="16"/>
  <c r="Q254" i="16"/>
  <c r="R254" i="16"/>
  <c r="L255" i="16"/>
  <c r="C255" i="16"/>
  <c r="K255" i="16" s="1"/>
  <c r="E255" i="16"/>
  <c r="F255" i="16"/>
  <c r="O255" i="16" s="1"/>
  <c r="G255" i="16"/>
  <c r="I255" i="16"/>
  <c r="B256" i="16"/>
  <c r="P200" i="16"/>
  <c r="Q200" i="16"/>
  <c r="R200" i="16"/>
  <c r="L201" i="16"/>
  <c r="I201" i="16"/>
  <c r="C201" i="16"/>
  <c r="K201" i="16" s="1"/>
  <c r="E201" i="16"/>
  <c r="F201" i="16"/>
  <c r="O201" i="16" s="1"/>
  <c r="G201" i="16"/>
  <c r="B202" i="16"/>
  <c r="J200" i="16"/>
  <c r="D200" i="16"/>
  <c r="U145" i="16"/>
  <c r="S145" i="16"/>
  <c r="T145" i="16" s="1"/>
  <c r="D146" i="16"/>
  <c r="M146" i="16" s="1"/>
  <c r="J146" i="16"/>
  <c r="P146" i="16"/>
  <c r="Q146" i="16"/>
  <c r="R146" i="16"/>
  <c r="L147" i="16"/>
  <c r="I147" i="16"/>
  <c r="C147" i="16"/>
  <c r="E147" i="16"/>
  <c r="G147" i="16"/>
  <c r="B148" i="16"/>
  <c r="M92" i="16"/>
  <c r="D92" i="16"/>
  <c r="J92" i="16"/>
  <c r="N92" i="16" s="1"/>
  <c r="P92" i="16"/>
  <c r="Q92" i="16"/>
  <c r="R92" i="16"/>
  <c r="L93" i="16"/>
  <c r="C93" i="16"/>
  <c r="K93" i="16" s="1"/>
  <c r="E93" i="16"/>
  <c r="F93" i="16"/>
  <c r="O93" i="16" s="1"/>
  <c r="G93" i="16"/>
  <c r="I93" i="16"/>
  <c r="B94" i="16"/>
  <c r="U29" i="4"/>
  <c r="S29" i="4"/>
  <c r="T29" i="4" s="1"/>
  <c r="M30" i="4"/>
  <c r="D30" i="4"/>
  <c r="J30" i="4"/>
  <c r="N30" i="4" s="1"/>
  <c r="E65" i="7"/>
  <c r="O30" i="4"/>
  <c r="AH30" i="4"/>
  <c r="AG30" i="4"/>
  <c r="AF30" i="4"/>
  <c r="AE30" i="4"/>
  <c r="AD30" i="4"/>
  <c r="AC30" i="4"/>
  <c r="AB30" i="4"/>
  <c r="AA30" i="4"/>
  <c r="Z30" i="4"/>
  <c r="Y30" i="4"/>
  <c r="X30" i="4"/>
  <c r="W30" i="4"/>
  <c r="P30" i="4"/>
  <c r="Q30" i="4"/>
  <c r="R30" i="4"/>
  <c r="V30" i="4"/>
  <c r="L31" i="4"/>
  <c r="C31" i="4"/>
  <c r="K31" i="4" s="1"/>
  <c r="E31" i="4"/>
  <c r="F31" i="4"/>
  <c r="C31" i="5" s="1"/>
  <c r="E31" i="5" s="1"/>
  <c r="G31" i="4"/>
  <c r="I31" i="4"/>
  <c r="B32" i="4"/>
  <c r="B31" i="5"/>
  <c r="AK16" i="4"/>
  <c r="B78" i="7"/>
  <c r="I78" i="7" s="1"/>
  <c r="AK15" i="4"/>
  <c r="AJ17" i="4"/>
  <c r="AJ18" i="4"/>
  <c r="AJ19" i="4"/>
  <c r="AJ20" i="4"/>
  <c r="AJ21" i="4"/>
  <c r="AJ22" i="4"/>
  <c r="AJ23" i="4"/>
  <c r="AJ24" i="4"/>
  <c r="AJ25" i="4"/>
  <c r="AJ26" i="4"/>
  <c r="AJ27" i="4"/>
  <c r="AJ28" i="4"/>
  <c r="AJ29" i="4"/>
  <c r="AJ30" i="4"/>
  <c r="AJ31" i="4"/>
  <c r="U4170" i="16"/>
  <c r="S4170" i="16"/>
  <c r="T4170" i="16" s="1"/>
  <c r="U3708" i="16"/>
  <c r="S3708" i="16"/>
  <c r="T3708" i="16" s="1"/>
  <c r="U3492" i="16"/>
  <c r="S3492" i="16"/>
  <c r="T3492" i="16" s="1"/>
  <c r="U3384" i="16"/>
  <c r="S3384" i="16"/>
  <c r="T3384" i="16" s="1"/>
  <c r="S3222" i="16"/>
  <c r="T3222" i="16" s="1"/>
  <c r="U3222" i="16"/>
  <c r="U3168" i="16"/>
  <c r="S3168" i="16"/>
  <c r="T3168" i="16" s="1"/>
  <c r="U3006" i="16"/>
  <c r="S3006" i="16"/>
  <c r="T3006" i="16" s="1"/>
  <c r="U2898" i="16"/>
  <c r="S2898" i="16"/>
  <c r="T2898" i="16" s="1"/>
  <c r="U2844" i="16"/>
  <c r="S2844" i="16"/>
  <c r="T2844" i="16" s="1"/>
  <c r="U2358" i="16"/>
  <c r="S2358" i="16"/>
  <c r="T2358" i="16" s="1"/>
  <c r="U2142" i="16"/>
  <c r="S2142" i="16"/>
  <c r="T2142" i="16" s="1"/>
  <c r="U2088" i="16"/>
  <c r="S2088" i="16"/>
  <c r="T2088" i="16" s="1"/>
  <c r="U1818" i="16"/>
  <c r="S1818" i="16"/>
  <c r="T1818" i="16" s="1"/>
  <c r="U1602" i="16"/>
  <c r="S1602" i="16"/>
  <c r="T1602" i="16" s="1"/>
  <c r="U1548" i="16"/>
  <c r="S1548" i="16"/>
  <c r="T1548" i="16" s="1"/>
  <c r="U1494" i="16"/>
  <c r="S1494" i="16"/>
  <c r="T1494" i="16" s="1"/>
  <c r="S1440" i="16"/>
  <c r="T1440" i="16" s="1"/>
  <c r="U1440" i="16"/>
  <c r="U1332" i="16"/>
  <c r="S1332" i="16"/>
  <c r="T1332" i="16" s="1"/>
  <c r="U1062" i="16"/>
  <c r="S1062" i="16"/>
  <c r="T1062" i="16" s="1"/>
  <c r="U846" i="16"/>
  <c r="S846" i="16"/>
  <c r="T846" i="16" s="1"/>
  <c r="U792" i="16"/>
  <c r="S792" i="16"/>
  <c r="T792" i="16" s="1"/>
  <c r="U576" i="16"/>
  <c r="S576" i="16"/>
  <c r="T576" i="16" s="1"/>
  <c r="U360" i="16"/>
  <c r="S360" i="16"/>
  <c r="T360" i="16" s="1"/>
  <c r="U306" i="16"/>
  <c r="S306" i="16"/>
  <c r="T306" i="16" s="1"/>
  <c r="U144" i="16"/>
  <c r="S144" i="16"/>
  <c r="T144" i="16" s="1"/>
  <c r="M4579" i="16"/>
  <c r="N4579" i="16"/>
  <c r="M3763" i="16"/>
  <c r="N3763" i="16"/>
  <c r="M3493" i="16"/>
  <c r="N3493" i="16"/>
  <c r="M3223" i="16"/>
  <c r="N3223" i="16"/>
  <c r="M3007" i="16"/>
  <c r="N3007" i="16"/>
  <c r="M2899" i="16"/>
  <c r="N2899" i="16"/>
  <c r="N2791" i="16"/>
  <c r="S2791" i="16" s="1"/>
  <c r="T2791" i="16" s="1"/>
  <c r="U2791" i="16" s="1"/>
  <c r="M2791" i="16"/>
  <c r="M2683" i="16"/>
  <c r="N2683" i="16"/>
  <c r="N2629" i="16"/>
  <c r="M2629" i="16"/>
  <c r="M2359" i="16"/>
  <c r="N2359" i="16"/>
  <c r="M2143" i="16"/>
  <c r="N2143" i="16"/>
  <c r="M1819" i="16"/>
  <c r="N1819" i="16"/>
  <c r="N1387" i="16"/>
  <c r="M1387" i="16"/>
  <c r="M1333" i="16"/>
  <c r="N1333" i="16"/>
  <c r="N1279" i="16"/>
  <c r="M1279" i="16"/>
  <c r="M1063" i="16"/>
  <c r="N1063" i="16"/>
  <c r="M847" i="16"/>
  <c r="N847" i="16"/>
  <c r="M577" i="16"/>
  <c r="N577" i="16"/>
  <c r="M307" i="16"/>
  <c r="N307" i="16"/>
  <c r="M199" i="16"/>
  <c r="N199" i="16"/>
  <c r="M91" i="16"/>
  <c r="N91" i="16"/>
  <c r="K4580" i="16"/>
  <c r="F4580" i="16"/>
  <c r="K4226" i="16"/>
  <c r="F4226" i="16"/>
  <c r="O4226" i="16" s="1"/>
  <c r="K4172" i="16"/>
  <c r="F4172" i="16"/>
  <c r="O4172" i="16" s="1"/>
  <c r="K3764" i="16"/>
  <c r="F3764" i="16"/>
  <c r="O3764" i="16" s="1"/>
  <c r="K3710" i="16"/>
  <c r="F3710" i="16"/>
  <c r="O3710" i="16" s="1"/>
  <c r="K3656" i="16"/>
  <c r="F3656" i="16"/>
  <c r="O3656" i="16" s="1"/>
  <c r="K3494" i="16"/>
  <c r="F3494" i="16"/>
  <c r="O3494" i="16" s="1"/>
  <c r="K3440" i="16"/>
  <c r="F3440" i="16"/>
  <c r="O3440" i="16" s="1"/>
  <c r="F3224" i="16"/>
  <c r="O3224" i="16" s="1"/>
  <c r="K3224" i="16"/>
  <c r="F3170" i="16"/>
  <c r="O3170" i="16" s="1"/>
  <c r="K3170" i="16"/>
  <c r="F2900" i="16"/>
  <c r="O2900" i="16" s="1"/>
  <c r="K2900" i="16"/>
  <c r="K2846" i="16"/>
  <c r="F2846" i="16"/>
  <c r="O2846" i="16" s="1"/>
  <c r="K2792" i="16"/>
  <c r="F2792" i="16"/>
  <c r="O2792" i="16" s="1"/>
  <c r="F2684" i="16"/>
  <c r="O2684" i="16" s="1"/>
  <c r="K2684" i="16"/>
  <c r="K2576" i="16"/>
  <c r="F2576" i="16"/>
  <c r="O2576" i="16" s="1"/>
  <c r="F2414" i="16"/>
  <c r="O2414" i="16" s="1"/>
  <c r="K2414" i="16"/>
  <c r="F2144" i="16"/>
  <c r="O2144" i="16" s="1"/>
  <c r="K2144" i="16"/>
  <c r="K1442" i="16"/>
  <c r="F1442" i="16"/>
  <c r="O1442" i="16" s="1"/>
  <c r="F1334" i="16"/>
  <c r="O1334" i="16" s="1"/>
  <c r="K1334" i="16"/>
  <c r="F1280" i="16"/>
  <c r="O1280" i="16" s="1"/>
  <c r="K1280" i="16"/>
  <c r="K1064" i="16"/>
  <c r="F1064" i="16"/>
  <c r="O1064" i="16" s="1"/>
  <c r="F1010" i="16"/>
  <c r="O1010" i="16" s="1"/>
  <c r="K1010" i="16"/>
  <c r="F848" i="16"/>
  <c r="O848" i="16" s="1"/>
  <c r="K848" i="16"/>
  <c r="K794" i="16"/>
  <c r="F794" i="16"/>
  <c r="O794" i="16" s="1"/>
  <c r="F632" i="16"/>
  <c r="O632" i="16" s="1"/>
  <c r="K632" i="16"/>
  <c r="K578" i="16"/>
  <c r="F578" i="16"/>
  <c r="O578" i="16" s="1"/>
  <c r="K524" i="16"/>
  <c r="F524" i="16"/>
  <c r="O524" i="16" s="1"/>
  <c r="F308" i="16"/>
  <c r="O308" i="16" s="1"/>
  <c r="K308" i="16"/>
  <c r="K254" i="16"/>
  <c r="F254" i="16"/>
  <c r="O254" i="16" s="1"/>
  <c r="K200" i="16"/>
  <c r="F200" i="16"/>
  <c r="O200" i="16" s="1"/>
  <c r="N3386" i="16" l="1"/>
  <c r="N2090" i="16"/>
  <c r="N146" i="16"/>
  <c r="N2738" i="16"/>
  <c r="D4635" i="16"/>
  <c r="F4635" i="16"/>
  <c r="O4635" i="16" s="1"/>
  <c r="K4065" i="16"/>
  <c r="F4065" i="16"/>
  <c r="O4065" i="16" s="1"/>
  <c r="K3387" i="16"/>
  <c r="F3387" i="16"/>
  <c r="O3387" i="16" s="1"/>
  <c r="K1767" i="16"/>
  <c r="F1767" i="16"/>
  <c r="O1767" i="16" s="1"/>
  <c r="K741" i="16"/>
  <c r="F741" i="16"/>
  <c r="O741" i="16" s="1"/>
  <c r="U4688" i="16"/>
  <c r="S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M4581" i="16"/>
  <c r="D4581" i="16"/>
  <c r="J4581" i="16"/>
  <c r="N4581" i="16" s="1"/>
  <c r="P4581" i="16"/>
  <c r="Q4581" i="16"/>
  <c r="R4581" i="16"/>
  <c r="L4582" i="16"/>
  <c r="C4582" i="16"/>
  <c r="K4582" i="16" s="1"/>
  <c r="E4582" i="16"/>
  <c r="F4582" i="16"/>
  <c r="G4582" i="16"/>
  <c r="I4582" i="16"/>
  <c r="B4583" i="16"/>
  <c r="D4527" i="16"/>
  <c r="J4527" i="16"/>
  <c r="P4527" i="16"/>
  <c r="Q4527" i="16"/>
  <c r="R4527" i="16"/>
  <c r="C4528" i="16"/>
  <c r="F4528" i="16" s="1"/>
  <c r="E4528" i="16"/>
  <c r="G4528" i="16"/>
  <c r="K4528" i="16"/>
  <c r="B4529" i="16"/>
  <c r="L4528" i="16"/>
  <c r="I4528" i="16"/>
  <c r="D4227" i="16"/>
  <c r="J4227" i="16"/>
  <c r="P4227" i="16"/>
  <c r="Q4227" i="16"/>
  <c r="R4227" i="16"/>
  <c r="L4228" i="16"/>
  <c r="C4228" i="16"/>
  <c r="E4228" i="16"/>
  <c r="G4228" i="16"/>
  <c r="I4228" i="16"/>
  <c r="B4229" i="16"/>
  <c r="P4173" i="16"/>
  <c r="Q4173" i="16"/>
  <c r="R4173" i="16"/>
  <c r="D4173" i="16"/>
  <c r="J4173" i="16"/>
  <c r="C4174" i="16"/>
  <c r="F4174" i="16" s="1"/>
  <c r="O4174" i="16" s="1"/>
  <c r="E4174" i="16"/>
  <c r="G4174" i="16"/>
  <c r="K4174" i="16"/>
  <c r="L4174" i="16"/>
  <c r="I4174" i="16"/>
  <c r="B4175" i="16"/>
  <c r="U4118" i="16"/>
  <c r="S4118" i="16"/>
  <c r="T4118" i="16" s="1"/>
  <c r="J4119" i="16"/>
  <c r="D4119" i="16"/>
  <c r="P4119" i="16"/>
  <c r="R4119" i="16"/>
  <c r="Q4119" i="16"/>
  <c r="C4120" i="16"/>
  <c r="E4120" i="16"/>
  <c r="F4120" i="16"/>
  <c r="O4120" i="16" s="1"/>
  <c r="G4120" i="16"/>
  <c r="I4120" i="16"/>
  <c r="K4120" i="16"/>
  <c r="B4121" i="16"/>
  <c r="L4120" i="16"/>
  <c r="U4064" i="16"/>
  <c r="S4064" i="16"/>
  <c r="T4064" i="16" s="1"/>
  <c r="M4065" i="16"/>
  <c r="D4065" i="16"/>
  <c r="J4065" i="16"/>
  <c r="N4065" i="16" s="1"/>
  <c r="P4065" i="16"/>
  <c r="Q4065" i="16"/>
  <c r="R4065" i="16"/>
  <c r="L4066" i="16"/>
  <c r="C4066" i="16"/>
  <c r="K4066" i="16" s="1"/>
  <c r="E4066" i="16"/>
  <c r="F4066" i="16"/>
  <c r="O4066" i="16" s="1"/>
  <c r="G4066" i="16"/>
  <c r="I4066" i="16"/>
  <c r="B4067" i="16"/>
  <c r="M3765" i="16"/>
  <c r="D3765" i="16"/>
  <c r="J3765" i="16"/>
  <c r="N3765" i="16" s="1"/>
  <c r="P3765" i="16"/>
  <c r="Q3765" i="16"/>
  <c r="R3765" i="16"/>
  <c r="L3766" i="16"/>
  <c r="C3766" i="16"/>
  <c r="K3766" i="16" s="1"/>
  <c r="E3766" i="16"/>
  <c r="F3766" i="16"/>
  <c r="O3766" i="16" s="1"/>
  <c r="G3766" i="16"/>
  <c r="I3766" i="16"/>
  <c r="B3767" i="16"/>
  <c r="D3711" i="16"/>
  <c r="J3711" i="16"/>
  <c r="P3711" i="16"/>
  <c r="Q3711" i="16"/>
  <c r="R3711" i="16"/>
  <c r="L3712" i="16"/>
  <c r="C3712" i="16"/>
  <c r="E3712" i="16"/>
  <c r="G3712" i="16"/>
  <c r="I3712" i="16"/>
  <c r="B3713" i="16"/>
  <c r="D3657" i="16"/>
  <c r="J3657" i="16"/>
  <c r="P3657" i="16"/>
  <c r="Q3657" i="16"/>
  <c r="R3657" i="16"/>
  <c r="L3658" i="16"/>
  <c r="I3658" i="16"/>
  <c r="C3658" i="16"/>
  <c r="E3658" i="16"/>
  <c r="G3658" i="16"/>
  <c r="B3659" i="16"/>
  <c r="U3602" i="16"/>
  <c r="S3602" i="16"/>
  <c r="T3602" i="16" s="1"/>
  <c r="M3603" i="16"/>
  <c r="D3603" i="16"/>
  <c r="J3603" i="16"/>
  <c r="N3603" i="16" s="1"/>
  <c r="P3603" i="16"/>
  <c r="Q3603" i="16"/>
  <c r="R3603" i="16"/>
  <c r="L3604" i="16"/>
  <c r="C3604" i="16"/>
  <c r="E3604" i="16"/>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P3495" i="16"/>
  <c r="Q3495" i="16"/>
  <c r="R3495" i="16"/>
  <c r="D3495" i="16"/>
  <c r="J3495" i="16"/>
  <c r="L3496" i="16"/>
  <c r="G3496" i="16"/>
  <c r="C3496" i="16"/>
  <c r="E3496" i="16"/>
  <c r="I3496" i="16"/>
  <c r="B3497" i="16"/>
  <c r="M3441" i="16"/>
  <c r="D3441" i="16"/>
  <c r="J3441" i="16"/>
  <c r="N3441" i="16" s="1"/>
  <c r="P3441" i="16"/>
  <c r="Q3441" i="16"/>
  <c r="R3441" i="16"/>
  <c r="L3442" i="16"/>
  <c r="C3442" i="16"/>
  <c r="E3442" i="16"/>
  <c r="G3442" i="16"/>
  <c r="I3442" i="16"/>
  <c r="B3443" i="16"/>
  <c r="U3386" i="16"/>
  <c r="S3386" i="16"/>
  <c r="T3386" i="16" s="1"/>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M3225" i="16"/>
  <c r="J3225" i="16"/>
  <c r="N3225" i="16" s="1"/>
  <c r="D3225" i="16"/>
  <c r="P3225" i="16"/>
  <c r="Q3225" i="16"/>
  <c r="R3225" i="16"/>
  <c r="L3226" i="16"/>
  <c r="C3226" i="16"/>
  <c r="E3226" i="16"/>
  <c r="G3226" i="16"/>
  <c r="I3226" i="16"/>
  <c r="B3227" i="16"/>
  <c r="M3171" i="16"/>
  <c r="D3171" i="16"/>
  <c r="J3171" i="16"/>
  <c r="N3171" i="16" s="1"/>
  <c r="P3171" i="16"/>
  <c r="Q3171" i="16"/>
  <c r="R3171" i="16"/>
  <c r="L3172" i="16"/>
  <c r="C3172" i="16"/>
  <c r="E3172" i="16"/>
  <c r="G3172" i="16"/>
  <c r="I3172" i="16"/>
  <c r="B3173" i="16"/>
  <c r="U3116" i="16"/>
  <c r="S3116" i="16"/>
  <c r="T3116" i="16" s="1"/>
  <c r="D3117" i="16"/>
  <c r="J3117" i="16"/>
  <c r="P3117" i="16"/>
  <c r="Q3117" i="16"/>
  <c r="R3117" i="16"/>
  <c r="L3118" i="16"/>
  <c r="C3118" i="16"/>
  <c r="E3118" i="16"/>
  <c r="G3118" i="16"/>
  <c r="I3118" i="16"/>
  <c r="B3119" i="16"/>
  <c r="U3062" i="16"/>
  <c r="S3062" i="16"/>
  <c r="T3062" i="16" s="1"/>
  <c r="D3063" i="16"/>
  <c r="J3063" i="16"/>
  <c r="P3063" i="16"/>
  <c r="Q3063" i="16"/>
  <c r="R3063" i="16"/>
  <c r="L3064" i="16"/>
  <c r="I3064" i="16"/>
  <c r="C3064" i="16"/>
  <c r="E3064" i="16"/>
  <c r="G3064" i="16"/>
  <c r="B3065" i="16"/>
  <c r="U3008" i="16"/>
  <c r="S3008" i="16"/>
  <c r="T3008" i="16" s="1"/>
  <c r="P3009" i="16"/>
  <c r="Q3009" i="16"/>
  <c r="R3009" i="16"/>
  <c r="L3010" i="16"/>
  <c r="I3010" i="16"/>
  <c r="C3010" i="16"/>
  <c r="E3010" i="16"/>
  <c r="G3010" i="16"/>
  <c r="B3011" i="16"/>
  <c r="D3009" i="16"/>
  <c r="J3009" i="16"/>
  <c r="U2954" i="16"/>
  <c r="S2954" i="16"/>
  <c r="T2954" i="16" s="1"/>
  <c r="M2955" i="16"/>
  <c r="D2955" i="16"/>
  <c r="J2955" i="16"/>
  <c r="N2955" i="16" s="1"/>
  <c r="P2955" i="16"/>
  <c r="Q2955" i="16"/>
  <c r="R2955" i="16"/>
  <c r="L2956" i="16"/>
  <c r="C2956" i="16"/>
  <c r="E2956" i="16"/>
  <c r="G2956" i="16"/>
  <c r="I2956" i="16"/>
  <c r="B2957" i="16"/>
  <c r="M2901" i="16"/>
  <c r="D2901" i="16"/>
  <c r="J2901" i="16"/>
  <c r="N2901" i="16" s="1"/>
  <c r="P2901" i="16"/>
  <c r="Q2901" i="16"/>
  <c r="R2901" i="16"/>
  <c r="L2902" i="16"/>
  <c r="C2902" i="16"/>
  <c r="K2902" i="16" s="1"/>
  <c r="E2902" i="16"/>
  <c r="F2902" i="16"/>
  <c r="O2902" i="16" s="1"/>
  <c r="G2902" i="16"/>
  <c r="I2902" i="16"/>
  <c r="B2903" i="16"/>
  <c r="M2847" i="16"/>
  <c r="L2848" i="16"/>
  <c r="G2848" i="16"/>
  <c r="C2848" i="16"/>
  <c r="E2848" i="16"/>
  <c r="B2849" i="16"/>
  <c r="I2848" i="16"/>
  <c r="D2847" i="16"/>
  <c r="J2847" i="16"/>
  <c r="N2847" i="16" s="1"/>
  <c r="P2847" i="16"/>
  <c r="Q2847" i="16"/>
  <c r="R2847" i="16"/>
  <c r="M2793" i="16"/>
  <c r="J2793" i="16"/>
  <c r="N2793" i="16" s="1"/>
  <c r="S2793" i="16" s="1"/>
  <c r="T2793" i="16" s="1"/>
  <c r="U2793" i="16" s="1"/>
  <c r="D2793" i="16"/>
  <c r="P2793" i="16"/>
  <c r="Q2793" i="16"/>
  <c r="R2793" i="16"/>
  <c r="L2794" i="16"/>
  <c r="I2794" i="16"/>
  <c r="C2794" i="16"/>
  <c r="G2794" i="16"/>
  <c r="E2794" i="16"/>
  <c r="B2795" i="16"/>
  <c r="U2738" i="16"/>
  <c r="S2738" i="16"/>
  <c r="T2738" i="16" s="1"/>
  <c r="M2739" i="16"/>
  <c r="D2739" i="16"/>
  <c r="J2739" i="16"/>
  <c r="N2739" i="16" s="1"/>
  <c r="P2739" i="16"/>
  <c r="Q2739" i="16"/>
  <c r="R2739" i="16"/>
  <c r="L2740" i="16"/>
  <c r="C2740" i="16"/>
  <c r="E2740" i="16"/>
  <c r="G2740" i="16"/>
  <c r="I2740" i="16"/>
  <c r="B2741" i="16"/>
  <c r="M2685" i="16"/>
  <c r="D2685" i="16"/>
  <c r="J2685" i="16"/>
  <c r="N2685" i="16" s="1"/>
  <c r="P2685" i="16"/>
  <c r="Q2685" i="16"/>
  <c r="R2685" i="16"/>
  <c r="L2686" i="16"/>
  <c r="E2686" i="16"/>
  <c r="G2686" i="16"/>
  <c r="C2686" i="16"/>
  <c r="I2686" i="16"/>
  <c r="B2687" i="16"/>
  <c r="U2630" i="16"/>
  <c r="S2630" i="16"/>
  <c r="T2630" i="16" s="1"/>
  <c r="M2631" i="16"/>
  <c r="L2632" i="16"/>
  <c r="I2632" i="16"/>
  <c r="B2633" i="16"/>
  <c r="G2632" i="16"/>
  <c r="E2632" i="16"/>
  <c r="C2632" i="16"/>
  <c r="K2632" i="16" s="1"/>
  <c r="F2632" i="16"/>
  <c r="O2632" i="16" s="1"/>
  <c r="D2631" i="16"/>
  <c r="J2631" i="16"/>
  <c r="N2631" i="16" s="1"/>
  <c r="P2631" i="16"/>
  <c r="Q2631" i="16"/>
  <c r="R2631" i="16"/>
  <c r="D2577" i="16"/>
  <c r="J2577" i="16"/>
  <c r="P2577" i="16"/>
  <c r="Q2577" i="16"/>
  <c r="R2577" i="16"/>
  <c r="L2578" i="16"/>
  <c r="I2578" i="16"/>
  <c r="B2579" i="16"/>
  <c r="C2578" i="16"/>
  <c r="K2578" i="16" s="1"/>
  <c r="E2578" i="16"/>
  <c r="F2578" i="16"/>
  <c r="O2578" i="16" s="1"/>
  <c r="G2578"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M2415" i="16"/>
  <c r="D2415" i="16"/>
  <c r="J2415" i="16"/>
  <c r="N2415" i="16" s="1"/>
  <c r="P2415" i="16"/>
  <c r="Q2415" i="16"/>
  <c r="R2415" i="16"/>
  <c r="L2416" i="16"/>
  <c r="C2416" i="16"/>
  <c r="K2416" i="16" s="1"/>
  <c r="E2416" i="16"/>
  <c r="F2416" i="16"/>
  <c r="O2416" i="16" s="1"/>
  <c r="G2416" i="16"/>
  <c r="I2416" i="16"/>
  <c r="B2417" i="16"/>
  <c r="U2360" i="16"/>
  <c r="S2360" i="16"/>
  <c r="T2360" i="16" s="1"/>
  <c r="M2361" i="16"/>
  <c r="D2361" i="16"/>
  <c r="J2361" i="16"/>
  <c r="N2361" i="16" s="1"/>
  <c r="P2361" i="16"/>
  <c r="Q2361" i="16"/>
  <c r="R2361" i="16"/>
  <c r="L2362" i="16"/>
  <c r="C2362" i="16"/>
  <c r="E2362" i="16"/>
  <c r="G2362" i="16"/>
  <c r="I2362" i="16"/>
  <c r="B2363" i="16"/>
  <c r="U2306" i="16"/>
  <c r="S2306" i="16"/>
  <c r="T2306" i="16" s="1"/>
  <c r="D2307" i="16"/>
  <c r="J2307" i="16"/>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E2200" i="16"/>
  <c r="G2200" i="16"/>
  <c r="I2200" i="16"/>
  <c r="B2201" i="16"/>
  <c r="M2145" i="16"/>
  <c r="D2145" i="16"/>
  <c r="J2145" i="16"/>
  <c r="N2145" i="16" s="1"/>
  <c r="P2145" i="16"/>
  <c r="Q2145" i="16"/>
  <c r="R2145" i="16"/>
  <c r="L2146" i="16"/>
  <c r="C2146" i="16"/>
  <c r="E2146" i="16"/>
  <c r="G2146" i="16"/>
  <c r="I2146" i="16"/>
  <c r="B2147" i="16"/>
  <c r="M2091" i="16"/>
  <c r="D2091" i="16"/>
  <c r="J2091" i="16"/>
  <c r="N2091" i="16" s="1"/>
  <c r="P2091" i="16"/>
  <c r="Q2091" i="16"/>
  <c r="R2091" i="16"/>
  <c r="L2092" i="16"/>
  <c r="C2092" i="16"/>
  <c r="E2092" i="16"/>
  <c r="G2092" i="16"/>
  <c r="I2092" i="16"/>
  <c r="B2093" i="16"/>
  <c r="U2036" i="16"/>
  <c r="S2036" i="16"/>
  <c r="T2036" i="16" s="1"/>
  <c r="D2037" i="16"/>
  <c r="J2037" i="16"/>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U1928" i="16"/>
  <c r="S1928" i="16"/>
  <c r="T1928" i="16" s="1"/>
  <c r="M1929" i="16"/>
  <c r="D1929" i="16"/>
  <c r="J1929" i="16"/>
  <c r="N1929" i="16" s="1"/>
  <c r="P1929" i="16"/>
  <c r="Q1929" i="16"/>
  <c r="R1929" i="16"/>
  <c r="L1930" i="16"/>
  <c r="C1930" i="16"/>
  <c r="K1930" i="16" s="1"/>
  <c r="E1930" i="16"/>
  <c r="F1930" i="16"/>
  <c r="O1930" i="16" s="1"/>
  <c r="G1930" i="16"/>
  <c r="I1930" i="16"/>
  <c r="B1931" i="16"/>
  <c r="U1874" i="16"/>
  <c r="S1874" i="16"/>
  <c r="T1874" i="16" s="1"/>
  <c r="M1875" i="16"/>
  <c r="D1875" i="16"/>
  <c r="J1875" i="16"/>
  <c r="N1875" i="16" s="1"/>
  <c r="P1875" i="16"/>
  <c r="Q1875" i="16"/>
  <c r="R1875" i="16"/>
  <c r="L1876" i="16"/>
  <c r="C1876" i="16"/>
  <c r="E1876" i="16"/>
  <c r="G1876" i="16"/>
  <c r="I1876" i="16"/>
  <c r="B1877" i="16"/>
  <c r="U1820" i="16"/>
  <c r="S1820" i="16"/>
  <c r="T1820" i="16" s="1"/>
  <c r="D1821" i="16"/>
  <c r="J1821" i="16"/>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E1768" i="16"/>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S1658" i="16"/>
  <c r="T1658" i="16" s="1"/>
  <c r="U1658" i="16"/>
  <c r="M1659" i="16"/>
  <c r="D1659" i="16"/>
  <c r="J1659" i="16"/>
  <c r="N1659" i="16" s="1"/>
  <c r="P1659" i="16"/>
  <c r="Q1659" i="16"/>
  <c r="R1659" i="16"/>
  <c r="L1660" i="16"/>
  <c r="C1660" i="16"/>
  <c r="E1660" i="16"/>
  <c r="G1660" i="16"/>
  <c r="I1660" i="16"/>
  <c r="B1661" i="16"/>
  <c r="U1604" i="16"/>
  <c r="S1604" i="16"/>
  <c r="T1604" i="16" s="1"/>
  <c r="M1605" i="16"/>
  <c r="D1605" i="16"/>
  <c r="J1605" i="16"/>
  <c r="N1605" i="16" s="1"/>
  <c r="P1605" i="16"/>
  <c r="Q1605" i="16"/>
  <c r="R1605" i="16"/>
  <c r="L1606" i="16"/>
  <c r="C1606" i="16"/>
  <c r="E1606" i="16"/>
  <c r="G1606" i="16"/>
  <c r="I1606" i="16"/>
  <c r="B1607" i="16"/>
  <c r="U1550" i="16"/>
  <c r="S1550" i="16"/>
  <c r="T1550" i="16" s="1"/>
  <c r="M1551" i="16"/>
  <c r="D1551" i="16"/>
  <c r="J1551" i="16"/>
  <c r="N1551" i="16" s="1"/>
  <c r="P1551" i="16"/>
  <c r="Q1551" i="16"/>
  <c r="R1551" i="16"/>
  <c r="L1552" i="16"/>
  <c r="C1552" i="16"/>
  <c r="E1552" i="16"/>
  <c r="G1552" i="16"/>
  <c r="I1552" i="16"/>
  <c r="B1553" i="16"/>
  <c r="U1496" i="16"/>
  <c r="S1496" i="16"/>
  <c r="T1496" i="16" s="1"/>
  <c r="L1498" i="16"/>
  <c r="G1498" i="16"/>
  <c r="C1498" i="16"/>
  <c r="K1498" i="16" s="1"/>
  <c r="I1498" i="16"/>
  <c r="F1498" i="16"/>
  <c r="O1498" i="16" s="1"/>
  <c r="B1499" i="16"/>
  <c r="E1498" i="16"/>
  <c r="P1497" i="16"/>
  <c r="Q1497" i="16"/>
  <c r="R1497" i="16"/>
  <c r="J1497" i="16"/>
  <c r="D1497" i="16"/>
  <c r="P1443" i="16"/>
  <c r="Q1443" i="16"/>
  <c r="R1443" i="16"/>
  <c r="J1443" i="16"/>
  <c r="D1443" i="16"/>
  <c r="L1444" i="16"/>
  <c r="E1444" i="16"/>
  <c r="B1445" i="16"/>
  <c r="I1444" i="16"/>
  <c r="C1444" i="16"/>
  <c r="G1444" i="16"/>
  <c r="U1388" i="16"/>
  <c r="S1388" i="16"/>
  <c r="T1388" i="16" s="1"/>
  <c r="P1389" i="16"/>
  <c r="Q1389" i="16"/>
  <c r="R1389" i="16"/>
  <c r="L1390" i="16"/>
  <c r="B1391" i="16"/>
  <c r="E1390" i="16"/>
  <c r="I1390" i="16"/>
  <c r="C1390" i="16"/>
  <c r="K1390" i="16" s="1"/>
  <c r="F1390" i="16"/>
  <c r="O1390" i="16" s="1"/>
  <c r="G1390" i="16"/>
  <c r="J1389" i="16"/>
  <c r="D1389" i="16"/>
  <c r="M1335" i="16"/>
  <c r="J1335" i="16"/>
  <c r="N1335" i="16" s="1"/>
  <c r="D1335" i="16"/>
  <c r="L1336" i="16"/>
  <c r="E1336" i="16"/>
  <c r="C1336" i="16"/>
  <c r="I1336" i="16"/>
  <c r="G1336" i="16"/>
  <c r="B1337" i="16"/>
  <c r="P1335" i="16"/>
  <c r="Q1335" i="16"/>
  <c r="R1335" i="16"/>
  <c r="P1281" i="16"/>
  <c r="Q1281" i="16"/>
  <c r="R1281" i="16"/>
  <c r="L1282" i="16"/>
  <c r="E1282" i="16"/>
  <c r="G1282" i="16"/>
  <c r="B1283" i="16"/>
  <c r="I1282" i="16"/>
  <c r="C1282" i="16"/>
  <c r="D1281" i="16"/>
  <c r="J1281" i="16"/>
  <c r="S1226" i="16"/>
  <c r="T1226" i="16" s="1"/>
  <c r="U1226" i="16"/>
  <c r="D1227" i="16"/>
  <c r="J1227" i="16"/>
  <c r="C1228" i="16"/>
  <c r="F1228" i="16"/>
  <c r="O1228" i="16" s="1"/>
  <c r="E1228" i="16"/>
  <c r="K1228" i="16"/>
  <c r="L1228" i="16"/>
  <c r="B1229" i="16"/>
  <c r="G1228" i="16"/>
  <c r="I1228" i="16"/>
  <c r="P1227" i="16"/>
  <c r="Q1227" i="16"/>
  <c r="R1227" i="16"/>
  <c r="N1227" i="16"/>
  <c r="M1227"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D1065" i="16"/>
  <c r="J1065" i="16"/>
  <c r="P1065" i="16"/>
  <c r="Q1065" i="16"/>
  <c r="R1065" i="16"/>
  <c r="L1066" i="16"/>
  <c r="C1066" i="16"/>
  <c r="E1066" i="16"/>
  <c r="G1066" i="16"/>
  <c r="I1066" i="16"/>
  <c r="B1067" i="16"/>
  <c r="J1011" i="16"/>
  <c r="D1011" i="16"/>
  <c r="L1012" i="16"/>
  <c r="E1012" i="16"/>
  <c r="G1012" i="16"/>
  <c r="B1013" i="16"/>
  <c r="I1012" i="16"/>
  <c r="C1012" i="16"/>
  <c r="P1011" i="16"/>
  <c r="Q1011" i="16"/>
  <c r="R1011"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E904" i="16"/>
  <c r="G904" i="16"/>
  <c r="I904" i="16"/>
  <c r="B905" i="16"/>
  <c r="M849" i="16"/>
  <c r="D849" i="16"/>
  <c r="J849" i="16"/>
  <c r="N849" i="16" s="1"/>
  <c r="P849" i="16"/>
  <c r="Q849" i="16"/>
  <c r="R849" i="16"/>
  <c r="L850" i="16"/>
  <c r="C850" i="16"/>
  <c r="E850" i="16"/>
  <c r="G850" i="16"/>
  <c r="I850" i="16"/>
  <c r="B851" i="16"/>
  <c r="D795" i="16"/>
  <c r="J795" i="16"/>
  <c r="P795" i="16"/>
  <c r="Q795" i="16"/>
  <c r="R795" i="16"/>
  <c r="L796" i="16"/>
  <c r="C796" i="16"/>
  <c r="E796" i="16"/>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E688" i="16"/>
  <c r="G688" i="16"/>
  <c r="I688" i="16"/>
  <c r="B689" i="16"/>
  <c r="M633" i="16"/>
  <c r="D633" i="16"/>
  <c r="J633" i="16"/>
  <c r="N633" i="16" s="1"/>
  <c r="P633" i="16"/>
  <c r="Q633" i="16"/>
  <c r="R633" i="16"/>
  <c r="L634" i="16"/>
  <c r="C634" i="16"/>
  <c r="K634" i="16" s="1"/>
  <c r="E634" i="16"/>
  <c r="F634" i="16"/>
  <c r="O634" i="16" s="1"/>
  <c r="G634" i="16"/>
  <c r="I634" i="16"/>
  <c r="B635" i="16"/>
  <c r="D579" i="16"/>
  <c r="J579" i="16"/>
  <c r="P579" i="16"/>
  <c r="Q579" i="16"/>
  <c r="R579" i="16"/>
  <c r="L580" i="16"/>
  <c r="G580" i="16"/>
  <c r="I580" i="16"/>
  <c r="B581" i="16"/>
  <c r="C580" i="16"/>
  <c r="E580" i="16"/>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E472" i="16"/>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U362" i="16"/>
  <c r="S362" i="16"/>
  <c r="T362" i="16" s="1"/>
  <c r="D363" i="16"/>
  <c r="J363" i="16"/>
  <c r="P363" i="16"/>
  <c r="Q363" i="16"/>
  <c r="R363" i="16"/>
  <c r="L364" i="16"/>
  <c r="C364" i="16"/>
  <c r="K364" i="16" s="1"/>
  <c r="E364" i="16"/>
  <c r="F364" i="16"/>
  <c r="O364" i="16" s="1"/>
  <c r="G364" i="16"/>
  <c r="I364" i="16"/>
  <c r="B365" i="16"/>
  <c r="D309" i="16"/>
  <c r="J309" i="16"/>
  <c r="P309" i="16"/>
  <c r="Q309" i="16"/>
  <c r="R309" i="16"/>
  <c r="L310" i="16"/>
  <c r="C310" i="16"/>
  <c r="K310" i="16" s="1"/>
  <c r="E310" i="16"/>
  <c r="F310" i="16"/>
  <c r="O310" i="16" s="1"/>
  <c r="G310" i="16"/>
  <c r="I310" i="16"/>
  <c r="B311" i="16"/>
  <c r="M255" i="16"/>
  <c r="D255" i="16"/>
  <c r="J255" i="16"/>
  <c r="N255" i="16" s="1"/>
  <c r="P255" i="16"/>
  <c r="Q255" i="16"/>
  <c r="R255" i="16"/>
  <c r="L256" i="16"/>
  <c r="C256" i="16"/>
  <c r="E256" i="16"/>
  <c r="G256" i="16"/>
  <c r="I256" i="16"/>
  <c r="B257" i="16"/>
  <c r="M201" i="16"/>
  <c r="J201" i="16"/>
  <c r="N201" i="16" s="1"/>
  <c r="D201" i="16"/>
  <c r="P201" i="16"/>
  <c r="Q201" i="16"/>
  <c r="R201" i="16"/>
  <c r="L202" i="16"/>
  <c r="G202" i="16"/>
  <c r="B203" i="16"/>
  <c r="C202" i="16"/>
  <c r="K202" i="16" s="1"/>
  <c r="E202" i="16"/>
  <c r="F202" i="16"/>
  <c r="O202" i="16" s="1"/>
  <c r="I202" i="16"/>
  <c r="U146" i="16"/>
  <c r="S146" i="16"/>
  <c r="T146" i="16" s="1"/>
  <c r="J147" i="16"/>
  <c r="D147" i="16"/>
  <c r="P147" i="16"/>
  <c r="Q147" i="16"/>
  <c r="R147" i="16"/>
  <c r="L148" i="16"/>
  <c r="B149" i="16"/>
  <c r="I148" i="16"/>
  <c r="C148" i="16"/>
  <c r="K148" i="16" s="1"/>
  <c r="E148" i="16"/>
  <c r="F148" i="16"/>
  <c r="O148" i="16" s="1"/>
  <c r="G148" i="16"/>
  <c r="U92" i="16"/>
  <c r="S92" i="16"/>
  <c r="T92" i="16" s="1"/>
  <c r="M93" i="16"/>
  <c r="D93" i="16"/>
  <c r="J93" i="16"/>
  <c r="N93" i="16" s="1"/>
  <c r="P93" i="16"/>
  <c r="Q93" i="16"/>
  <c r="R93" i="16"/>
  <c r="L94" i="16"/>
  <c r="C94" i="16"/>
  <c r="K94" i="16" s="1"/>
  <c r="E94" i="16"/>
  <c r="F94" i="16"/>
  <c r="O94" i="16" s="1"/>
  <c r="G94" i="16"/>
  <c r="I94" i="16"/>
  <c r="B95" i="16"/>
  <c r="C64" i="7"/>
  <c r="G64" i="7" s="1"/>
  <c r="U30" i="4"/>
  <c r="S30" i="4"/>
  <c r="T30" i="4" s="1"/>
  <c r="F30" i="5"/>
  <c r="G30" i="5"/>
  <c r="H30" i="5"/>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I32" i="4"/>
  <c r="B33" i="4"/>
  <c r="B32" i="5"/>
  <c r="AL16" i="4"/>
  <c r="B79" i="7"/>
  <c r="I79" i="7" s="1"/>
  <c r="AL15" i="4"/>
  <c r="AK17" i="4"/>
  <c r="AK18" i="4"/>
  <c r="AK19" i="4"/>
  <c r="AK20" i="4"/>
  <c r="AK21" i="4"/>
  <c r="AK22" i="4"/>
  <c r="AK23" i="4"/>
  <c r="AK24" i="4"/>
  <c r="AK25" i="4"/>
  <c r="AK26" i="4"/>
  <c r="AK27" i="4"/>
  <c r="AK28" i="4"/>
  <c r="AK29" i="4"/>
  <c r="AK30" i="4"/>
  <c r="AK31" i="4"/>
  <c r="AK32" i="4"/>
  <c r="U3763" i="16"/>
  <c r="S3763" i="16"/>
  <c r="T3763" i="16" s="1"/>
  <c r="U3493" i="16"/>
  <c r="S3493" i="16"/>
  <c r="T3493" i="16" s="1"/>
  <c r="U3223" i="16"/>
  <c r="S3223" i="16"/>
  <c r="T3223" i="16" s="1"/>
  <c r="U3007" i="16"/>
  <c r="S3007" i="16"/>
  <c r="T3007" i="16" s="1"/>
  <c r="U2899" i="16"/>
  <c r="S2899" i="16"/>
  <c r="T2899" i="16" s="1"/>
  <c r="U2683" i="16"/>
  <c r="S2683" i="16"/>
  <c r="T2683" i="16" s="1"/>
  <c r="U2629" i="16"/>
  <c r="S2629" i="16"/>
  <c r="T2629" i="16" s="1"/>
  <c r="U2359" i="16"/>
  <c r="S2359" i="16"/>
  <c r="T2359" i="16" s="1"/>
  <c r="U2143" i="16"/>
  <c r="S2143" i="16"/>
  <c r="T2143" i="16" s="1"/>
  <c r="U1819" i="16"/>
  <c r="S1819" i="16"/>
  <c r="T1819" i="16" s="1"/>
  <c r="U1387" i="16"/>
  <c r="S1387" i="16"/>
  <c r="T1387" i="16" s="1"/>
  <c r="U1333" i="16"/>
  <c r="S1333" i="16"/>
  <c r="T1333" i="16" s="1"/>
  <c r="U1279" i="16"/>
  <c r="S1279" i="16"/>
  <c r="T1279" i="16" s="1"/>
  <c r="U1063" i="16"/>
  <c r="S1063" i="16"/>
  <c r="T1063" i="16" s="1"/>
  <c r="U847" i="16"/>
  <c r="S847" i="16"/>
  <c r="T847" i="16" s="1"/>
  <c r="U577" i="16"/>
  <c r="S577" i="16"/>
  <c r="T577" i="16" s="1"/>
  <c r="U307" i="16"/>
  <c r="S307" i="16"/>
  <c r="T307" i="16" s="1"/>
  <c r="U199" i="16"/>
  <c r="S199" i="16"/>
  <c r="T199" i="16" s="1"/>
  <c r="U91" i="16"/>
  <c r="S91" i="16"/>
  <c r="T91" i="16" s="1"/>
  <c r="M4580" i="16"/>
  <c r="N4580" i="16"/>
  <c r="M4226" i="16"/>
  <c r="N4226" i="16"/>
  <c r="M4172" i="16"/>
  <c r="N4172" i="16"/>
  <c r="M3764" i="16"/>
  <c r="N3764" i="16"/>
  <c r="M3710" i="16"/>
  <c r="N3710" i="16"/>
  <c r="M3656" i="16"/>
  <c r="N3656" i="16"/>
  <c r="M3494" i="16"/>
  <c r="N3494" i="16"/>
  <c r="N3440" i="16"/>
  <c r="M3440" i="16"/>
  <c r="N3224" i="16"/>
  <c r="M3224" i="16"/>
  <c r="M3170" i="16"/>
  <c r="N3170" i="16"/>
  <c r="M2900" i="16"/>
  <c r="N2900" i="16"/>
  <c r="M2846" i="16"/>
  <c r="N2846" i="16"/>
  <c r="N2792" i="16"/>
  <c r="S2792" i="16" s="1"/>
  <c r="T2792" i="16" s="1"/>
  <c r="U2792" i="16" s="1"/>
  <c r="M2792" i="16"/>
  <c r="N2684" i="16"/>
  <c r="M2684" i="16"/>
  <c r="N2576" i="16"/>
  <c r="M2576" i="16"/>
  <c r="M2414" i="16"/>
  <c r="N2414" i="16"/>
  <c r="M2144" i="16"/>
  <c r="N2144" i="16"/>
  <c r="M1442" i="16"/>
  <c r="N1442" i="16" s="1"/>
  <c r="N1334" i="16"/>
  <c r="M1334" i="16"/>
  <c r="N1280" i="16"/>
  <c r="M1280" i="16"/>
  <c r="M1064" i="16"/>
  <c r="N1064" i="16"/>
  <c r="N1010" i="16"/>
  <c r="M1010" i="16"/>
  <c r="M848" i="16"/>
  <c r="N848" i="16"/>
  <c r="M794" i="16"/>
  <c r="N794" i="16"/>
  <c r="M632" i="16"/>
  <c r="N632" i="16"/>
  <c r="M578" i="16"/>
  <c r="N578" i="16"/>
  <c r="M524" i="16"/>
  <c r="N524" i="16"/>
  <c r="M308" i="16"/>
  <c r="N308" i="16"/>
  <c r="M254" i="16"/>
  <c r="N254" i="16"/>
  <c r="M200" i="16"/>
  <c r="N200" i="16"/>
  <c r="K4527" i="16"/>
  <c r="F4527" i="16"/>
  <c r="F4227" i="16"/>
  <c r="O4227" i="16" s="1"/>
  <c r="K4227" i="16"/>
  <c r="F4173" i="16"/>
  <c r="O4173" i="16" s="1"/>
  <c r="K4173" i="16"/>
  <c r="F4119" i="16"/>
  <c r="O4119" i="16" s="1"/>
  <c r="K4119" i="16"/>
  <c r="K3711" i="16"/>
  <c r="F3711" i="16"/>
  <c r="O3711" i="16" s="1"/>
  <c r="K3657" i="16"/>
  <c r="F3657" i="16"/>
  <c r="O3657" i="16" s="1"/>
  <c r="K3495" i="16"/>
  <c r="F3495" i="16"/>
  <c r="O3495" i="16" s="1"/>
  <c r="F3117" i="16"/>
  <c r="O3117" i="16" s="1"/>
  <c r="K3117" i="16"/>
  <c r="K3063" i="16"/>
  <c r="F3063" i="16"/>
  <c r="O3063" i="16" s="1"/>
  <c r="K3009" i="16"/>
  <c r="F3009" i="16"/>
  <c r="O3009" i="16" s="1"/>
  <c r="K2577" i="16"/>
  <c r="F2577" i="16"/>
  <c r="O2577" i="16" s="1"/>
  <c r="F2307" i="16"/>
  <c r="O2307" i="16" s="1"/>
  <c r="K2307" i="16"/>
  <c r="K2037" i="16"/>
  <c r="F2037" i="16"/>
  <c r="O2037" i="16" s="1"/>
  <c r="F1821" i="16"/>
  <c r="O1821" i="16" s="1"/>
  <c r="K1821" i="16"/>
  <c r="K1497" i="16"/>
  <c r="F1497" i="16"/>
  <c r="O1497" i="16" s="1"/>
  <c r="F1443" i="16"/>
  <c r="O1443" i="16" s="1"/>
  <c r="K1443" i="16"/>
  <c r="F1389" i="16"/>
  <c r="O1389" i="16" s="1"/>
  <c r="K1389" i="16"/>
  <c r="K1281" i="16"/>
  <c r="F1281" i="16"/>
  <c r="O1281" i="16" s="1"/>
  <c r="K1065" i="16"/>
  <c r="F1065" i="16"/>
  <c r="O1065" i="16" s="1"/>
  <c r="F1011" i="16"/>
  <c r="O1011" i="16" s="1"/>
  <c r="K1011" i="16"/>
  <c r="F795" i="16"/>
  <c r="O795" i="16" s="1"/>
  <c r="K795" i="16"/>
  <c r="K579" i="16"/>
  <c r="F579" i="16"/>
  <c r="O579" i="16" s="1"/>
  <c r="K363" i="16"/>
  <c r="F363" i="16"/>
  <c r="O363" i="16" s="1"/>
  <c r="F309" i="16"/>
  <c r="O309" i="16" s="1"/>
  <c r="K309" i="16"/>
  <c r="K147" i="16"/>
  <c r="F147" i="16"/>
  <c r="O147" i="16" s="1"/>
  <c r="U2090" i="16" l="1"/>
  <c r="S2090" i="16"/>
  <c r="T2090" i="16" s="1"/>
  <c r="D4636" i="16"/>
  <c r="F4636" i="16"/>
  <c r="O4636" i="16" s="1"/>
  <c r="K3604" i="16"/>
  <c r="F3604" i="16"/>
  <c r="O3604" i="16" s="1"/>
  <c r="K3496" i="16"/>
  <c r="F3496" i="16"/>
  <c r="O3496" i="16" s="1"/>
  <c r="K1768" i="16"/>
  <c r="F1768" i="16"/>
  <c r="O1768" i="16" s="1"/>
  <c r="K1552" i="16"/>
  <c r="F1552" i="16"/>
  <c r="O1552" i="16" s="1"/>
  <c r="K904" i="16"/>
  <c r="F904" i="16"/>
  <c r="O904" i="16" s="1"/>
  <c r="K688" i="16"/>
  <c r="F688" i="16"/>
  <c r="O688" i="16" s="1"/>
  <c r="K472" i="16"/>
  <c r="F472" i="16"/>
  <c r="O472" i="16" s="1"/>
  <c r="T4688" i="16"/>
  <c r="U4689" i="16"/>
  <c r="S4689" i="16"/>
  <c r="T4689" i="16" s="1"/>
  <c r="M4690" i="16"/>
  <c r="D4690" i="16"/>
  <c r="J4690" i="16"/>
  <c r="N4690" i="16" s="1"/>
  <c r="P4690" i="16"/>
  <c r="Q4690" i="16"/>
  <c r="R4690" i="16"/>
  <c r="L4691" i="16"/>
  <c r="C4691" i="16"/>
  <c r="E4691" i="16"/>
  <c r="G4691" i="16"/>
  <c r="I4691" i="16"/>
  <c r="B4692" i="16"/>
  <c r="P4636" i="16"/>
  <c r="Q4636" i="16"/>
  <c r="R4636" i="16"/>
  <c r="C4637" i="16"/>
  <c r="E4637" i="16"/>
  <c r="G4637" i="16"/>
  <c r="B4638" i="16"/>
  <c r="M4582" i="16"/>
  <c r="D4582" i="16"/>
  <c r="J4582" i="16"/>
  <c r="N4582" i="16" s="1"/>
  <c r="P4582" i="16"/>
  <c r="Q4582" i="16"/>
  <c r="R4582" i="16"/>
  <c r="L4583" i="16"/>
  <c r="C4583" i="16"/>
  <c r="E4583" i="16"/>
  <c r="G4583" i="16"/>
  <c r="I4583" i="16"/>
  <c r="B4584" i="16"/>
  <c r="D4528" i="16"/>
  <c r="J4528" i="16"/>
  <c r="N4528" i="16" s="1"/>
  <c r="P4528" i="16"/>
  <c r="R4528" i="16"/>
  <c r="Q4528" i="16"/>
  <c r="M4528" i="16"/>
  <c r="C4529" i="16"/>
  <c r="L4529" i="16"/>
  <c r="I4529" i="16"/>
  <c r="K4529" i="16"/>
  <c r="E4529" i="16"/>
  <c r="F4529" i="16"/>
  <c r="G4529" i="16"/>
  <c r="B4530" i="16"/>
  <c r="D4228" i="16"/>
  <c r="J4228" i="16"/>
  <c r="P4228" i="16"/>
  <c r="Q4228" i="16"/>
  <c r="R4228" i="16"/>
  <c r="L4229" i="16"/>
  <c r="C4229" i="16"/>
  <c r="E4229" i="16"/>
  <c r="G4229" i="16"/>
  <c r="I4229" i="16"/>
  <c r="B4230" i="16"/>
  <c r="D4174" i="16"/>
  <c r="J4174" i="16"/>
  <c r="N4174" i="16" s="1"/>
  <c r="Q4174" i="16"/>
  <c r="P4174" i="16"/>
  <c r="R4174" i="16"/>
  <c r="M4174" i="16"/>
  <c r="G4175" i="16"/>
  <c r="I4175" i="16"/>
  <c r="L4175" i="16"/>
  <c r="C4175" i="16"/>
  <c r="F4175" i="16" s="1"/>
  <c r="O4175" i="16" s="1"/>
  <c r="E4175" i="16"/>
  <c r="K4175" i="16"/>
  <c r="B4176" i="16"/>
  <c r="J4120" i="16"/>
  <c r="N4120" i="16" s="1"/>
  <c r="D4120" i="16"/>
  <c r="P4120" i="16"/>
  <c r="Q4120" i="16"/>
  <c r="R4120" i="16"/>
  <c r="M4120" i="16"/>
  <c r="G4121" i="16"/>
  <c r="C4121" i="16"/>
  <c r="E4121" i="16"/>
  <c r="L4121" i="16"/>
  <c r="I4121" i="16"/>
  <c r="B4122"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E3767" i="16"/>
  <c r="G3767" i="16"/>
  <c r="I3767" i="16"/>
  <c r="B3768" i="16"/>
  <c r="D3712" i="16"/>
  <c r="J3712" i="16"/>
  <c r="P3712" i="16"/>
  <c r="Q3712" i="16"/>
  <c r="R3712" i="16"/>
  <c r="L3713" i="16"/>
  <c r="C3713" i="16"/>
  <c r="K3713" i="16" s="1"/>
  <c r="E3713" i="16"/>
  <c r="F3713" i="16"/>
  <c r="O3713" i="16" s="1"/>
  <c r="G3713" i="16"/>
  <c r="I3713" i="16"/>
  <c r="B3714" i="16"/>
  <c r="J3658" i="16"/>
  <c r="D3658" i="16"/>
  <c r="P3658" i="16"/>
  <c r="Q3658" i="16"/>
  <c r="R3658" i="16"/>
  <c r="L3659" i="16"/>
  <c r="C3659" i="16"/>
  <c r="K3659" i="16" s="1"/>
  <c r="E3659" i="16"/>
  <c r="I3659" i="16"/>
  <c r="F3659" i="16"/>
  <c r="O3659" i="16" s="1"/>
  <c r="G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M3496" i="16"/>
  <c r="P3496" i="16"/>
  <c r="Q3496" i="16"/>
  <c r="R3496" i="16"/>
  <c r="D3496" i="16"/>
  <c r="J3496" i="16"/>
  <c r="N3496" i="16" s="1"/>
  <c r="L3497" i="16"/>
  <c r="I3497" i="16"/>
  <c r="B3498" i="16"/>
  <c r="C3497" i="16"/>
  <c r="E3497" i="16"/>
  <c r="G3497" i="16"/>
  <c r="S3441" i="16"/>
  <c r="T3441" i="16" s="1"/>
  <c r="U3441" i="16"/>
  <c r="D3442" i="16"/>
  <c r="J3442" i="16"/>
  <c r="P3442" i="16"/>
  <c r="Q3442" i="16"/>
  <c r="R3442" i="16"/>
  <c r="L3443" i="16"/>
  <c r="C3443" i="16"/>
  <c r="K3443" i="16" s="1"/>
  <c r="E3443" i="16"/>
  <c r="F3443" i="16"/>
  <c r="O3443" i="16" s="1"/>
  <c r="G3443" i="16"/>
  <c r="I3443" i="16"/>
  <c r="B3444" i="16"/>
  <c r="U3387" i="16"/>
  <c r="S3387" i="16"/>
  <c r="T3387" i="16" s="1"/>
  <c r="M3388" i="16"/>
  <c r="D3388" i="16"/>
  <c r="J3388" i="16"/>
  <c r="N3388" i="16" s="1"/>
  <c r="P3388" i="16"/>
  <c r="Q3388" i="16"/>
  <c r="R3388" i="16"/>
  <c r="L3389" i="16"/>
  <c r="C3389" i="16"/>
  <c r="K3389" i="16" s="1"/>
  <c r="E3389" i="16"/>
  <c r="F3389" i="16"/>
  <c r="O3389" i="16" s="1"/>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S3225" i="16"/>
  <c r="T3225" i="16" s="1"/>
  <c r="U3225" i="16"/>
  <c r="J3226" i="16"/>
  <c r="D3226" i="16"/>
  <c r="P3226" i="16"/>
  <c r="Q3226" i="16"/>
  <c r="R3226" i="16"/>
  <c r="L3227" i="16"/>
  <c r="G3227" i="16"/>
  <c r="B3228" i="16"/>
  <c r="I3227" i="16"/>
  <c r="C3227" i="16"/>
  <c r="E3227" i="16"/>
  <c r="U3171" i="16"/>
  <c r="S3171" i="16"/>
  <c r="T3171" i="16" s="1"/>
  <c r="D3172" i="16"/>
  <c r="J3172" i="16"/>
  <c r="P3172" i="16"/>
  <c r="Q3172" i="16"/>
  <c r="R3172" i="16"/>
  <c r="L3173" i="16"/>
  <c r="C3173" i="16"/>
  <c r="E3173" i="16"/>
  <c r="G3173" i="16"/>
  <c r="I3173" i="16"/>
  <c r="B3174" i="16"/>
  <c r="D3118" i="16"/>
  <c r="J3118" i="16"/>
  <c r="P3118" i="16"/>
  <c r="Q3118" i="16"/>
  <c r="R3118" i="16"/>
  <c r="L3119" i="16"/>
  <c r="C3119" i="16"/>
  <c r="E3119" i="16"/>
  <c r="G3119" i="16"/>
  <c r="I3119" i="16"/>
  <c r="B3120" i="16"/>
  <c r="J3064" i="16"/>
  <c r="D3064" i="16"/>
  <c r="P3064" i="16"/>
  <c r="Q3064" i="16"/>
  <c r="R3064" i="16"/>
  <c r="L3065" i="16"/>
  <c r="I3065" i="16"/>
  <c r="B3066" i="16"/>
  <c r="E3065" i="16"/>
  <c r="G3065" i="16"/>
  <c r="C3065" i="16"/>
  <c r="K3065" i="16" s="1"/>
  <c r="F3065" i="16"/>
  <c r="O3065" i="16" s="1"/>
  <c r="D3010" i="16"/>
  <c r="J3010" i="16"/>
  <c r="P3010" i="16"/>
  <c r="Q3010" i="16"/>
  <c r="R3010" i="16"/>
  <c r="L3011" i="16"/>
  <c r="E3011" i="16"/>
  <c r="G3011" i="16"/>
  <c r="C3011" i="16"/>
  <c r="K3011" i="16" s="1"/>
  <c r="I3011" i="16"/>
  <c r="F3011" i="16"/>
  <c r="O3011" i="16" s="1"/>
  <c r="B3012" i="16"/>
  <c r="U2955" i="16"/>
  <c r="S2955" i="16"/>
  <c r="T2955" i="16" s="1"/>
  <c r="D2956" i="16"/>
  <c r="J2956" i="16"/>
  <c r="P2956" i="16"/>
  <c r="Q2956" i="16"/>
  <c r="R2956" i="16"/>
  <c r="L2957" i="16"/>
  <c r="C2957" i="16"/>
  <c r="E2957" i="16"/>
  <c r="G2957" i="16"/>
  <c r="I2957" i="16"/>
  <c r="B2958" i="16"/>
  <c r="U2901" i="16"/>
  <c r="S2901" i="16"/>
  <c r="T2901" i="16" s="1"/>
  <c r="M2902" i="16"/>
  <c r="D2902" i="16"/>
  <c r="J2902" i="16"/>
  <c r="N2902" i="16" s="1"/>
  <c r="P2902" i="16"/>
  <c r="Q2902" i="16"/>
  <c r="R2902" i="16"/>
  <c r="L2903" i="16"/>
  <c r="C2903" i="16"/>
  <c r="K2903" i="16" s="1"/>
  <c r="E2903" i="16"/>
  <c r="F2903" i="16"/>
  <c r="O2903" i="16" s="1"/>
  <c r="G2903" i="16"/>
  <c r="I2903" i="16"/>
  <c r="B2904" i="16"/>
  <c r="U2847" i="16"/>
  <c r="S2847" i="16"/>
  <c r="T2847" i="16" s="1"/>
  <c r="P2848" i="16"/>
  <c r="Q2848" i="16"/>
  <c r="R2848" i="16"/>
  <c r="D2848" i="16"/>
  <c r="J2848" i="16"/>
  <c r="L2849" i="16"/>
  <c r="G2849" i="16"/>
  <c r="E2849" i="16"/>
  <c r="B2850" i="16"/>
  <c r="C2849" i="16"/>
  <c r="I2849" i="16"/>
  <c r="J2794" i="16"/>
  <c r="D2794" i="16"/>
  <c r="P2794" i="16"/>
  <c r="Q2794" i="16"/>
  <c r="R2794" i="16"/>
  <c r="L2795" i="16"/>
  <c r="B2796" i="16"/>
  <c r="C2795" i="16"/>
  <c r="I2795" i="16"/>
  <c r="E2795" i="16"/>
  <c r="G2795" i="16"/>
  <c r="U2739" i="16"/>
  <c r="S2739" i="16"/>
  <c r="T2739" i="16" s="1"/>
  <c r="D2740" i="16"/>
  <c r="J2740" i="16"/>
  <c r="P2740" i="16"/>
  <c r="Q2740" i="16"/>
  <c r="R2740" i="16"/>
  <c r="L2741" i="16"/>
  <c r="C2741" i="16"/>
  <c r="E2741" i="16"/>
  <c r="G2741" i="16"/>
  <c r="I2741" i="16"/>
  <c r="B2742" i="16"/>
  <c r="U2685" i="16"/>
  <c r="S2685" i="16"/>
  <c r="T2685" i="16" s="1"/>
  <c r="P2686" i="16"/>
  <c r="Q2686" i="16"/>
  <c r="R2686" i="16"/>
  <c r="J2686" i="16"/>
  <c r="D2686" i="16"/>
  <c r="L2687" i="16"/>
  <c r="E2687" i="16"/>
  <c r="G2687" i="16"/>
  <c r="I2687" i="16"/>
  <c r="B2688" i="16"/>
  <c r="C2687" i="16"/>
  <c r="K2687" i="16" s="1"/>
  <c r="F2687" i="16"/>
  <c r="O2687" i="16" s="1"/>
  <c r="U2631" i="16"/>
  <c r="S2631" i="16"/>
  <c r="T2631" i="16" s="1"/>
  <c r="M2632" i="16"/>
  <c r="L2633" i="16"/>
  <c r="C2633" i="16"/>
  <c r="K2633" i="16" s="1"/>
  <c r="E2633" i="16"/>
  <c r="G2633" i="16"/>
  <c r="F2633" i="16"/>
  <c r="O2633" i="16" s="1"/>
  <c r="B2634" i="16"/>
  <c r="I2633" i="16"/>
  <c r="P2632" i="16"/>
  <c r="Q2632" i="16"/>
  <c r="R2632" i="16"/>
  <c r="D2632" i="16"/>
  <c r="J2632" i="16"/>
  <c r="N2632" i="16" s="1"/>
  <c r="M2578" i="16"/>
  <c r="L2579" i="16"/>
  <c r="B2580" i="16"/>
  <c r="E2579" i="16"/>
  <c r="I2579" i="16"/>
  <c r="G2579" i="16"/>
  <c r="C2579" i="16"/>
  <c r="J2578" i="16"/>
  <c r="N2578" i="16" s="1"/>
  <c r="D2578" i="16"/>
  <c r="P2578" i="16"/>
  <c r="Q2578" i="16"/>
  <c r="R2578"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U2415" i="16"/>
  <c r="S2415" i="16"/>
  <c r="T2415" i="16" s="1"/>
  <c r="M2416" i="16"/>
  <c r="D2416" i="16"/>
  <c r="J2416" i="16"/>
  <c r="N2416" i="16" s="1"/>
  <c r="P2416" i="16"/>
  <c r="Q2416" i="16"/>
  <c r="R2416" i="16"/>
  <c r="L2417" i="16"/>
  <c r="C2417" i="16"/>
  <c r="K2417" i="16" s="1"/>
  <c r="E2417" i="16"/>
  <c r="F2417" i="16"/>
  <c r="O2417" i="16" s="1"/>
  <c r="G2417" i="16"/>
  <c r="I2417" i="16"/>
  <c r="B2418" i="16"/>
  <c r="U2361" i="16"/>
  <c r="S2361" i="16"/>
  <c r="T2361" i="16" s="1"/>
  <c r="D2362" i="16"/>
  <c r="J2362" i="16"/>
  <c r="P2362" i="16"/>
  <c r="Q2362" i="16"/>
  <c r="R2362" i="16"/>
  <c r="L2363" i="16"/>
  <c r="C2363" i="16"/>
  <c r="E2363" i="16"/>
  <c r="G2363" i="16"/>
  <c r="I2363" i="16"/>
  <c r="B2364" i="16"/>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J2200" i="16"/>
  <c r="P2200" i="16"/>
  <c r="Q2200" i="16"/>
  <c r="R2200" i="16"/>
  <c r="L2201" i="16"/>
  <c r="C2201" i="16"/>
  <c r="K2201" i="16" s="1"/>
  <c r="E2201" i="16"/>
  <c r="F2201" i="16"/>
  <c r="O2201" i="16" s="1"/>
  <c r="G2201" i="16"/>
  <c r="I2201" i="16"/>
  <c r="B2202" i="16"/>
  <c r="U2145" i="16"/>
  <c r="S2145" i="16"/>
  <c r="T2145" i="16" s="1"/>
  <c r="D2146" i="16"/>
  <c r="J2146" i="16"/>
  <c r="P2146" i="16"/>
  <c r="Q2146" i="16"/>
  <c r="R2146" i="16"/>
  <c r="L2147" i="16"/>
  <c r="C2147" i="16"/>
  <c r="K2147" i="16" s="1"/>
  <c r="E2147" i="16"/>
  <c r="F2147" i="16"/>
  <c r="O2147" i="16" s="1"/>
  <c r="G2147" i="16"/>
  <c r="I2147" i="16"/>
  <c r="B2148" i="16"/>
  <c r="U2091" i="16"/>
  <c r="S2091" i="16"/>
  <c r="T2091" i="16" s="1"/>
  <c r="D2092" i="16"/>
  <c r="J2092" i="16"/>
  <c r="P2092" i="16"/>
  <c r="Q2092" i="16"/>
  <c r="R2092" i="16"/>
  <c r="L2093" i="16"/>
  <c r="C2093" i="16"/>
  <c r="K2093" i="16" s="1"/>
  <c r="E2093" i="16"/>
  <c r="F2093" i="16"/>
  <c r="O2093" i="16" s="1"/>
  <c r="G2093" i="16"/>
  <c r="I2093" i="16"/>
  <c r="B2094" i="16"/>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M1930" i="16"/>
  <c r="D1930" i="16"/>
  <c r="J1930" i="16"/>
  <c r="N1930" i="16" s="1"/>
  <c r="P1930" i="16"/>
  <c r="Q1930" i="16"/>
  <c r="R1930" i="16"/>
  <c r="L1931" i="16"/>
  <c r="C1931" i="16"/>
  <c r="E1931" i="16"/>
  <c r="G1931" i="16"/>
  <c r="I1931" i="16"/>
  <c r="B1932" i="16"/>
  <c r="U1875" i="16"/>
  <c r="S1875" i="16"/>
  <c r="T1875" i="16" s="1"/>
  <c r="D1876" i="16"/>
  <c r="J1876" i="16"/>
  <c r="P1876" i="16"/>
  <c r="Q1876" i="16"/>
  <c r="R1876" i="16"/>
  <c r="L1877" i="16"/>
  <c r="C1877" i="16"/>
  <c r="K1877" i="16" s="1"/>
  <c r="E1877" i="16"/>
  <c r="F1877" i="16"/>
  <c r="O1877" i="16" s="1"/>
  <c r="G1877" i="16"/>
  <c r="I1877" i="16"/>
  <c r="B1878" i="16"/>
  <c r="M1822" i="16"/>
  <c r="D1822" i="16"/>
  <c r="J1822" i="16"/>
  <c r="N1822" i="16" s="1"/>
  <c r="P1822" i="16"/>
  <c r="Q1822" i="16"/>
  <c r="R1822" i="16"/>
  <c r="L1823" i="16"/>
  <c r="C1823" i="16"/>
  <c r="E1823" i="16"/>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E1715" i="16"/>
  <c r="G1715" i="16"/>
  <c r="I1715" i="16"/>
  <c r="B1716" i="16"/>
  <c r="S1659" i="16"/>
  <c r="T1659" i="16" s="1"/>
  <c r="U1659" i="16"/>
  <c r="D1660" i="16"/>
  <c r="J1660" i="16"/>
  <c r="P1660" i="16"/>
  <c r="Q1660" i="16"/>
  <c r="R1660" i="16"/>
  <c r="L1661" i="16"/>
  <c r="C1661" i="16"/>
  <c r="K1661" i="16" s="1"/>
  <c r="E1661" i="16"/>
  <c r="F1661" i="16"/>
  <c r="O1661" i="16" s="1"/>
  <c r="G1661" i="16"/>
  <c r="I1661" i="16"/>
  <c r="B1662" i="16"/>
  <c r="U1605" i="16"/>
  <c r="S1605" i="16"/>
  <c r="T1605" i="16" s="1"/>
  <c r="D1606" i="16"/>
  <c r="J1606" i="16"/>
  <c r="P1606" i="16"/>
  <c r="Q1606" i="16"/>
  <c r="R1606" i="16"/>
  <c r="L1607" i="16"/>
  <c r="C1607" i="16"/>
  <c r="E1607" i="16"/>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M1498" i="16"/>
  <c r="P1498" i="16"/>
  <c r="Q1498" i="16"/>
  <c r="R1498" i="16"/>
  <c r="D1498" i="16"/>
  <c r="J1498" i="16"/>
  <c r="N1498" i="16" s="1"/>
  <c r="L1499" i="16"/>
  <c r="I1499" i="16"/>
  <c r="G1499" i="16"/>
  <c r="C1499" i="16"/>
  <c r="K1499" i="16" s="1"/>
  <c r="E1499" i="16"/>
  <c r="B1500" i="16"/>
  <c r="F1499" i="16"/>
  <c r="O1499" i="16" s="1"/>
  <c r="L1445" i="16"/>
  <c r="I1445" i="16"/>
  <c r="E1445" i="16"/>
  <c r="C1445" i="16"/>
  <c r="K1445" i="16" s="1"/>
  <c r="G1445" i="16"/>
  <c r="B1446" i="16"/>
  <c r="F1445" i="16"/>
  <c r="O1445" i="16" s="1"/>
  <c r="J1444" i="16"/>
  <c r="D1444" i="16"/>
  <c r="P1444" i="16"/>
  <c r="Q1444" i="16"/>
  <c r="R1444" i="16"/>
  <c r="M1390" i="16"/>
  <c r="L1391" i="16"/>
  <c r="C1391" i="16"/>
  <c r="B1392" i="16"/>
  <c r="I1391" i="16"/>
  <c r="G1391" i="16"/>
  <c r="E1391" i="16"/>
  <c r="J1390" i="16"/>
  <c r="N1390" i="16" s="1"/>
  <c r="D1390" i="16"/>
  <c r="P1390" i="16"/>
  <c r="Q1390" i="16"/>
  <c r="R1390" i="16"/>
  <c r="U1335" i="16"/>
  <c r="S1335" i="16"/>
  <c r="T1335" i="16" s="1"/>
  <c r="J1336" i="16"/>
  <c r="D1336" i="16"/>
  <c r="P1336" i="16"/>
  <c r="Q1336" i="16"/>
  <c r="R1336" i="16"/>
  <c r="L1337" i="16"/>
  <c r="G1337" i="16"/>
  <c r="I1337" i="16"/>
  <c r="C1337" i="16"/>
  <c r="B1338" i="16"/>
  <c r="E1337" i="16"/>
  <c r="P1282" i="16"/>
  <c r="Q1282" i="16"/>
  <c r="R1282" i="16"/>
  <c r="L1283" i="16"/>
  <c r="E1283" i="16"/>
  <c r="G1283" i="16"/>
  <c r="C1283" i="16"/>
  <c r="K1283" i="16" s="1"/>
  <c r="F1283" i="16"/>
  <c r="O1283" i="16" s="1"/>
  <c r="B1284" i="16"/>
  <c r="I1283" i="16"/>
  <c r="D1282" i="16"/>
  <c r="J1282" i="16"/>
  <c r="J1228" i="16"/>
  <c r="N1228" i="16" s="1"/>
  <c r="D1228" i="16"/>
  <c r="M1228" i="16"/>
  <c r="L1229" i="16"/>
  <c r="B1230" i="16"/>
  <c r="E1229" i="16"/>
  <c r="I1229" i="16"/>
  <c r="G1229" i="16"/>
  <c r="C1229" i="16"/>
  <c r="P1228" i="16"/>
  <c r="Q1228" i="16"/>
  <c r="R1228" i="16"/>
  <c r="U1227" i="16"/>
  <c r="S1227" i="16"/>
  <c r="T1227" i="16" s="1"/>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D1066" i="16"/>
  <c r="J1066" i="16"/>
  <c r="P1066" i="16"/>
  <c r="Q1066" i="16"/>
  <c r="R1066" i="16"/>
  <c r="L1067" i="16"/>
  <c r="C1067" i="16"/>
  <c r="E1067" i="16"/>
  <c r="G1067" i="16"/>
  <c r="I1067" i="16"/>
  <c r="B1068" i="16"/>
  <c r="P1012" i="16"/>
  <c r="Q1012" i="16"/>
  <c r="R1012" i="16"/>
  <c r="L1013" i="16"/>
  <c r="B1014" i="16"/>
  <c r="C1013" i="16"/>
  <c r="K1013" i="16" s="1"/>
  <c r="G1013" i="16"/>
  <c r="F1013" i="16"/>
  <c r="O1013" i="16" s="1"/>
  <c r="I1013" i="16"/>
  <c r="E1013" i="16"/>
  <c r="D1012" i="16"/>
  <c r="J1012" i="16"/>
  <c r="U957" i="16"/>
  <c r="S957" i="16"/>
  <c r="T957" i="16" s="1"/>
  <c r="M958" i="16"/>
  <c r="D958" i="16"/>
  <c r="J958" i="16"/>
  <c r="N958" i="16" s="1"/>
  <c r="P958" i="16"/>
  <c r="Q958" i="16"/>
  <c r="R958" i="16"/>
  <c r="L959" i="16"/>
  <c r="C959" i="16"/>
  <c r="E959" i="16"/>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D850" i="16"/>
  <c r="J850" i="16"/>
  <c r="P850" i="16"/>
  <c r="Q850" i="16"/>
  <c r="R850" i="16"/>
  <c r="L851" i="16"/>
  <c r="C851" i="16"/>
  <c r="E851" i="16"/>
  <c r="G851" i="16"/>
  <c r="I851" i="16"/>
  <c r="B852" i="16"/>
  <c r="D796" i="16"/>
  <c r="J796" i="16"/>
  <c r="P796" i="16"/>
  <c r="Q796" i="16"/>
  <c r="R796" i="16"/>
  <c r="L797" i="16"/>
  <c r="C797" i="16"/>
  <c r="K797" i="16" s="1"/>
  <c r="E797" i="16"/>
  <c r="F797" i="16"/>
  <c r="O797" i="16" s="1"/>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K635" i="16" s="1"/>
  <c r="E635" i="16"/>
  <c r="F635" i="16"/>
  <c r="O635" i="16" s="1"/>
  <c r="G635" i="16"/>
  <c r="I635" i="16"/>
  <c r="B636" i="16"/>
  <c r="P580" i="16"/>
  <c r="Q580" i="16"/>
  <c r="R580" i="16"/>
  <c r="L581" i="16"/>
  <c r="C581" i="16"/>
  <c r="K581" i="16" s="1"/>
  <c r="E581" i="16"/>
  <c r="F581" i="16"/>
  <c r="O581" i="16" s="1"/>
  <c r="G581" i="16"/>
  <c r="I581" i="16"/>
  <c r="B582" i="16"/>
  <c r="J580" i="16"/>
  <c r="D580" i="16"/>
  <c r="U525" i="16"/>
  <c r="S525" i="16"/>
  <c r="T525" i="16" s="1"/>
  <c r="D526" i="16"/>
  <c r="J526" i="16"/>
  <c r="P526" i="16"/>
  <c r="Q526" i="16"/>
  <c r="R526" i="16"/>
  <c r="L527" i="16"/>
  <c r="C527" i="16"/>
  <c r="E527" i="16"/>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M364" i="16"/>
  <c r="D364" i="16"/>
  <c r="J364" i="16"/>
  <c r="N364" i="16" s="1"/>
  <c r="P364" i="16"/>
  <c r="Q364" i="16"/>
  <c r="R364" i="16"/>
  <c r="L365" i="16"/>
  <c r="C365" i="16"/>
  <c r="K365" i="16" s="1"/>
  <c r="E365" i="16"/>
  <c r="F365" i="16"/>
  <c r="O365" i="16" s="1"/>
  <c r="G365" i="16"/>
  <c r="I365" i="16"/>
  <c r="B366" i="16"/>
  <c r="M310" i="16"/>
  <c r="D310" i="16"/>
  <c r="J310" i="16"/>
  <c r="N310" i="16" s="1"/>
  <c r="P310" i="16"/>
  <c r="Q310" i="16"/>
  <c r="R310" i="16"/>
  <c r="L311" i="16"/>
  <c r="C311" i="16"/>
  <c r="K311" i="16" s="1"/>
  <c r="E311" i="16"/>
  <c r="F311" i="16"/>
  <c r="O311" i="16" s="1"/>
  <c r="G311" i="16"/>
  <c r="I311" i="16"/>
  <c r="B312" i="16"/>
  <c r="U255" i="16"/>
  <c r="S255" i="16"/>
  <c r="T255" i="16" s="1"/>
  <c r="D256" i="16"/>
  <c r="J256" i="16"/>
  <c r="P256" i="16"/>
  <c r="Q256" i="16"/>
  <c r="R256" i="16"/>
  <c r="L257" i="16"/>
  <c r="C257" i="16"/>
  <c r="E257" i="16"/>
  <c r="G257" i="16"/>
  <c r="I257" i="16"/>
  <c r="B258" i="16"/>
  <c r="U201" i="16"/>
  <c r="S201" i="16"/>
  <c r="T201" i="16" s="1"/>
  <c r="M202" i="16"/>
  <c r="P202" i="16"/>
  <c r="Q202" i="16"/>
  <c r="R202" i="16"/>
  <c r="L203" i="16"/>
  <c r="G203" i="16"/>
  <c r="B204" i="16"/>
  <c r="C203" i="16"/>
  <c r="K203" i="16" s="1"/>
  <c r="E203" i="16"/>
  <c r="F203" i="16"/>
  <c r="O203" i="16" s="1"/>
  <c r="I203" i="16"/>
  <c r="D202" i="16"/>
  <c r="J202" i="16"/>
  <c r="N202" i="16" s="1"/>
  <c r="M148" i="16"/>
  <c r="L149" i="16"/>
  <c r="C149" i="16"/>
  <c r="K149" i="16" s="1"/>
  <c r="E149" i="16"/>
  <c r="F149" i="16"/>
  <c r="O149" i="16" s="1"/>
  <c r="G149" i="16"/>
  <c r="I149" i="16"/>
  <c r="B150" i="16"/>
  <c r="D148" i="16"/>
  <c r="J148" i="16"/>
  <c r="N148" i="16" s="1"/>
  <c r="P148" i="16"/>
  <c r="Q148" i="16"/>
  <c r="R148" i="16"/>
  <c r="U93" i="16"/>
  <c r="S93" i="16"/>
  <c r="T93" i="16" s="1"/>
  <c r="M94" i="16"/>
  <c r="D94" i="16"/>
  <c r="J94" i="16"/>
  <c r="N94" i="16" s="1"/>
  <c r="P94" i="16"/>
  <c r="Q94" i="16"/>
  <c r="R94" i="16"/>
  <c r="L95" i="16"/>
  <c r="C95" i="16"/>
  <c r="K95" i="16" s="1"/>
  <c r="E95" i="16"/>
  <c r="F95" i="16"/>
  <c r="O95" i="16" s="1"/>
  <c r="G95" i="16"/>
  <c r="I95" i="16"/>
  <c r="B96" i="16"/>
  <c r="C65" i="7"/>
  <c r="G65" i="7" s="1"/>
  <c r="U31" i="4"/>
  <c r="S31" i="4"/>
  <c r="T31" i="4" s="1"/>
  <c r="M32" i="4"/>
  <c r="D32" i="4"/>
  <c r="J32" i="4"/>
  <c r="N32" i="4" s="1"/>
  <c r="E67" i="7"/>
  <c r="O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I33" i="4"/>
  <c r="B34" i="4"/>
  <c r="B33" i="5"/>
  <c r="AM16" i="4"/>
  <c r="B80" i="7"/>
  <c r="I80" i="7" s="1"/>
  <c r="AM15" i="4"/>
  <c r="AL17" i="4"/>
  <c r="AL18" i="4"/>
  <c r="AL19" i="4"/>
  <c r="AL20" i="4"/>
  <c r="AL21" i="4"/>
  <c r="AL22" i="4"/>
  <c r="AL23" i="4"/>
  <c r="AL24" i="4"/>
  <c r="AL25" i="4"/>
  <c r="AL26" i="4"/>
  <c r="AL27" i="4"/>
  <c r="AL28" i="4"/>
  <c r="AL29" i="4"/>
  <c r="AL30" i="4"/>
  <c r="AL31" i="4"/>
  <c r="AL32" i="4"/>
  <c r="AL33" i="4"/>
  <c r="U4226" i="16"/>
  <c r="S4226" i="16"/>
  <c r="T4226" i="16" s="1"/>
  <c r="U4172" i="16"/>
  <c r="S4172" i="16"/>
  <c r="T4172" i="16" s="1"/>
  <c r="U3764" i="16"/>
  <c r="S3764" i="16"/>
  <c r="T3764" i="16" s="1"/>
  <c r="U3710" i="16"/>
  <c r="S3710" i="16"/>
  <c r="T3710" i="16" s="1"/>
  <c r="U3656" i="16"/>
  <c r="S3656" i="16"/>
  <c r="T3656" i="16" s="1"/>
  <c r="U3494" i="16"/>
  <c r="S3494" i="16"/>
  <c r="T3494" i="16" s="1"/>
  <c r="S3440" i="16"/>
  <c r="T3440" i="16" s="1"/>
  <c r="U3440" i="16"/>
  <c r="S3224" i="16"/>
  <c r="T3224" i="16" s="1"/>
  <c r="U3224" i="16"/>
  <c r="U3170" i="16"/>
  <c r="S3170" i="16"/>
  <c r="T3170" i="16" s="1"/>
  <c r="U2900" i="16"/>
  <c r="S2900" i="16"/>
  <c r="T2900" i="16" s="1"/>
  <c r="U2846" i="16"/>
  <c r="S2846" i="16"/>
  <c r="T2846" i="16" s="1"/>
  <c r="U2684" i="16"/>
  <c r="S2684" i="16"/>
  <c r="T2684" i="16" s="1"/>
  <c r="U2576" i="16"/>
  <c r="S2576" i="16"/>
  <c r="T2576" i="16" s="1"/>
  <c r="U2414" i="16"/>
  <c r="S2414" i="16"/>
  <c r="T2414" i="16" s="1"/>
  <c r="U2144" i="16"/>
  <c r="S2144" i="16"/>
  <c r="T2144" i="16" s="1"/>
  <c r="U1442" i="16"/>
  <c r="S1442" i="16"/>
  <c r="T1442" i="16" s="1"/>
  <c r="U1334" i="16"/>
  <c r="S1334" i="16"/>
  <c r="T1334" i="16" s="1"/>
  <c r="U1280" i="16"/>
  <c r="S1280" i="16"/>
  <c r="T1280" i="16" s="1"/>
  <c r="U1064" i="16"/>
  <c r="S1064" i="16"/>
  <c r="T1064" i="16" s="1"/>
  <c r="U1010" i="16"/>
  <c r="S1010" i="16"/>
  <c r="T1010" i="16" s="1"/>
  <c r="U848" i="16"/>
  <c r="S848" i="16"/>
  <c r="T848" i="16" s="1"/>
  <c r="U794" i="16"/>
  <c r="S794" i="16"/>
  <c r="T794" i="16" s="1"/>
  <c r="U632" i="16"/>
  <c r="S632" i="16"/>
  <c r="T632" i="16" s="1"/>
  <c r="U578" i="16"/>
  <c r="S578" i="16"/>
  <c r="T578" i="16" s="1"/>
  <c r="U524" i="16"/>
  <c r="S524" i="16"/>
  <c r="T524" i="16" s="1"/>
  <c r="U308" i="16"/>
  <c r="S308" i="16"/>
  <c r="T308" i="16" s="1"/>
  <c r="U254" i="16"/>
  <c r="S254" i="16"/>
  <c r="T254" i="16" s="1"/>
  <c r="U200" i="16"/>
  <c r="S200" i="16"/>
  <c r="T200" i="16" s="1"/>
  <c r="N4527" i="16"/>
  <c r="M4527" i="16"/>
  <c r="M4227" i="16"/>
  <c r="N4227" i="16"/>
  <c r="M4173" i="16"/>
  <c r="N4173" i="16"/>
  <c r="N4119" i="16"/>
  <c r="M4119" i="16"/>
  <c r="M3711" i="16"/>
  <c r="N3711" i="16"/>
  <c r="N3657" i="16"/>
  <c r="M3657" i="16"/>
  <c r="M3495" i="16"/>
  <c r="N3495" i="16"/>
  <c r="M3117" i="16"/>
  <c r="N3117" i="16"/>
  <c r="M3063" i="16"/>
  <c r="N3063" i="16"/>
  <c r="M3009" i="16"/>
  <c r="N3009" i="16"/>
  <c r="N2577" i="16"/>
  <c r="M2577" i="16"/>
  <c r="M2307" i="16"/>
  <c r="N2307" i="16"/>
  <c r="M2037" i="16"/>
  <c r="N2037" i="16"/>
  <c r="M1821" i="16"/>
  <c r="N1821" i="16"/>
  <c r="N1497" i="16"/>
  <c r="M1497" i="16"/>
  <c r="N1443" i="16"/>
  <c r="M1443" i="16"/>
  <c r="N1389" i="16"/>
  <c r="M1389" i="16"/>
  <c r="M1281" i="16"/>
  <c r="N1281" i="16"/>
  <c r="M1065" i="16"/>
  <c r="N1065" i="16"/>
  <c r="M1011" i="16"/>
  <c r="N1011" i="16"/>
  <c r="M795" i="16"/>
  <c r="N795" i="16"/>
  <c r="N579" i="16"/>
  <c r="M579" i="16"/>
  <c r="M363" i="16"/>
  <c r="N363" i="16"/>
  <c r="M309" i="16"/>
  <c r="N309" i="16"/>
  <c r="N147" i="16"/>
  <c r="M147" i="16"/>
  <c r="K4228" i="16"/>
  <c r="F4228" i="16"/>
  <c r="O4228" i="16" s="1"/>
  <c r="K3712" i="16"/>
  <c r="F3712" i="16"/>
  <c r="O3712" i="16" s="1"/>
  <c r="K3658" i="16"/>
  <c r="F3658" i="16"/>
  <c r="O3658" i="16" s="1"/>
  <c r="K3442" i="16"/>
  <c r="F3442" i="16"/>
  <c r="O3442" i="16" s="1"/>
  <c r="K3226" i="16"/>
  <c r="F3226" i="16"/>
  <c r="O3226" i="16" s="1"/>
  <c r="K3172" i="16"/>
  <c r="F3172" i="16"/>
  <c r="O3172" i="16" s="1"/>
  <c r="K3118" i="16"/>
  <c r="F3118" i="16"/>
  <c r="O3118" i="16" s="1"/>
  <c r="F3064" i="16"/>
  <c r="O3064" i="16" s="1"/>
  <c r="K3064" i="16"/>
  <c r="K3010" i="16"/>
  <c r="F3010" i="16"/>
  <c r="O3010" i="16" s="1"/>
  <c r="F2956" i="16"/>
  <c r="O2956" i="16" s="1"/>
  <c r="K2956" i="16"/>
  <c r="K2848" i="16"/>
  <c r="F2848" i="16"/>
  <c r="O2848" i="16" s="1"/>
  <c r="F2794" i="16"/>
  <c r="O2794" i="16" s="1"/>
  <c r="K2794" i="16"/>
  <c r="K2740" i="16"/>
  <c r="F2740" i="16"/>
  <c r="O2740" i="16" s="1"/>
  <c r="K2686" i="16"/>
  <c r="F2686" i="16"/>
  <c r="O2686" i="16" s="1"/>
  <c r="K2362" i="16"/>
  <c r="F2362" i="16"/>
  <c r="O2362" i="16" s="1"/>
  <c r="F2200" i="16"/>
  <c r="O2200" i="16" s="1"/>
  <c r="K2200" i="16"/>
  <c r="K2146" i="16"/>
  <c r="F2146" i="16"/>
  <c r="O2146" i="16" s="1"/>
  <c r="F2092" i="16"/>
  <c r="O2092" i="16" s="1"/>
  <c r="K2092" i="16"/>
  <c r="F1876" i="16"/>
  <c r="O1876" i="16" s="1"/>
  <c r="K1876" i="16"/>
  <c r="K1660" i="16"/>
  <c r="F1660" i="16"/>
  <c r="O1660" i="16" s="1"/>
  <c r="F1606" i="16"/>
  <c r="O1606" i="16" s="1"/>
  <c r="K1606" i="16"/>
  <c r="K1444" i="16"/>
  <c r="F1444" i="16"/>
  <c r="O1444" i="16" s="1"/>
  <c r="K1336" i="16"/>
  <c r="F1336" i="16"/>
  <c r="O1336" i="16" s="1"/>
  <c r="K1282" i="16"/>
  <c r="F1282" i="16"/>
  <c r="O1282" i="16" s="1"/>
  <c r="F1066" i="16"/>
  <c r="O1066" i="16" s="1"/>
  <c r="K1066" i="16"/>
  <c r="K1012" i="16"/>
  <c r="F1012" i="16"/>
  <c r="O1012" i="16" s="1"/>
  <c r="K850" i="16"/>
  <c r="F850" i="16"/>
  <c r="O850" i="16" s="1"/>
  <c r="F796" i="16"/>
  <c r="O796" i="16" s="1"/>
  <c r="K796" i="16"/>
  <c r="F580" i="16"/>
  <c r="O580" i="16" s="1"/>
  <c r="K580" i="16"/>
  <c r="F526" i="16"/>
  <c r="O526" i="16" s="1"/>
  <c r="K526" i="16"/>
  <c r="F256" i="16"/>
  <c r="O256" i="16" s="1"/>
  <c r="K256" i="16"/>
  <c r="F31" i="5"/>
  <c r="G31" i="5"/>
  <c r="H31" i="5"/>
  <c r="N904" i="16" l="1"/>
  <c r="N1552" i="16"/>
  <c r="K4691" i="16"/>
  <c r="F4691" i="16"/>
  <c r="D4637" i="16"/>
  <c r="F4637" i="16"/>
  <c r="O4637" i="16" s="1"/>
  <c r="K2957" i="16"/>
  <c r="F2957" i="16"/>
  <c r="O2957" i="16" s="1"/>
  <c r="K2741" i="16"/>
  <c r="F2741" i="16"/>
  <c r="O2741" i="16" s="1"/>
  <c r="K1931" i="16"/>
  <c r="F1931" i="16"/>
  <c r="O1931" i="16" s="1"/>
  <c r="K1715" i="16"/>
  <c r="F1715" i="16"/>
  <c r="O1715" i="16" s="1"/>
  <c r="K959" i="16"/>
  <c r="F959" i="16"/>
  <c r="O959" i="16" s="1"/>
  <c r="K851" i="16"/>
  <c r="F851" i="16"/>
  <c r="O851" i="16" s="1"/>
  <c r="S4690" i="16"/>
  <c r="U4690" i="16"/>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D4583" i="16"/>
  <c r="J4583" i="16"/>
  <c r="P4583" i="16"/>
  <c r="Q4583" i="16"/>
  <c r="R4583" i="16"/>
  <c r="L4584" i="16"/>
  <c r="C4584" i="16"/>
  <c r="K4584" i="16" s="1"/>
  <c r="E4584" i="16"/>
  <c r="F4584" i="16"/>
  <c r="G4584" i="16"/>
  <c r="I4584" i="16"/>
  <c r="B4585" i="16"/>
  <c r="J4529" i="16"/>
  <c r="N4529" i="16" s="1"/>
  <c r="D4529" i="16"/>
  <c r="M4529" i="16"/>
  <c r="Q4529" i="16"/>
  <c r="P4529" i="16"/>
  <c r="R4529" i="16"/>
  <c r="C4530" i="16"/>
  <c r="E4530" i="16"/>
  <c r="F4530" i="16"/>
  <c r="G4530" i="16"/>
  <c r="K4530" i="16"/>
  <c r="I4530" i="16"/>
  <c r="L4530" i="16"/>
  <c r="B4531" i="16"/>
  <c r="D4229" i="16"/>
  <c r="J4229" i="16"/>
  <c r="P4229" i="16"/>
  <c r="Q4229" i="16"/>
  <c r="R4229" i="16"/>
  <c r="L4230" i="16"/>
  <c r="C4230" i="16"/>
  <c r="K4230" i="16" s="1"/>
  <c r="E4230" i="16"/>
  <c r="F4230" i="16"/>
  <c r="O4230" i="16" s="1"/>
  <c r="G4230" i="16"/>
  <c r="I4230" i="16"/>
  <c r="B4231" i="16"/>
  <c r="U4174" i="16"/>
  <c r="S4174" i="16"/>
  <c r="T4174" i="16" s="1"/>
  <c r="P4175" i="16"/>
  <c r="R4175" i="16"/>
  <c r="Q4175" i="16"/>
  <c r="J4175" i="16"/>
  <c r="N4175" i="16" s="1"/>
  <c r="D4175" i="16"/>
  <c r="M4175" i="16"/>
  <c r="I4176" i="16"/>
  <c r="L4176" i="16"/>
  <c r="B4177" i="16"/>
  <c r="C4176" i="16"/>
  <c r="E4176" i="16"/>
  <c r="G4176" i="16"/>
  <c r="U4120" i="16"/>
  <c r="S4120" i="16"/>
  <c r="T4120" i="16" s="1"/>
  <c r="P4121" i="16"/>
  <c r="Q4121" i="16"/>
  <c r="R4121" i="16"/>
  <c r="J4121" i="16"/>
  <c r="D4121" i="16"/>
  <c r="L4122" i="16"/>
  <c r="B4123" i="16"/>
  <c r="C4122" i="16"/>
  <c r="E4122" i="16"/>
  <c r="G4122" i="16"/>
  <c r="I4122"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D3767" i="16"/>
  <c r="J3767" i="16"/>
  <c r="P3767" i="16"/>
  <c r="Q3767" i="16"/>
  <c r="R3767" i="16"/>
  <c r="L3768" i="16"/>
  <c r="C3768" i="16"/>
  <c r="K3768" i="16" s="1"/>
  <c r="E3768" i="16"/>
  <c r="F3768" i="16"/>
  <c r="O3768" i="16" s="1"/>
  <c r="G3768" i="16"/>
  <c r="I3768" i="16"/>
  <c r="B3769" i="16"/>
  <c r="M3713" i="16"/>
  <c r="D3713" i="16"/>
  <c r="J3713" i="16"/>
  <c r="N3713" i="16" s="1"/>
  <c r="P3713" i="16"/>
  <c r="Q3713" i="16"/>
  <c r="R3713" i="16"/>
  <c r="L3714" i="16"/>
  <c r="C3714" i="16"/>
  <c r="E3714" i="16"/>
  <c r="G3714" i="16"/>
  <c r="I3714" i="16"/>
  <c r="B3715" i="16"/>
  <c r="M3659" i="16"/>
  <c r="D3659" i="16"/>
  <c r="J3659" i="16"/>
  <c r="N3659" i="16" s="1"/>
  <c r="P3659" i="16"/>
  <c r="Q3659" i="16"/>
  <c r="R3659" i="16"/>
  <c r="L3660" i="16"/>
  <c r="G3660" i="16"/>
  <c r="B3661" i="16"/>
  <c r="C3660" i="16"/>
  <c r="E3660" i="16"/>
  <c r="I3660"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L3498" i="16"/>
  <c r="G3498" i="16"/>
  <c r="B3499" i="16"/>
  <c r="C3498" i="16"/>
  <c r="E3498" i="16"/>
  <c r="I3498" i="16"/>
  <c r="J3497" i="16"/>
  <c r="D3497" i="16"/>
  <c r="P3497" i="16"/>
  <c r="Q3497" i="16"/>
  <c r="R3497" i="16"/>
  <c r="M3443" i="16"/>
  <c r="D3443" i="16"/>
  <c r="J3443" i="16"/>
  <c r="N3443" i="16" s="1"/>
  <c r="P3443" i="16"/>
  <c r="Q3443" i="16"/>
  <c r="R3443" i="16"/>
  <c r="L3444" i="16"/>
  <c r="C3444" i="16"/>
  <c r="K3444" i="16" s="1"/>
  <c r="E3444" i="16"/>
  <c r="F3444" i="16"/>
  <c r="O3444" i="16" s="1"/>
  <c r="G3444" i="16"/>
  <c r="B3445" i="16"/>
  <c r="I3444" i="16"/>
  <c r="U3388" i="16"/>
  <c r="S3388" i="16"/>
  <c r="T3388" i="16" s="1"/>
  <c r="M3389" i="16"/>
  <c r="D3389" i="16"/>
  <c r="J3389" i="16"/>
  <c r="N3389" i="16" s="1"/>
  <c r="P3389" i="16"/>
  <c r="Q3389" i="16"/>
  <c r="R3389" i="16"/>
  <c r="L3390" i="16"/>
  <c r="C3390" i="16"/>
  <c r="K3390" i="16" s="1"/>
  <c r="E3390" i="16"/>
  <c r="F3390" i="16"/>
  <c r="O3390" i="16" s="1"/>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P3227" i="16"/>
  <c r="Q3227" i="16"/>
  <c r="R3227" i="16"/>
  <c r="L3228" i="16"/>
  <c r="G3228" i="16"/>
  <c r="I3228" i="16"/>
  <c r="C3228" i="16"/>
  <c r="K3228" i="16" s="1"/>
  <c r="E3228" i="16"/>
  <c r="F3228" i="16"/>
  <c r="O3228" i="16" s="1"/>
  <c r="B3229" i="16"/>
  <c r="D3227" i="16"/>
  <c r="J3227" i="16"/>
  <c r="D3173" i="16"/>
  <c r="J3173" i="16"/>
  <c r="P3173" i="16"/>
  <c r="Q3173" i="16"/>
  <c r="R3173" i="16"/>
  <c r="L3174" i="16"/>
  <c r="C3174" i="16"/>
  <c r="K3174" i="16" s="1"/>
  <c r="E3174" i="16"/>
  <c r="F3174" i="16"/>
  <c r="O3174" i="16" s="1"/>
  <c r="G3174" i="16"/>
  <c r="I3174" i="16"/>
  <c r="B3175" i="16"/>
  <c r="D3119" i="16"/>
  <c r="J3119" i="16"/>
  <c r="P3119" i="16"/>
  <c r="Q3119" i="16"/>
  <c r="R3119" i="16"/>
  <c r="L3120" i="16"/>
  <c r="C3120" i="16"/>
  <c r="E3120" i="16"/>
  <c r="G3120" i="16"/>
  <c r="I3120" i="16"/>
  <c r="B3121" i="16"/>
  <c r="M3065" i="16"/>
  <c r="L3066" i="16"/>
  <c r="I3066" i="16"/>
  <c r="B3067" i="16"/>
  <c r="C3066" i="16"/>
  <c r="K3066" i="16" s="1"/>
  <c r="E3066" i="16"/>
  <c r="F3066" i="16"/>
  <c r="O3066" i="16" s="1"/>
  <c r="G3066" i="16"/>
  <c r="P3065" i="16"/>
  <c r="Q3065" i="16"/>
  <c r="R3065" i="16"/>
  <c r="D3065" i="16"/>
  <c r="J3065" i="16"/>
  <c r="N3065" i="16" s="1"/>
  <c r="M3011" i="16"/>
  <c r="P3011" i="16"/>
  <c r="Q3011" i="16"/>
  <c r="R3011" i="16"/>
  <c r="D3011" i="16"/>
  <c r="J3011" i="16"/>
  <c r="N3011" i="16" s="1"/>
  <c r="L3012" i="16"/>
  <c r="G3012" i="16"/>
  <c r="C3012" i="16"/>
  <c r="E3012" i="16"/>
  <c r="B3013" i="16"/>
  <c r="I3012" i="16"/>
  <c r="M2957" i="16"/>
  <c r="D2957" i="16"/>
  <c r="J2957" i="16"/>
  <c r="N2957" i="16" s="1"/>
  <c r="P2957" i="16"/>
  <c r="Q2957" i="16"/>
  <c r="R2957" i="16"/>
  <c r="L2958" i="16"/>
  <c r="C2958" i="16"/>
  <c r="K2958" i="16" s="1"/>
  <c r="E2958" i="16"/>
  <c r="F2958" i="16"/>
  <c r="O2958" i="16" s="1"/>
  <c r="G2958" i="16"/>
  <c r="I2958" i="16"/>
  <c r="B2959" i="16"/>
  <c r="U2902" i="16"/>
  <c r="S2902" i="16"/>
  <c r="T2902" i="16" s="1"/>
  <c r="D2903" i="16"/>
  <c r="M2903" i="16" s="1"/>
  <c r="J2903" i="16"/>
  <c r="P2903" i="16"/>
  <c r="Q2903" i="16"/>
  <c r="R2903" i="16"/>
  <c r="L2904" i="16"/>
  <c r="C2904" i="16"/>
  <c r="E2904" i="16"/>
  <c r="G2904" i="16"/>
  <c r="I2904" i="16"/>
  <c r="B2905" i="16"/>
  <c r="P2849" i="16"/>
  <c r="Q2849" i="16"/>
  <c r="R2849" i="16"/>
  <c r="L2850" i="16"/>
  <c r="E2850" i="16"/>
  <c r="I2850" i="16"/>
  <c r="C2850" i="16"/>
  <c r="G2850" i="16"/>
  <c r="B2851" i="16"/>
  <c r="D2849" i="16"/>
  <c r="J2849" i="16"/>
  <c r="L2796" i="16"/>
  <c r="B2797" i="16"/>
  <c r="G2796" i="16"/>
  <c r="E2796" i="16"/>
  <c r="C2796" i="16"/>
  <c r="I2796" i="16"/>
  <c r="D2795" i="16"/>
  <c r="J2795" i="16"/>
  <c r="P2795" i="16"/>
  <c r="Q2795" i="16"/>
  <c r="R2795" i="16"/>
  <c r="M2741" i="16"/>
  <c r="D2741" i="16"/>
  <c r="J2741" i="16"/>
  <c r="N2741" i="16" s="1"/>
  <c r="P2741" i="16"/>
  <c r="Q2741" i="16"/>
  <c r="R2741" i="16"/>
  <c r="L2742" i="16"/>
  <c r="C2742" i="16"/>
  <c r="K2742" i="16" s="1"/>
  <c r="E2742" i="16"/>
  <c r="F2742" i="16"/>
  <c r="O2742" i="16" s="1"/>
  <c r="G2742" i="16"/>
  <c r="I2742" i="16"/>
  <c r="B2743" i="16"/>
  <c r="M2687" i="16"/>
  <c r="P2687" i="16"/>
  <c r="Q2687" i="16"/>
  <c r="R2687" i="16"/>
  <c r="L2688" i="16"/>
  <c r="G2688" i="16"/>
  <c r="B2689" i="16"/>
  <c r="I2688" i="16"/>
  <c r="E2688" i="16"/>
  <c r="C2688" i="16"/>
  <c r="D2687" i="16"/>
  <c r="J2687" i="16"/>
  <c r="N2687" i="16" s="1"/>
  <c r="U2632" i="16"/>
  <c r="S2632" i="16"/>
  <c r="T2632" i="16" s="1"/>
  <c r="M2633" i="16"/>
  <c r="J2633" i="16"/>
  <c r="N2633" i="16" s="1"/>
  <c r="D2633" i="16"/>
  <c r="P2633" i="16"/>
  <c r="Q2633" i="16"/>
  <c r="R2633" i="16"/>
  <c r="L2634" i="16"/>
  <c r="C2634" i="16"/>
  <c r="G2634" i="16"/>
  <c r="I2634" i="16"/>
  <c r="B2635" i="16"/>
  <c r="E2634" i="16"/>
  <c r="U2578" i="16"/>
  <c r="S2578" i="16"/>
  <c r="T2578" i="16" s="1"/>
  <c r="L2580" i="16"/>
  <c r="I2580" i="16"/>
  <c r="B2581" i="16"/>
  <c r="C2580" i="16"/>
  <c r="G2580" i="16"/>
  <c r="E2580" i="16"/>
  <c r="P2579" i="16"/>
  <c r="Q2579" i="16"/>
  <c r="R2579" i="16"/>
  <c r="D2579" i="16"/>
  <c r="J2579"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U2416" i="16"/>
  <c r="S2416" i="16"/>
  <c r="T2416" i="16" s="1"/>
  <c r="M2417" i="16"/>
  <c r="D2417" i="16"/>
  <c r="J2417" i="16"/>
  <c r="N2417" i="16" s="1"/>
  <c r="P2417" i="16"/>
  <c r="Q2417" i="16"/>
  <c r="R2417" i="16"/>
  <c r="L2418" i="16"/>
  <c r="C2418" i="16"/>
  <c r="E2418" i="16"/>
  <c r="G2418" i="16"/>
  <c r="I2418" i="16"/>
  <c r="B2419" i="16"/>
  <c r="D2363" i="16"/>
  <c r="J2363" i="16"/>
  <c r="P2363" i="16"/>
  <c r="Q2363" i="16"/>
  <c r="R2363" i="16"/>
  <c r="L2364" i="16"/>
  <c r="C2364" i="16"/>
  <c r="E2364" i="16"/>
  <c r="G2364" i="16"/>
  <c r="I2364" i="16"/>
  <c r="B2365" i="16"/>
  <c r="U2308" i="16"/>
  <c r="S2308" i="16"/>
  <c r="T2308" i="16" s="1"/>
  <c r="D2309" i="16"/>
  <c r="J2309" i="16"/>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M2201" i="16"/>
  <c r="D2201" i="16"/>
  <c r="J2201" i="16"/>
  <c r="N2201" i="16" s="1"/>
  <c r="P2201" i="16"/>
  <c r="Q2201" i="16"/>
  <c r="R2201" i="16"/>
  <c r="L2202" i="16"/>
  <c r="C2202" i="16"/>
  <c r="K2202" i="16" s="1"/>
  <c r="E2202" i="16"/>
  <c r="F2202" i="16"/>
  <c r="O2202" i="16" s="1"/>
  <c r="G2202" i="16"/>
  <c r="I2202" i="16"/>
  <c r="B2203" i="16"/>
  <c r="M2147" i="16"/>
  <c r="D2147" i="16"/>
  <c r="J2147" i="16"/>
  <c r="N2147" i="16" s="1"/>
  <c r="P2147" i="16"/>
  <c r="Q2147" i="16"/>
  <c r="R2147" i="16"/>
  <c r="L2148" i="16"/>
  <c r="C2148" i="16"/>
  <c r="K2148" i="16" s="1"/>
  <c r="E2148" i="16"/>
  <c r="F2148" i="16"/>
  <c r="O2148" i="16" s="1"/>
  <c r="G2148" i="16"/>
  <c r="I2148" i="16"/>
  <c r="B2149" i="16"/>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U1930" i="16"/>
  <c r="S1930" i="16"/>
  <c r="T1930" i="16" s="1"/>
  <c r="M1931" i="16"/>
  <c r="D1931" i="16"/>
  <c r="J1931" i="16"/>
  <c r="N1931" i="16" s="1"/>
  <c r="P1931" i="16"/>
  <c r="Q1931" i="16"/>
  <c r="R1931" i="16"/>
  <c r="L1932" i="16"/>
  <c r="C1932" i="16"/>
  <c r="E1932" i="16"/>
  <c r="G1932" i="16"/>
  <c r="I1932" i="16"/>
  <c r="B1933" i="16"/>
  <c r="M1877" i="16"/>
  <c r="D1877" i="16"/>
  <c r="J1877" i="16"/>
  <c r="N1877" i="16" s="1"/>
  <c r="P1877" i="16"/>
  <c r="Q1877" i="16"/>
  <c r="R1877" i="16"/>
  <c r="L1878" i="16"/>
  <c r="C1878" i="16"/>
  <c r="E1878" i="16"/>
  <c r="G1878" i="16"/>
  <c r="I1878" i="16"/>
  <c r="B1879" i="16"/>
  <c r="U1822" i="16"/>
  <c r="S1822" i="16"/>
  <c r="T1822" i="16" s="1"/>
  <c r="D1823" i="16"/>
  <c r="J1823" i="16"/>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M1715" i="16"/>
  <c r="D1715" i="16"/>
  <c r="J1715" i="16"/>
  <c r="N1715" i="16" s="1"/>
  <c r="P1715" i="16"/>
  <c r="Q1715" i="16"/>
  <c r="R1715" i="16"/>
  <c r="L1716" i="16"/>
  <c r="C1716" i="16"/>
  <c r="E1716" i="16"/>
  <c r="G1716" i="16"/>
  <c r="I1716" i="16"/>
  <c r="B1717" i="16"/>
  <c r="M1661" i="16"/>
  <c r="D1661" i="16"/>
  <c r="J1661" i="16"/>
  <c r="N1661" i="16" s="1"/>
  <c r="P1661" i="16"/>
  <c r="Q1661" i="16"/>
  <c r="R1661" i="16"/>
  <c r="L1662" i="16"/>
  <c r="C1662" i="16"/>
  <c r="K1662" i="16" s="1"/>
  <c r="E1662" i="16"/>
  <c r="F1662" i="16"/>
  <c r="O1662" i="16" s="1"/>
  <c r="G1662" i="16"/>
  <c r="I1662" i="16"/>
  <c r="B1663" i="16"/>
  <c r="D1607" i="16"/>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E1554" i="16"/>
  <c r="G1554" i="16"/>
  <c r="I1554" i="16"/>
  <c r="B1555" i="16"/>
  <c r="U1498" i="16"/>
  <c r="S1498" i="16"/>
  <c r="T1498" i="16" s="1"/>
  <c r="M1499" i="16"/>
  <c r="P1499" i="16"/>
  <c r="Q1499" i="16"/>
  <c r="R1499" i="16"/>
  <c r="J1499" i="16"/>
  <c r="N1499" i="16" s="1"/>
  <c r="D1499" i="16"/>
  <c r="L1500" i="16"/>
  <c r="B1501" i="16"/>
  <c r="G1500" i="16"/>
  <c r="C1500" i="16"/>
  <c r="K1500" i="16" s="1"/>
  <c r="F1500" i="16"/>
  <c r="O1500" i="16" s="1"/>
  <c r="I1500" i="16"/>
  <c r="E1500" i="16"/>
  <c r="M1445" i="16"/>
  <c r="J1445" i="16"/>
  <c r="N1445" i="16" s="1"/>
  <c r="D1445" i="16"/>
  <c r="P1445" i="16"/>
  <c r="Q1445" i="16"/>
  <c r="R1445" i="16"/>
  <c r="L1446" i="16"/>
  <c r="I1446" i="16"/>
  <c r="C1446" i="16"/>
  <c r="E1446" i="16"/>
  <c r="B1447" i="16"/>
  <c r="G1446" i="16"/>
  <c r="U1390" i="16"/>
  <c r="S1390" i="16"/>
  <c r="T1390" i="16" s="1"/>
  <c r="D1391" i="16"/>
  <c r="J1391" i="16"/>
  <c r="L1392" i="16"/>
  <c r="C1392" i="16"/>
  <c r="K1392" i="16" s="1"/>
  <c r="F1392" i="16"/>
  <c r="O1392" i="16" s="1"/>
  <c r="B1393" i="16"/>
  <c r="G1392" i="16"/>
  <c r="I1392" i="16"/>
  <c r="E1392" i="16"/>
  <c r="P1391" i="16"/>
  <c r="Q1391" i="16"/>
  <c r="R1391" i="16"/>
  <c r="P1337" i="16"/>
  <c r="Q1337" i="16"/>
  <c r="R1337" i="16"/>
  <c r="D1337" i="16"/>
  <c r="J1337" i="16"/>
  <c r="L1338" i="16"/>
  <c r="B1339" i="16"/>
  <c r="I1338" i="16"/>
  <c r="C1338" i="16"/>
  <c r="G1338" i="16"/>
  <c r="E1338" i="16"/>
  <c r="M1283" i="16"/>
  <c r="P1283" i="16"/>
  <c r="Q1283" i="16"/>
  <c r="R1283" i="16"/>
  <c r="J1283" i="16"/>
  <c r="N1283" i="16" s="1"/>
  <c r="D1283" i="16"/>
  <c r="L1284" i="16"/>
  <c r="I1284" i="16"/>
  <c r="C1284" i="16"/>
  <c r="G1284" i="16"/>
  <c r="B1285" i="16"/>
  <c r="E1284" i="16"/>
  <c r="U1228" i="16"/>
  <c r="S1228" i="16"/>
  <c r="T1228" i="16" s="1"/>
  <c r="G1230" i="16"/>
  <c r="L1230" i="16"/>
  <c r="C1230" i="16"/>
  <c r="I1230" i="16"/>
  <c r="E1230" i="16"/>
  <c r="B1231" i="16"/>
  <c r="Q1229" i="16"/>
  <c r="R1229" i="16"/>
  <c r="P1229" i="16"/>
  <c r="D1229" i="16"/>
  <c r="J1229"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D1067" i="16"/>
  <c r="J1067" i="16"/>
  <c r="P1067" i="16"/>
  <c r="Q1067" i="16"/>
  <c r="R1067" i="16"/>
  <c r="L1068" i="16"/>
  <c r="C1068" i="16"/>
  <c r="E1068" i="16"/>
  <c r="G1068" i="16"/>
  <c r="I1068" i="16"/>
  <c r="B1069" i="16"/>
  <c r="M1013" i="16"/>
  <c r="L1014" i="16"/>
  <c r="C1014" i="16"/>
  <c r="K1014" i="16" s="1"/>
  <c r="G1014" i="16"/>
  <c r="F1014" i="16"/>
  <c r="O1014" i="16" s="1"/>
  <c r="E1014" i="16"/>
  <c r="I1014" i="16"/>
  <c r="B1015" i="16"/>
  <c r="J1013" i="16"/>
  <c r="N1013" i="16" s="1"/>
  <c r="D1013" i="16"/>
  <c r="P1013" i="16"/>
  <c r="Q1013" i="16"/>
  <c r="R1013" i="16"/>
  <c r="U958" i="16"/>
  <c r="S958" i="16"/>
  <c r="T958" i="16" s="1"/>
  <c r="D959" i="16"/>
  <c r="M959" i="16" s="1"/>
  <c r="N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M851" i="16"/>
  <c r="D851" i="16"/>
  <c r="J851" i="16"/>
  <c r="N851" i="16" s="1"/>
  <c r="P851" i="16"/>
  <c r="Q851" i="16"/>
  <c r="R851" i="16"/>
  <c r="L852" i="16"/>
  <c r="C852" i="16"/>
  <c r="K852" i="16" s="1"/>
  <c r="E852" i="16"/>
  <c r="F852" i="16"/>
  <c r="O852" i="16" s="1"/>
  <c r="G852" i="16"/>
  <c r="I852" i="16"/>
  <c r="B853" i="16"/>
  <c r="M797" i="16"/>
  <c r="D797" i="16"/>
  <c r="J797" i="16"/>
  <c r="N797" i="16" s="1"/>
  <c r="P797" i="16"/>
  <c r="Q797" i="16"/>
  <c r="R797" i="16"/>
  <c r="L798" i="16"/>
  <c r="C798" i="16"/>
  <c r="E798" i="16"/>
  <c r="G798" i="16"/>
  <c r="I798" i="16"/>
  <c r="B799"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M581" i="16"/>
  <c r="D581" i="16"/>
  <c r="J581" i="16"/>
  <c r="N581" i="16" s="1"/>
  <c r="P581" i="16"/>
  <c r="Q581" i="16"/>
  <c r="R581" i="16"/>
  <c r="L582" i="16"/>
  <c r="C582" i="16"/>
  <c r="K582" i="16" s="1"/>
  <c r="E582" i="16"/>
  <c r="F582" i="16"/>
  <c r="O582" i="16" s="1"/>
  <c r="G582" i="16"/>
  <c r="I582" i="16"/>
  <c r="B583" i="16"/>
  <c r="D527" i="16"/>
  <c r="J527" i="16"/>
  <c r="P527" i="16"/>
  <c r="Q527" i="16"/>
  <c r="R527" i="16"/>
  <c r="L528" i="16"/>
  <c r="C528" i="16"/>
  <c r="K528" i="16" s="1"/>
  <c r="E528" i="16"/>
  <c r="F528" i="16"/>
  <c r="O528" i="16" s="1"/>
  <c r="G528" i="16"/>
  <c r="I528" i="16"/>
  <c r="B529" i="16"/>
  <c r="U472" i="16"/>
  <c r="S472" i="16"/>
  <c r="T472" i="16" s="1"/>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E420" i="16"/>
  <c r="G420" i="16"/>
  <c r="I420" i="16"/>
  <c r="B421" i="16"/>
  <c r="U364" i="16"/>
  <c r="S364" i="16"/>
  <c r="T364" i="16" s="1"/>
  <c r="M365" i="16"/>
  <c r="D365" i="16"/>
  <c r="J365" i="16"/>
  <c r="N365" i="16" s="1"/>
  <c r="P365" i="16"/>
  <c r="Q365" i="16"/>
  <c r="R365" i="16"/>
  <c r="L366" i="16"/>
  <c r="C366" i="16"/>
  <c r="K366" i="16" s="1"/>
  <c r="E366" i="16"/>
  <c r="F366" i="16"/>
  <c r="O366" i="16" s="1"/>
  <c r="G366" i="16"/>
  <c r="I366" i="16"/>
  <c r="B367" i="16"/>
  <c r="U310" i="16"/>
  <c r="S310" i="16"/>
  <c r="T310" i="16" s="1"/>
  <c r="D311" i="16"/>
  <c r="M311" i="16" s="1"/>
  <c r="J311" i="16"/>
  <c r="P311" i="16"/>
  <c r="Q311" i="16"/>
  <c r="R311" i="16"/>
  <c r="L312" i="16"/>
  <c r="C312" i="16"/>
  <c r="K312" i="16" s="1"/>
  <c r="E312" i="16"/>
  <c r="F312" i="16"/>
  <c r="O312" i="16" s="1"/>
  <c r="G312" i="16"/>
  <c r="I312" i="16"/>
  <c r="B313" i="16"/>
  <c r="D257" i="16"/>
  <c r="J257" i="16"/>
  <c r="P257" i="16"/>
  <c r="Q257" i="16"/>
  <c r="R257" i="16"/>
  <c r="L258" i="16"/>
  <c r="C258" i="16"/>
  <c r="E258" i="16"/>
  <c r="G258" i="16"/>
  <c r="I258" i="16"/>
  <c r="B259" i="16"/>
  <c r="U202" i="16"/>
  <c r="S202" i="16"/>
  <c r="T202" i="16" s="1"/>
  <c r="M203" i="16"/>
  <c r="P203" i="16"/>
  <c r="Q203" i="16"/>
  <c r="R203" i="16"/>
  <c r="L204" i="16"/>
  <c r="C204" i="16"/>
  <c r="E204" i="16"/>
  <c r="G204" i="16"/>
  <c r="B205" i="16"/>
  <c r="I204" i="16"/>
  <c r="D203" i="16"/>
  <c r="J203" i="16"/>
  <c r="N203" i="16" s="1"/>
  <c r="U148" i="16"/>
  <c r="S148" i="16"/>
  <c r="T148" i="16" s="1"/>
  <c r="M149" i="16"/>
  <c r="D149" i="16"/>
  <c r="J149" i="16"/>
  <c r="N149" i="16" s="1"/>
  <c r="P149" i="16"/>
  <c r="Q149" i="16"/>
  <c r="R149" i="16"/>
  <c r="L150" i="16"/>
  <c r="C150" i="16"/>
  <c r="E150" i="16"/>
  <c r="G150" i="16"/>
  <c r="B151" i="16"/>
  <c r="I150" i="16"/>
  <c r="U94" i="16"/>
  <c r="S94" i="16"/>
  <c r="T94" i="16" s="1"/>
  <c r="M95" i="16"/>
  <c r="D95" i="16"/>
  <c r="J95" i="16"/>
  <c r="N95" i="16" s="1"/>
  <c r="P95" i="16"/>
  <c r="Q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K34" i="4" s="1"/>
  <c r="E34" i="4"/>
  <c r="F34" i="4"/>
  <c r="C34" i="5" s="1"/>
  <c r="E34" i="5" s="1"/>
  <c r="G34" i="4"/>
  <c r="AM34" i="4" s="1"/>
  <c r="I34" i="4"/>
  <c r="B35" i="4"/>
  <c r="B34" i="5"/>
  <c r="AN16" i="4"/>
  <c r="B81" i="7"/>
  <c r="I81" i="7" s="1"/>
  <c r="AN15" i="4"/>
  <c r="AM17" i="4"/>
  <c r="AM18" i="4"/>
  <c r="AM19" i="4"/>
  <c r="AM20" i="4"/>
  <c r="AM21" i="4"/>
  <c r="AM22" i="4"/>
  <c r="AM23" i="4"/>
  <c r="AM24" i="4"/>
  <c r="AM25" i="4"/>
  <c r="AM26" i="4"/>
  <c r="AM27" i="4"/>
  <c r="AM28" i="4"/>
  <c r="AM29" i="4"/>
  <c r="AM30" i="4"/>
  <c r="AM31" i="4"/>
  <c r="AM32" i="4"/>
  <c r="AM33" i="4"/>
  <c r="U4227" i="16"/>
  <c r="S4227" i="16"/>
  <c r="T4227" i="16" s="1"/>
  <c r="U4173" i="16"/>
  <c r="S4173" i="16"/>
  <c r="T4173" i="16" s="1"/>
  <c r="U4119" i="16"/>
  <c r="S4119" i="16"/>
  <c r="T4119" i="16" s="1"/>
  <c r="U3711" i="16"/>
  <c r="S3711" i="16"/>
  <c r="T3711" i="16" s="1"/>
  <c r="S3657" i="16"/>
  <c r="T3657" i="16" s="1"/>
  <c r="U3657" i="16"/>
  <c r="U3495" i="16"/>
  <c r="S3495" i="16"/>
  <c r="T3495" i="16" s="1"/>
  <c r="U3117" i="16"/>
  <c r="S3117" i="16"/>
  <c r="T3117" i="16" s="1"/>
  <c r="U3063" i="16"/>
  <c r="S3063" i="16"/>
  <c r="T3063" i="16" s="1"/>
  <c r="U3009" i="16"/>
  <c r="S3009" i="16"/>
  <c r="T3009" i="16" s="1"/>
  <c r="U2577" i="16"/>
  <c r="S2577" i="16"/>
  <c r="T2577" i="16" s="1"/>
  <c r="U2307" i="16"/>
  <c r="S2307" i="16"/>
  <c r="T2307" i="16" s="1"/>
  <c r="U2037" i="16"/>
  <c r="S2037" i="16"/>
  <c r="T2037" i="16" s="1"/>
  <c r="U1821" i="16"/>
  <c r="S1821" i="16"/>
  <c r="T1821" i="16" s="1"/>
  <c r="U1497" i="16"/>
  <c r="S1497" i="16"/>
  <c r="T1497" i="16" s="1"/>
  <c r="U1443" i="16"/>
  <c r="S1443" i="16"/>
  <c r="T1443" i="16" s="1"/>
  <c r="U1389" i="16"/>
  <c r="S1389" i="16"/>
  <c r="T1389" i="16" s="1"/>
  <c r="U1281" i="16"/>
  <c r="S1281" i="16"/>
  <c r="T1281" i="16" s="1"/>
  <c r="U1065" i="16"/>
  <c r="S1065" i="16"/>
  <c r="T1065" i="16" s="1"/>
  <c r="U1011" i="16"/>
  <c r="S1011" i="16"/>
  <c r="T1011" i="16" s="1"/>
  <c r="U795" i="16"/>
  <c r="S795" i="16"/>
  <c r="T795" i="16" s="1"/>
  <c r="U579" i="16"/>
  <c r="S579" i="16"/>
  <c r="T579" i="16" s="1"/>
  <c r="U363" i="16"/>
  <c r="S363" i="16"/>
  <c r="T363" i="16" s="1"/>
  <c r="U309" i="16"/>
  <c r="S309" i="16"/>
  <c r="T309" i="16" s="1"/>
  <c r="U147" i="16"/>
  <c r="S147" i="16"/>
  <c r="T147" i="16" s="1"/>
  <c r="M4228" i="16"/>
  <c r="N4228" i="16"/>
  <c r="M3712" i="16"/>
  <c r="N3712" i="16"/>
  <c r="M3658" i="16"/>
  <c r="N3658" i="16"/>
  <c r="N3442" i="16"/>
  <c r="M3442" i="16"/>
  <c r="M3226" i="16"/>
  <c r="N3226" i="16"/>
  <c r="M3172" i="16"/>
  <c r="N3172" i="16"/>
  <c r="M3118" i="16"/>
  <c r="N3118" i="16"/>
  <c r="N3064" i="16"/>
  <c r="M3064" i="16"/>
  <c r="N3010" i="16"/>
  <c r="M3010" i="16"/>
  <c r="M2956" i="16"/>
  <c r="N2956" i="16"/>
  <c r="M2848" i="16"/>
  <c r="N2848" i="16"/>
  <c r="M2794" i="16"/>
  <c r="N2794" i="16"/>
  <c r="S2794" i="16" s="1"/>
  <c r="T2794" i="16" s="1"/>
  <c r="U2794" i="16" s="1"/>
  <c r="M2740" i="16"/>
  <c r="N2740" i="16"/>
  <c r="M2686" i="16"/>
  <c r="N2686" i="16"/>
  <c r="M2362" i="16"/>
  <c r="N2362" i="16"/>
  <c r="M2200" i="16"/>
  <c r="N2200" i="16"/>
  <c r="M2146" i="16"/>
  <c r="N2146" i="16"/>
  <c r="M2092" i="16"/>
  <c r="N2092" i="16"/>
  <c r="M1876" i="16"/>
  <c r="N1876" i="16"/>
  <c r="M1660" i="16"/>
  <c r="N1660" i="16"/>
  <c r="M1606" i="16"/>
  <c r="N1606" i="16"/>
  <c r="N1444" i="16"/>
  <c r="M1444" i="16"/>
  <c r="M1336" i="16"/>
  <c r="N1336" i="16" s="1"/>
  <c r="M1282" i="16"/>
  <c r="N1282" i="16"/>
  <c r="M1066" i="16"/>
  <c r="N1066" i="16"/>
  <c r="M1012" i="16"/>
  <c r="N1012" i="16"/>
  <c r="M850" i="16"/>
  <c r="N850" i="16"/>
  <c r="M796" i="16"/>
  <c r="N796" i="16"/>
  <c r="M580" i="16"/>
  <c r="N580" i="16"/>
  <c r="M526" i="16"/>
  <c r="N526" i="16"/>
  <c r="M256" i="16"/>
  <c r="N256" i="16"/>
  <c r="K4583" i="16"/>
  <c r="F4583" i="16"/>
  <c r="F4229" i="16"/>
  <c r="O4229" i="16" s="1"/>
  <c r="K4229" i="16"/>
  <c r="F4121" i="16"/>
  <c r="O4121" i="16" s="1"/>
  <c r="K4121" i="16"/>
  <c r="K3767" i="16"/>
  <c r="F3767" i="16"/>
  <c r="O3767" i="16" s="1"/>
  <c r="F3497" i="16"/>
  <c r="O3497" i="16" s="1"/>
  <c r="K3497" i="16"/>
  <c r="F3227" i="16"/>
  <c r="O3227" i="16" s="1"/>
  <c r="K3227" i="16"/>
  <c r="F3173" i="16"/>
  <c r="O3173" i="16" s="1"/>
  <c r="K3173" i="16"/>
  <c r="F3119" i="16"/>
  <c r="O3119" i="16" s="1"/>
  <c r="K3119" i="16"/>
  <c r="F2849" i="16"/>
  <c r="O2849" i="16" s="1"/>
  <c r="K2849" i="16"/>
  <c r="F2795" i="16"/>
  <c r="O2795" i="16" s="1"/>
  <c r="K2795" i="16"/>
  <c r="F2579" i="16"/>
  <c r="O2579" i="16" s="1"/>
  <c r="K2579" i="16"/>
  <c r="K2363" i="16"/>
  <c r="F2363" i="16"/>
  <c r="O2363" i="16" s="1"/>
  <c r="K2309" i="16"/>
  <c r="F2309" i="16"/>
  <c r="O2309" i="16" s="1"/>
  <c r="F1823" i="16"/>
  <c r="O1823" i="16" s="1"/>
  <c r="K1823" i="16"/>
  <c r="K1607" i="16"/>
  <c r="F1607" i="16"/>
  <c r="O1607" i="16" s="1"/>
  <c r="K1391" i="16"/>
  <c r="F1391" i="16"/>
  <c r="O1391" i="16" s="1"/>
  <c r="K1337" i="16"/>
  <c r="F1337" i="16"/>
  <c r="O1337" i="16" s="1"/>
  <c r="F1229" i="16"/>
  <c r="O1229" i="16" s="1"/>
  <c r="K1229" i="16"/>
  <c r="K1067" i="16"/>
  <c r="F1067" i="16"/>
  <c r="O1067" i="16" s="1"/>
  <c r="F527" i="16"/>
  <c r="O527" i="16" s="1"/>
  <c r="K527" i="16"/>
  <c r="K257" i="16"/>
  <c r="F257" i="16"/>
  <c r="O257" i="16" s="1"/>
  <c r="F32" i="5"/>
  <c r="G32" i="5"/>
  <c r="H32" i="5"/>
  <c r="N2903" i="16" l="1"/>
  <c r="N2255" i="16"/>
  <c r="N311" i="16"/>
  <c r="F4122" i="16"/>
  <c r="O4122" i="16" s="1"/>
  <c r="K4122" i="16"/>
  <c r="K3012" i="16"/>
  <c r="F3012" i="16"/>
  <c r="O3012" i="16" s="1"/>
  <c r="K1932" i="16"/>
  <c r="F1932" i="16"/>
  <c r="O1932" i="16" s="1"/>
  <c r="K1716" i="16"/>
  <c r="F1716" i="16"/>
  <c r="O1716" i="16" s="1"/>
  <c r="K1068" i="16"/>
  <c r="F1068" i="16"/>
  <c r="O1068" i="16" s="1"/>
  <c r="K258" i="16"/>
  <c r="F258" i="16"/>
  <c r="O258" i="16" s="1"/>
  <c r="T4690" i="16"/>
  <c r="S4691" i="16"/>
  <c r="T4691" i="16" s="1"/>
  <c r="U4691" i="16"/>
  <c r="M4692" i="16"/>
  <c r="D4692" i="16"/>
  <c r="J4692" i="16"/>
  <c r="N4692" i="16" s="1"/>
  <c r="P4692" i="16"/>
  <c r="Q4692" i="16"/>
  <c r="R4692" i="16"/>
  <c r="L4693" i="16"/>
  <c r="C4693" i="16"/>
  <c r="K4693" i="16" s="1"/>
  <c r="E4693" i="16"/>
  <c r="F4693" i="16"/>
  <c r="G4693" i="16"/>
  <c r="I4693" i="16"/>
  <c r="B4694" i="16"/>
  <c r="P4638" i="16"/>
  <c r="Q4638" i="16"/>
  <c r="R4638" i="16"/>
  <c r="C4639" i="16"/>
  <c r="E4639" i="16"/>
  <c r="G4639" i="16"/>
  <c r="B4640" i="16"/>
  <c r="M4584" i="16"/>
  <c r="D4584" i="16"/>
  <c r="J4584" i="16"/>
  <c r="N4584" i="16" s="1"/>
  <c r="P4584" i="16"/>
  <c r="Q4584" i="16"/>
  <c r="R4584" i="16"/>
  <c r="L4585" i="16"/>
  <c r="C4585" i="16"/>
  <c r="E4585" i="16"/>
  <c r="G4585" i="16"/>
  <c r="I4585" i="16"/>
  <c r="B4586" i="16"/>
  <c r="D4530" i="16"/>
  <c r="J4530" i="16"/>
  <c r="N4530" i="16" s="1"/>
  <c r="P4530" i="16"/>
  <c r="Q4530" i="16"/>
  <c r="R4530" i="16"/>
  <c r="M4530" i="16"/>
  <c r="C4531" i="16"/>
  <c r="F4531" i="16" s="1"/>
  <c r="E4531" i="16"/>
  <c r="G4531" i="16"/>
  <c r="L4531" i="16"/>
  <c r="B4532" i="16"/>
  <c r="I4531" i="16"/>
  <c r="K4531" i="16"/>
  <c r="M4230" i="16"/>
  <c r="D4230" i="16"/>
  <c r="J4230" i="16"/>
  <c r="N4230" i="16" s="1"/>
  <c r="P4230" i="16"/>
  <c r="Q4230" i="16"/>
  <c r="R4230" i="16"/>
  <c r="L4231" i="16"/>
  <c r="C4231" i="16"/>
  <c r="E4231" i="16"/>
  <c r="G4231" i="16"/>
  <c r="I4231" i="16"/>
  <c r="B4232" i="16"/>
  <c r="U4175" i="16"/>
  <c r="S4175" i="16"/>
  <c r="T4175" i="16" s="1"/>
  <c r="G4177" i="16"/>
  <c r="L4177" i="16"/>
  <c r="C4177" i="16"/>
  <c r="F4177" i="16" s="1"/>
  <c r="O4177" i="16" s="1"/>
  <c r="E4177" i="16"/>
  <c r="K4177" i="16"/>
  <c r="I4177" i="16"/>
  <c r="B4178" i="16"/>
  <c r="D4176" i="16"/>
  <c r="J4176" i="16"/>
  <c r="P4176" i="16"/>
  <c r="Q4176" i="16"/>
  <c r="R4176" i="16"/>
  <c r="L4123" i="16"/>
  <c r="I4123" i="16"/>
  <c r="C4123" i="16"/>
  <c r="F4123" i="16" s="1"/>
  <c r="O4123" i="16" s="1"/>
  <c r="E4123" i="16"/>
  <c r="G4123" i="16"/>
  <c r="K4123" i="16"/>
  <c r="B4124" i="16"/>
  <c r="J4122" i="16"/>
  <c r="N4122" i="16" s="1"/>
  <c r="D4122" i="16"/>
  <c r="P4122" i="16"/>
  <c r="Q4122" i="16"/>
  <c r="R4122" i="16"/>
  <c r="M4122" i="16"/>
  <c r="U4067" i="16"/>
  <c r="S4067" i="16"/>
  <c r="T4067" i="16" s="1"/>
  <c r="M4068" i="16"/>
  <c r="D4068" i="16"/>
  <c r="J4068" i="16"/>
  <c r="N4068" i="16" s="1"/>
  <c r="P4068" i="16"/>
  <c r="Q4068" i="16"/>
  <c r="R4068" i="16"/>
  <c r="L4069" i="16"/>
  <c r="C4069" i="16"/>
  <c r="K4069" i="16" s="1"/>
  <c r="E4069" i="16"/>
  <c r="F4069" i="16"/>
  <c r="O4069" i="16" s="1"/>
  <c r="G4069" i="16"/>
  <c r="I4069" i="16"/>
  <c r="B4070" i="16"/>
  <c r="M3768" i="16"/>
  <c r="D3768" i="16"/>
  <c r="J3768" i="16"/>
  <c r="N3768" i="16" s="1"/>
  <c r="P3768" i="16"/>
  <c r="Q3768" i="16"/>
  <c r="R3768" i="16"/>
  <c r="L3769" i="16"/>
  <c r="C3769" i="16"/>
  <c r="K3769" i="16" s="1"/>
  <c r="E3769" i="16"/>
  <c r="F3769" i="16"/>
  <c r="O3769" i="16" s="1"/>
  <c r="G3769" i="16"/>
  <c r="I3769" i="16"/>
  <c r="B3770" i="16"/>
  <c r="U3713" i="16"/>
  <c r="S3713" i="16"/>
  <c r="T3713" i="16" s="1"/>
  <c r="D3714" i="16"/>
  <c r="J3714" i="16"/>
  <c r="P3714" i="16"/>
  <c r="Q3714" i="16"/>
  <c r="R3714" i="16"/>
  <c r="L3715" i="16"/>
  <c r="C3715" i="16"/>
  <c r="E3715" i="16"/>
  <c r="G3715" i="16"/>
  <c r="I3715" i="16"/>
  <c r="B3716" i="16"/>
  <c r="U3659" i="16"/>
  <c r="S3659" i="16"/>
  <c r="T3659" i="16" s="1"/>
  <c r="P3660" i="16"/>
  <c r="Q3660" i="16"/>
  <c r="R3660" i="16"/>
  <c r="L3661" i="16"/>
  <c r="C3661" i="16"/>
  <c r="K3661" i="16" s="1"/>
  <c r="E3661" i="16"/>
  <c r="F3661" i="16"/>
  <c r="O3661" i="16" s="1"/>
  <c r="G3661" i="16"/>
  <c r="B3662" i="16"/>
  <c r="I3661" i="16"/>
  <c r="D3660" i="16"/>
  <c r="J3660"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P3498" i="16"/>
  <c r="Q3498" i="16"/>
  <c r="R3498" i="16"/>
  <c r="L3499" i="16"/>
  <c r="I3499" i="16"/>
  <c r="C3499" i="16"/>
  <c r="E3499" i="16"/>
  <c r="B3500" i="16"/>
  <c r="G3499" i="16"/>
  <c r="D3498" i="16"/>
  <c r="J3498" i="16"/>
  <c r="S3443" i="16"/>
  <c r="T3443" i="16" s="1"/>
  <c r="U3443" i="16"/>
  <c r="M3444" i="16"/>
  <c r="D3444" i="16"/>
  <c r="J3444" i="16"/>
  <c r="N3444" i="16" s="1"/>
  <c r="P3444" i="16"/>
  <c r="Q3444" i="16"/>
  <c r="R3444" i="16"/>
  <c r="L3445" i="16"/>
  <c r="C3445" i="16"/>
  <c r="E3445" i="16"/>
  <c r="G3445" i="16"/>
  <c r="I3445" i="16"/>
  <c r="B3446" i="16"/>
  <c r="U3389" i="16"/>
  <c r="S3389" i="16"/>
  <c r="T3389" i="16" s="1"/>
  <c r="M3390" i="16"/>
  <c r="D3390" i="16"/>
  <c r="J3390" i="16"/>
  <c r="N3390" i="16" s="1"/>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M3228" i="16"/>
  <c r="P3228" i="16"/>
  <c r="Q3228" i="16"/>
  <c r="R3228" i="16"/>
  <c r="D3228" i="16"/>
  <c r="J3228" i="16"/>
  <c r="N3228" i="16" s="1"/>
  <c r="L3229" i="16"/>
  <c r="C3229" i="16"/>
  <c r="E3229" i="16"/>
  <c r="G3229" i="16"/>
  <c r="I3229" i="16"/>
  <c r="B3230" i="16"/>
  <c r="M3174" i="16"/>
  <c r="D3174" i="16"/>
  <c r="J3174" i="16"/>
  <c r="N3174" i="16" s="1"/>
  <c r="P3174" i="16"/>
  <c r="Q3174" i="16"/>
  <c r="R3174" i="16"/>
  <c r="L3175" i="16"/>
  <c r="C3175" i="16"/>
  <c r="K3175" i="16" s="1"/>
  <c r="E3175" i="16"/>
  <c r="F3175" i="16"/>
  <c r="O3175" i="16" s="1"/>
  <c r="G3175" i="16"/>
  <c r="I3175" i="16"/>
  <c r="B3176" i="16"/>
  <c r="D3120" i="16"/>
  <c r="J3120" i="16"/>
  <c r="P3120" i="16"/>
  <c r="Q3120" i="16"/>
  <c r="R3120" i="16"/>
  <c r="L3121" i="16"/>
  <c r="C3121" i="16"/>
  <c r="K3121" i="16" s="1"/>
  <c r="E3121" i="16"/>
  <c r="F3121" i="16"/>
  <c r="O3121" i="16" s="1"/>
  <c r="G3121" i="16"/>
  <c r="I3121" i="16"/>
  <c r="B3122" i="16"/>
  <c r="U3065" i="16"/>
  <c r="S3065" i="16"/>
  <c r="T3065" i="16" s="1"/>
  <c r="M3066" i="16"/>
  <c r="L3067" i="16"/>
  <c r="E3067" i="16"/>
  <c r="G3067" i="16"/>
  <c r="I3067" i="16"/>
  <c r="B3068" i="16"/>
  <c r="C3067" i="16"/>
  <c r="K3067" i="16" s="1"/>
  <c r="F3067" i="16"/>
  <c r="O3067" i="16" s="1"/>
  <c r="D3066" i="16"/>
  <c r="J3066" i="16"/>
  <c r="N3066" i="16" s="1"/>
  <c r="P3066" i="16"/>
  <c r="Q3066" i="16"/>
  <c r="R3066" i="16"/>
  <c r="U3011" i="16"/>
  <c r="S3011" i="16"/>
  <c r="T3011" i="16" s="1"/>
  <c r="M3012" i="16"/>
  <c r="P3012" i="16"/>
  <c r="Q3012" i="16"/>
  <c r="R3012" i="16"/>
  <c r="J3012" i="16"/>
  <c r="N3012" i="16" s="1"/>
  <c r="D3012" i="16"/>
  <c r="L3013" i="16"/>
  <c r="I3013" i="16"/>
  <c r="B3014" i="16"/>
  <c r="C3013" i="16"/>
  <c r="K3013" i="16" s="1"/>
  <c r="E3013" i="16"/>
  <c r="F3013" i="16"/>
  <c r="O3013" i="16" s="1"/>
  <c r="G3013" i="16"/>
  <c r="U2957" i="16"/>
  <c r="S2957" i="16"/>
  <c r="T2957" i="16" s="1"/>
  <c r="M2958" i="16"/>
  <c r="D2958" i="16"/>
  <c r="J2958" i="16"/>
  <c r="N2958" i="16" s="1"/>
  <c r="P2958" i="16"/>
  <c r="Q2958" i="16"/>
  <c r="R2958" i="16"/>
  <c r="L2959" i="16"/>
  <c r="C2959" i="16"/>
  <c r="K2959" i="16" s="1"/>
  <c r="E2959" i="16"/>
  <c r="F2959" i="16"/>
  <c r="O2959" i="16" s="1"/>
  <c r="G2959" i="16"/>
  <c r="I2959" i="16"/>
  <c r="B2960" i="16"/>
  <c r="U2903" i="16"/>
  <c r="S2903" i="16"/>
  <c r="T2903" i="16" s="1"/>
  <c r="D2904" i="16"/>
  <c r="J2904" i="16"/>
  <c r="P2904" i="16"/>
  <c r="Q2904" i="16"/>
  <c r="R2904" i="16"/>
  <c r="L2905" i="16"/>
  <c r="C2905" i="16"/>
  <c r="K2905" i="16" s="1"/>
  <c r="E2905" i="16"/>
  <c r="F2905" i="16"/>
  <c r="O2905" i="16" s="1"/>
  <c r="G2905" i="16"/>
  <c r="I2905" i="16"/>
  <c r="B2906" i="16"/>
  <c r="D2850" i="16"/>
  <c r="J2850" i="16"/>
  <c r="P2850" i="16"/>
  <c r="Q2850" i="16"/>
  <c r="R2850" i="16"/>
  <c r="L2851" i="16"/>
  <c r="E2851" i="16"/>
  <c r="G2851" i="16"/>
  <c r="C2851" i="16"/>
  <c r="B2852" i="16"/>
  <c r="I2851" i="16"/>
  <c r="L2797" i="16"/>
  <c r="G2797" i="16"/>
  <c r="B2798" i="16"/>
  <c r="I2797" i="16"/>
  <c r="C2797" i="16"/>
  <c r="E2797" i="16"/>
  <c r="P2796" i="16"/>
  <c r="Q2796" i="16"/>
  <c r="R2796" i="16"/>
  <c r="J2796" i="16"/>
  <c r="D2796"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P2688" i="16"/>
  <c r="Q2688" i="16"/>
  <c r="R2688" i="16"/>
  <c r="L2689" i="16"/>
  <c r="G2689" i="16"/>
  <c r="C2689" i="16"/>
  <c r="E2689" i="16"/>
  <c r="I2689" i="16"/>
  <c r="B2690" i="16"/>
  <c r="D2688" i="16"/>
  <c r="J2688" i="16"/>
  <c r="U2633" i="16"/>
  <c r="S2633" i="16"/>
  <c r="T2633" i="16" s="1"/>
  <c r="J2634" i="16"/>
  <c r="D2634" i="16"/>
  <c r="P2634" i="16"/>
  <c r="Q2634" i="16"/>
  <c r="R2634" i="16"/>
  <c r="L2635" i="16"/>
  <c r="C2635" i="16"/>
  <c r="K2635" i="16" s="1"/>
  <c r="B2636" i="16"/>
  <c r="I2635" i="16"/>
  <c r="E2635" i="16"/>
  <c r="F2635" i="16"/>
  <c r="O2635" i="16" s="1"/>
  <c r="G2635" i="16"/>
  <c r="L2581" i="16"/>
  <c r="G2581" i="16"/>
  <c r="I2581" i="16"/>
  <c r="C2581" i="16"/>
  <c r="B2582" i="16"/>
  <c r="E2581" i="16"/>
  <c r="D2580" i="16"/>
  <c r="J2580" i="16"/>
  <c r="P2580" i="16"/>
  <c r="Q2580" i="16"/>
  <c r="R2580" i="16"/>
  <c r="U2525" i="16"/>
  <c r="S2525" i="16"/>
  <c r="T2525" i="16" s="1"/>
  <c r="M2526" i="16"/>
  <c r="D2526" i="16"/>
  <c r="J2526" i="16"/>
  <c r="N2526" i="16" s="1"/>
  <c r="P2526" i="16"/>
  <c r="Q2526" i="16"/>
  <c r="R2526" i="16"/>
  <c r="L2527" i="16"/>
  <c r="C2527" i="16"/>
  <c r="E2527" i="16"/>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D2418" i="16"/>
  <c r="J2418" i="16"/>
  <c r="P2418" i="16"/>
  <c r="Q2418" i="16"/>
  <c r="R2418" i="16"/>
  <c r="L2419" i="16"/>
  <c r="C2419" i="16"/>
  <c r="K2419" i="16" s="1"/>
  <c r="E2419" i="16"/>
  <c r="F2419" i="16"/>
  <c r="O2419" i="16" s="1"/>
  <c r="G2419" i="16"/>
  <c r="I2419" i="16"/>
  <c r="B2420" i="16"/>
  <c r="D2364" i="16"/>
  <c r="J2364" i="16"/>
  <c r="P2364" i="16"/>
  <c r="Q2364" i="16"/>
  <c r="R2364" i="16"/>
  <c r="L2365" i="16"/>
  <c r="C2365" i="16"/>
  <c r="E2365" i="16"/>
  <c r="G2365" i="16"/>
  <c r="I2365" i="16"/>
  <c r="B2366" i="16"/>
  <c r="M2310" i="16"/>
  <c r="D2310" i="16"/>
  <c r="J2310" i="16"/>
  <c r="N2310" i="16" s="1"/>
  <c r="P2310" i="16"/>
  <c r="Q2310" i="16"/>
  <c r="R2310" i="16"/>
  <c r="L2311" i="16"/>
  <c r="C2311" i="16"/>
  <c r="E2311" i="16"/>
  <c r="G2311" i="16"/>
  <c r="I2311" i="16"/>
  <c r="B2312" i="16"/>
  <c r="U2255" i="16"/>
  <c r="S2255" i="16"/>
  <c r="T2255" i="16" s="1"/>
  <c r="M2256" i="16"/>
  <c r="D2256" i="16"/>
  <c r="J2256" i="16"/>
  <c r="N2256" i="16" s="1"/>
  <c r="P2256" i="16"/>
  <c r="Q2256" i="16"/>
  <c r="R2256" i="16"/>
  <c r="L2257" i="16"/>
  <c r="C2257" i="16"/>
  <c r="E2257" i="16"/>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U2147" i="16"/>
  <c r="S2147" i="16"/>
  <c r="T2147" i="16" s="1"/>
  <c r="M2148" i="16"/>
  <c r="D2148" i="16"/>
  <c r="J2148" i="16"/>
  <c r="N2148" i="16" s="1"/>
  <c r="P2148" i="16"/>
  <c r="Q2148" i="16"/>
  <c r="R2148" i="16"/>
  <c r="L2149" i="16"/>
  <c r="C2149" i="16"/>
  <c r="E2149" i="16"/>
  <c r="G2149" i="16"/>
  <c r="I2149" i="16"/>
  <c r="B2150" i="16"/>
  <c r="U2093" i="16"/>
  <c r="S2093" i="16"/>
  <c r="T2093" i="16" s="1"/>
  <c r="M2094" i="16"/>
  <c r="D2094" i="16"/>
  <c r="J2094" i="16"/>
  <c r="N2094" i="16" s="1"/>
  <c r="P2094" i="16"/>
  <c r="Q2094" i="16"/>
  <c r="R2094" i="16"/>
  <c r="L2095" i="16"/>
  <c r="C2095" i="16"/>
  <c r="E2095" i="16"/>
  <c r="G2095" i="16"/>
  <c r="I2095" i="16"/>
  <c r="B2096" i="16"/>
  <c r="U2039" i="16"/>
  <c r="S2039" i="16"/>
  <c r="T2039" i="16" s="1"/>
  <c r="M2040" i="16"/>
  <c r="D2040" i="16"/>
  <c r="J2040" i="16"/>
  <c r="N2040" i="16" s="1"/>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E1987" i="16"/>
  <c r="G1987" i="16"/>
  <c r="I1987" i="16"/>
  <c r="B1988" i="16"/>
  <c r="U1931" i="16"/>
  <c r="S1931" i="16"/>
  <c r="T1931" i="16" s="1"/>
  <c r="M1932" i="16"/>
  <c r="D1932" i="16"/>
  <c r="J1932" i="16"/>
  <c r="N1932" i="16" s="1"/>
  <c r="P1932" i="16"/>
  <c r="Q1932" i="16"/>
  <c r="R1932" i="16"/>
  <c r="L1933" i="16"/>
  <c r="C1933" i="16"/>
  <c r="K1933" i="16" s="1"/>
  <c r="E1933" i="16"/>
  <c r="F1933" i="16"/>
  <c r="O1933" i="16" s="1"/>
  <c r="G1933" i="16"/>
  <c r="I1933" i="16"/>
  <c r="B1934" i="16"/>
  <c r="U1877" i="16"/>
  <c r="S1877" i="16"/>
  <c r="T1877" i="16" s="1"/>
  <c r="D1878" i="16"/>
  <c r="J1878" i="16"/>
  <c r="P1878" i="16"/>
  <c r="Q1878" i="16"/>
  <c r="R1878" i="16"/>
  <c r="L1879" i="16"/>
  <c r="C1879" i="16"/>
  <c r="K1879" i="16" s="1"/>
  <c r="E1879" i="16"/>
  <c r="F1879" i="16"/>
  <c r="O1879" i="16" s="1"/>
  <c r="G1879" i="16"/>
  <c r="I1879" i="16"/>
  <c r="B1880" i="16"/>
  <c r="D1824" i="16"/>
  <c r="J1824" i="16"/>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E1771" i="16"/>
  <c r="G1771" i="16"/>
  <c r="I1771" i="16"/>
  <c r="B1772" i="16"/>
  <c r="U1715" i="16"/>
  <c r="S1715" i="16"/>
  <c r="T1715" i="16" s="1"/>
  <c r="M1716" i="16"/>
  <c r="D1716" i="16"/>
  <c r="J1716" i="16"/>
  <c r="N1716" i="16" s="1"/>
  <c r="P1716" i="16"/>
  <c r="Q1716" i="16"/>
  <c r="R1716" i="16"/>
  <c r="L1717" i="16"/>
  <c r="C1717" i="16"/>
  <c r="E1717" i="16"/>
  <c r="G1717" i="16"/>
  <c r="I1717" i="16"/>
  <c r="B1718" i="16"/>
  <c r="S1661" i="16"/>
  <c r="T1661" i="16" s="1"/>
  <c r="U1661" i="16"/>
  <c r="M1662" i="16"/>
  <c r="D1662" i="16"/>
  <c r="J1662" i="16"/>
  <c r="N1662" i="16" s="1"/>
  <c r="P1662" i="16"/>
  <c r="Q1662" i="16"/>
  <c r="R1662" i="16"/>
  <c r="L1663" i="16"/>
  <c r="C1663" i="16"/>
  <c r="K1663" i="16" s="1"/>
  <c r="E1663" i="16"/>
  <c r="F1663" i="16"/>
  <c r="O1663" i="16" s="1"/>
  <c r="G1663" i="16"/>
  <c r="I1663" i="16"/>
  <c r="B1664" i="16"/>
  <c r="M1608" i="16"/>
  <c r="D1608" i="16"/>
  <c r="J1608" i="16"/>
  <c r="N1608" i="16" s="1"/>
  <c r="P1608" i="16"/>
  <c r="Q1608" i="16"/>
  <c r="R1608" i="16"/>
  <c r="L1609" i="16"/>
  <c r="C1609" i="16"/>
  <c r="K1609" i="16" s="1"/>
  <c r="E1609" i="16"/>
  <c r="F1609" i="16"/>
  <c r="O1609" i="16" s="1"/>
  <c r="G1609" i="16"/>
  <c r="I1609" i="16"/>
  <c r="B1610" i="16"/>
  <c r="U1553" i="16"/>
  <c r="S1553" i="16"/>
  <c r="T1553" i="16" s="1"/>
  <c r="D1554" i="16"/>
  <c r="J1554" i="16"/>
  <c r="P1554" i="16"/>
  <c r="Q1554" i="16"/>
  <c r="R1554" i="16"/>
  <c r="L1555" i="16"/>
  <c r="C1555" i="16"/>
  <c r="K1555" i="16" s="1"/>
  <c r="E1555" i="16"/>
  <c r="F1555" i="16"/>
  <c r="O1555" i="16" s="1"/>
  <c r="G1555" i="16"/>
  <c r="I1555" i="16"/>
  <c r="B1556" i="16"/>
  <c r="U1499" i="16"/>
  <c r="S1499" i="16"/>
  <c r="T1499" i="16" s="1"/>
  <c r="M1500" i="16"/>
  <c r="L1501" i="16"/>
  <c r="B1502" i="16"/>
  <c r="I1501" i="16"/>
  <c r="C1501" i="16"/>
  <c r="G1501" i="16"/>
  <c r="E1501" i="16"/>
  <c r="P1500" i="16"/>
  <c r="Q1500" i="16"/>
  <c r="R1500" i="16"/>
  <c r="D1500" i="16"/>
  <c r="J1500" i="16"/>
  <c r="N1500" i="16" s="1"/>
  <c r="S1445" i="16"/>
  <c r="T1445" i="16" s="1"/>
  <c r="U1445" i="16"/>
  <c r="D1446" i="16"/>
  <c r="J1446" i="16"/>
  <c r="L1447" i="16"/>
  <c r="G1447" i="16"/>
  <c r="B1448" i="16"/>
  <c r="I1447" i="16"/>
  <c r="E1447" i="16"/>
  <c r="C1447" i="16"/>
  <c r="P1446" i="16"/>
  <c r="Q1446" i="16"/>
  <c r="R1446" i="16"/>
  <c r="M1392" i="16"/>
  <c r="D1392" i="16"/>
  <c r="J1392" i="16"/>
  <c r="N1392" i="16" s="1"/>
  <c r="L1393" i="16"/>
  <c r="G1393" i="16"/>
  <c r="B1394" i="16"/>
  <c r="I1393" i="16"/>
  <c r="E1393" i="16"/>
  <c r="C1393" i="16"/>
  <c r="P1392" i="16"/>
  <c r="Q1392" i="16"/>
  <c r="R1392" i="16"/>
  <c r="L1339" i="16"/>
  <c r="E1339" i="16"/>
  <c r="G1339" i="16"/>
  <c r="I1339" i="16"/>
  <c r="B1340" i="16"/>
  <c r="C1339" i="16"/>
  <c r="J1338" i="16"/>
  <c r="D1338" i="16"/>
  <c r="P1338" i="16"/>
  <c r="Q1338" i="16"/>
  <c r="R1338" i="16"/>
  <c r="U1283" i="16"/>
  <c r="S1283" i="16"/>
  <c r="T1283" i="16" s="1"/>
  <c r="D1284" i="16"/>
  <c r="J1284" i="16"/>
  <c r="P1284" i="16"/>
  <c r="Q1284" i="16"/>
  <c r="R1284" i="16"/>
  <c r="L1285" i="16"/>
  <c r="E1285" i="16"/>
  <c r="C1285" i="16"/>
  <c r="B1286" i="16"/>
  <c r="G1285" i="16"/>
  <c r="I1285" i="16"/>
  <c r="P1230" i="16"/>
  <c r="Q1230" i="16"/>
  <c r="R1230" i="16"/>
  <c r="J1230" i="16"/>
  <c r="D1230" i="16"/>
  <c r="G1231" i="16"/>
  <c r="I1231" i="16"/>
  <c r="C1231" i="16"/>
  <c r="B1232" i="16"/>
  <c r="L1231" i="16"/>
  <c r="E1231" i="16"/>
  <c r="U1175" i="16"/>
  <c r="S1175" i="16"/>
  <c r="T1175" i="16" s="1"/>
  <c r="M1176" i="16"/>
  <c r="D1176" i="16"/>
  <c r="J1176" i="16"/>
  <c r="N1176" i="16" s="1"/>
  <c r="P1176" i="16"/>
  <c r="Q1176" i="16"/>
  <c r="R1176" i="16"/>
  <c r="L1177" i="16"/>
  <c r="C1177" i="16"/>
  <c r="E1177" i="16"/>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M1068" i="16"/>
  <c r="D1068" i="16"/>
  <c r="J1068" i="16"/>
  <c r="N1068" i="16" s="1"/>
  <c r="P1068" i="16"/>
  <c r="Q1068" i="16"/>
  <c r="R1068" i="16"/>
  <c r="L1069" i="16"/>
  <c r="C1069" i="16"/>
  <c r="K1069" i="16" s="1"/>
  <c r="E1069" i="16"/>
  <c r="F1069" i="16"/>
  <c r="O1069" i="16" s="1"/>
  <c r="G1069" i="16"/>
  <c r="I1069" i="16"/>
  <c r="B1070" i="16"/>
  <c r="U1013" i="16"/>
  <c r="S1013" i="16"/>
  <c r="T1013" i="16" s="1"/>
  <c r="M1014" i="16"/>
  <c r="D1014" i="16"/>
  <c r="J1014" i="16"/>
  <c r="N1014" i="16" s="1"/>
  <c r="P1014" i="16"/>
  <c r="Q1014" i="16"/>
  <c r="R1014" i="16"/>
  <c r="L1015" i="16"/>
  <c r="E1015" i="16"/>
  <c r="I1015" i="16"/>
  <c r="C1015" i="16"/>
  <c r="K1015" i="16" s="1"/>
  <c r="B1016" i="16"/>
  <c r="G1015" i="16"/>
  <c r="F1015" i="16"/>
  <c r="O1015" i="16" s="1"/>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E907" i="16"/>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U797" i="16"/>
  <c r="S797" i="16"/>
  <c r="T797" i="16" s="1"/>
  <c r="D798" i="16"/>
  <c r="J798" i="16"/>
  <c r="P798" i="16"/>
  <c r="Q798" i="16"/>
  <c r="R798" i="16"/>
  <c r="L799" i="16"/>
  <c r="C799" i="16"/>
  <c r="K799" i="16" s="1"/>
  <c r="E799" i="16"/>
  <c r="F799" i="16"/>
  <c r="O799" i="16" s="1"/>
  <c r="G799" i="16"/>
  <c r="I799" i="16"/>
  <c r="B800"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E637" i="16"/>
  <c r="G637" i="16"/>
  <c r="I637" i="16"/>
  <c r="B638" i="16"/>
  <c r="U581" i="16"/>
  <c r="S581" i="16"/>
  <c r="T581" i="16" s="1"/>
  <c r="M582" i="16"/>
  <c r="D582" i="16"/>
  <c r="J582" i="16"/>
  <c r="N582" i="16" s="1"/>
  <c r="P582" i="16"/>
  <c r="Q582" i="16"/>
  <c r="R582" i="16"/>
  <c r="L583" i="16"/>
  <c r="C583" i="16"/>
  <c r="K583" i="16" s="1"/>
  <c r="E583" i="16"/>
  <c r="F583" i="16"/>
  <c r="O583" i="16" s="1"/>
  <c r="G583" i="16"/>
  <c r="I583" i="16"/>
  <c r="B584" i="16"/>
  <c r="M528" i="16"/>
  <c r="D528" i="16"/>
  <c r="J528" i="16"/>
  <c r="N528" i="16" s="1"/>
  <c r="P528" i="16"/>
  <c r="Q528" i="16"/>
  <c r="R528" i="16"/>
  <c r="L529" i="16"/>
  <c r="C529" i="16"/>
  <c r="K529" i="16" s="1"/>
  <c r="E529" i="16"/>
  <c r="F529" i="16"/>
  <c r="O529" i="16" s="1"/>
  <c r="G529" i="16"/>
  <c r="I529" i="16"/>
  <c r="B530" i="16"/>
  <c r="U473" i="16"/>
  <c r="S473" i="16"/>
  <c r="T473" i="16" s="1"/>
  <c r="D474" i="16"/>
  <c r="J474" i="16"/>
  <c r="P474" i="16"/>
  <c r="Q474" i="16"/>
  <c r="R474" i="16"/>
  <c r="L475" i="16"/>
  <c r="C475" i="16"/>
  <c r="K475" i="16" s="1"/>
  <c r="E475" i="16"/>
  <c r="F475" i="16"/>
  <c r="O475" i="16" s="1"/>
  <c r="G475" i="16"/>
  <c r="I475" i="16"/>
  <c r="B476" i="16"/>
  <c r="U419" i="16"/>
  <c r="S419" i="16"/>
  <c r="T419" i="16" s="1"/>
  <c r="D420" i="16"/>
  <c r="J420" i="16"/>
  <c r="P420" i="16"/>
  <c r="Q420" i="16"/>
  <c r="R420" i="16"/>
  <c r="L421" i="16"/>
  <c r="C421" i="16"/>
  <c r="E421" i="16"/>
  <c r="G421" i="16"/>
  <c r="I421" i="16"/>
  <c r="B422" i="16"/>
  <c r="U365" i="16"/>
  <c r="S365" i="16"/>
  <c r="T365" i="16" s="1"/>
  <c r="D366" i="16"/>
  <c r="M366" i="16" s="1"/>
  <c r="J366" i="16"/>
  <c r="P366" i="16"/>
  <c r="Q366" i="16"/>
  <c r="R366" i="16"/>
  <c r="L367" i="16"/>
  <c r="C367" i="16"/>
  <c r="K367" i="16" s="1"/>
  <c r="E367" i="16"/>
  <c r="F367" i="16"/>
  <c r="O367" i="16" s="1"/>
  <c r="G367" i="16"/>
  <c r="I367" i="16"/>
  <c r="B368" i="16"/>
  <c r="U311" i="16"/>
  <c r="S311" i="16"/>
  <c r="T311" i="16" s="1"/>
  <c r="M312" i="16"/>
  <c r="D312" i="16"/>
  <c r="J312" i="16"/>
  <c r="N312" i="16" s="1"/>
  <c r="P312" i="16"/>
  <c r="Q312" i="16"/>
  <c r="R312" i="16"/>
  <c r="L313" i="16"/>
  <c r="C313" i="16"/>
  <c r="K313" i="16" s="1"/>
  <c r="E313" i="16"/>
  <c r="F313" i="16"/>
  <c r="O313" i="16" s="1"/>
  <c r="G313" i="16"/>
  <c r="I313" i="16"/>
  <c r="B314" i="16"/>
  <c r="M258" i="16"/>
  <c r="D258" i="16"/>
  <c r="J258" i="16"/>
  <c r="N258" i="16" s="1"/>
  <c r="P258" i="16"/>
  <c r="Q258" i="16"/>
  <c r="R258" i="16"/>
  <c r="L259" i="16"/>
  <c r="C259" i="16"/>
  <c r="K259" i="16" s="1"/>
  <c r="E259" i="16"/>
  <c r="F259" i="16"/>
  <c r="O259" i="16" s="1"/>
  <c r="G259" i="16"/>
  <c r="I259" i="16"/>
  <c r="B260" i="16"/>
  <c r="U203" i="16"/>
  <c r="S203" i="16"/>
  <c r="T203" i="16" s="1"/>
  <c r="D204" i="16"/>
  <c r="J204" i="16"/>
  <c r="P204" i="16"/>
  <c r="Q204" i="16"/>
  <c r="R204" i="16"/>
  <c r="L205" i="16"/>
  <c r="C205" i="16"/>
  <c r="K205" i="16" s="1"/>
  <c r="E205" i="16"/>
  <c r="F205" i="16"/>
  <c r="O205" i="16" s="1"/>
  <c r="G205" i="16"/>
  <c r="I205" i="16"/>
  <c r="B206" i="16"/>
  <c r="U149" i="16"/>
  <c r="S149" i="16"/>
  <c r="T149" i="16" s="1"/>
  <c r="D150" i="16"/>
  <c r="J150" i="16"/>
  <c r="P150" i="16"/>
  <c r="Q150" i="16"/>
  <c r="R150" i="16"/>
  <c r="L151" i="16"/>
  <c r="C151" i="16"/>
  <c r="E151" i="16"/>
  <c r="G151" i="16"/>
  <c r="I151" i="16"/>
  <c r="B152" i="16"/>
  <c r="U95" i="16"/>
  <c r="S95" i="16"/>
  <c r="T95" i="16" s="1"/>
  <c r="M96" i="16"/>
  <c r="D96" i="16"/>
  <c r="J96" i="16"/>
  <c r="N96" i="16" s="1"/>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I35" i="4"/>
  <c r="B36" i="4"/>
  <c r="B35" i="5"/>
  <c r="AO16" i="4"/>
  <c r="B82" i="7"/>
  <c r="I82" i="7" s="1"/>
  <c r="AO15" i="4"/>
  <c r="AN17" i="4"/>
  <c r="AN18" i="4"/>
  <c r="AN19" i="4"/>
  <c r="AN20" i="4"/>
  <c r="AN21" i="4"/>
  <c r="AN22" i="4"/>
  <c r="AN23" i="4"/>
  <c r="AN24" i="4"/>
  <c r="AN25" i="4"/>
  <c r="AN26" i="4"/>
  <c r="AN27" i="4"/>
  <c r="AN28" i="4"/>
  <c r="AN29" i="4"/>
  <c r="AN30" i="4"/>
  <c r="AN31" i="4"/>
  <c r="AN32" i="4"/>
  <c r="AN33" i="4"/>
  <c r="AN34" i="4"/>
  <c r="AN35" i="4"/>
  <c r="U4228" i="16"/>
  <c r="S4228" i="16"/>
  <c r="T4228" i="16" s="1"/>
  <c r="U3712" i="16"/>
  <c r="S3712" i="16"/>
  <c r="T3712" i="16" s="1"/>
  <c r="U3658" i="16"/>
  <c r="S3658" i="16"/>
  <c r="T3658" i="16" s="1"/>
  <c r="S3442" i="16"/>
  <c r="T3442" i="16" s="1"/>
  <c r="U3442" i="16"/>
  <c r="U3226" i="16"/>
  <c r="S3226" i="16"/>
  <c r="T3226" i="16" s="1"/>
  <c r="U3172" i="16"/>
  <c r="S3172" i="16"/>
  <c r="T3172" i="16" s="1"/>
  <c r="U3118" i="16"/>
  <c r="S3118" i="16"/>
  <c r="T3118" i="16" s="1"/>
  <c r="U3064" i="16"/>
  <c r="S3064" i="16"/>
  <c r="T3064" i="16" s="1"/>
  <c r="U3010" i="16"/>
  <c r="S3010" i="16"/>
  <c r="T3010" i="16" s="1"/>
  <c r="U2956" i="16"/>
  <c r="S2956" i="16"/>
  <c r="T2956" i="16" s="1"/>
  <c r="U2848" i="16"/>
  <c r="S2848" i="16"/>
  <c r="T2848" i="16" s="1"/>
  <c r="U2740" i="16"/>
  <c r="S2740" i="16"/>
  <c r="T2740" i="16" s="1"/>
  <c r="U2686" i="16"/>
  <c r="S2686" i="16"/>
  <c r="T2686" i="16" s="1"/>
  <c r="U2362" i="16"/>
  <c r="S2362" i="16"/>
  <c r="T2362" i="16" s="1"/>
  <c r="U2200" i="16"/>
  <c r="S2200" i="16"/>
  <c r="T2200" i="16" s="1"/>
  <c r="U2146" i="16"/>
  <c r="S2146" i="16"/>
  <c r="T2146" i="16" s="1"/>
  <c r="U2092" i="16"/>
  <c r="S2092" i="16"/>
  <c r="T2092" i="16" s="1"/>
  <c r="U1876" i="16"/>
  <c r="S1876" i="16"/>
  <c r="T1876" i="16" s="1"/>
  <c r="S1660" i="16"/>
  <c r="T1660" i="16" s="1"/>
  <c r="U1660" i="16"/>
  <c r="U1606" i="16"/>
  <c r="S1606" i="16"/>
  <c r="T1606" i="16" s="1"/>
  <c r="U1444" i="16"/>
  <c r="S1444" i="16"/>
  <c r="T1444" i="16" s="1"/>
  <c r="U1336" i="16"/>
  <c r="S1336" i="16"/>
  <c r="T1336" i="16" s="1"/>
  <c r="U1282" i="16"/>
  <c r="S1282" i="16"/>
  <c r="T1282" i="16" s="1"/>
  <c r="U1066" i="16"/>
  <c r="S1066" i="16"/>
  <c r="T1066" i="16" s="1"/>
  <c r="U1012" i="16"/>
  <c r="S1012" i="16"/>
  <c r="T1012" i="16" s="1"/>
  <c r="U850" i="16"/>
  <c r="S850" i="16"/>
  <c r="T850" i="16" s="1"/>
  <c r="U796" i="16"/>
  <c r="S796" i="16"/>
  <c r="T796" i="16" s="1"/>
  <c r="U580" i="16"/>
  <c r="S580" i="16"/>
  <c r="T580" i="16" s="1"/>
  <c r="U526" i="16"/>
  <c r="S526" i="16"/>
  <c r="T526" i="16" s="1"/>
  <c r="U256" i="16"/>
  <c r="S256" i="16"/>
  <c r="T256" i="16" s="1"/>
  <c r="M4583" i="16"/>
  <c r="N4583" i="16"/>
  <c r="M4229" i="16"/>
  <c r="N4229" i="16"/>
  <c r="N4121" i="16"/>
  <c r="M4121" i="16"/>
  <c r="M3767" i="16"/>
  <c r="N3767" i="16"/>
  <c r="M3497" i="16"/>
  <c r="N3497" i="16"/>
  <c r="M3227" i="16"/>
  <c r="N3227" i="16"/>
  <c r="M3173" i="16"/>
  <c r="N3173" i="16"/>
  <c r="M3119" i="16"/>
  <c r="N3119" i="16"/>
  <c r="N2849" i="16"/>
  <c r="M2849" i="16"/>
  <c r="N2795" i="16"/>
  <c r="S2795" i="16" s="1"/>
  <c r="T2795" i="16" s="1"/>
  <c r="U2795" i="16" s="1"/>
  <c r="M2795" i="16"/>
  <c r="N2579" i="16"/>
  <c r="M2579" i="16"/>
  <c r="M2363" i="16"/>
  <c r="N2363" i="16"/>
  <c r="M2309" i="16"/>
  <c r="N2309" i="16"/>
  <c r="M1823" i="16"/>
  <c r="N1823" i="16"/>
  <c r="M1607" i="16"/>
  <c r="N1607" i="16"/>
  <c r="M1391" i="16"/>
  <c r="N1391" i="16"/>
  <c r="N1337" i="16"/>
  <c r="M1337" i="16"/>
  <c r="M1229" i="16"/>
  <c r="N1229" i="16"/>
  <c r="M1067" i="16"/>
  <c r="N1067" i="16"/>
  <c r="M527" i="16"/>
  <c r="N527" i="16"/>
  <c r="M257" i="16"/>
  <c r="N257" i="16"/>
  <c r="F4176" i="16"/>
  <c r="O4176" i="16" s="1"/>
  <c r="K4176" i="16"/>
  <c r="F3714" i="16"/>
  <c r="O3714" i="16" s="1"/>
  <c r="K3714" i="16"/>
  <c r="K3660" i="16"/>
  <c r="F3660" i="16"/>
  <c r="O3660" i="16" s="1"/>
  <c r="F3498" i="16"/>
  <c r="O3498" i="16" s="1"/>
  <c r="K3498" i="16"/>
  <c r="K3120" i="16"/>
  <c r="F3120" i="16"/>
  <c r="O3120" i="16" s="1"/>
  <c r="K2904" i="16"/>
  <c r="F2904" i="16"/>
  <c r="O2904" i="16" s="1"/>
  <c r="F2850" i="16"/>
  <c r="O2850" i="16" s="1"/>
  <c r="K2850" i="16"/>
  <c r="F2796" i="16"/>
  <c r="O2796" i="16" s="1"/>
  <c r="K2796" i="16"/>
  <c r="K2688" i="16"/>
  <c r="F2688" i="16"/>
  <c r="O2688" i="16" s="1"/>
  <c r="F2634" i="16"/>
  <c r="O2634" i="16" s="1"/>
  <c r="K2634" i="16"/>
  <c r="F2580" i="16"/>
  <c r="O2580" i="16" s="1"/>
  <c r="K2580" i="16"/>
  <c r="F2418" i="16"/>
  <c r="O2418" i="16" s="1"/>
  <c r="K2418" i="16"/>
  <c r="F2364" i="16"/>
  <c r="O2364" i="16" s="1"/>
  <c r="K2364" i="16"/>
  <c r="K1878" i="16"/>
  <c r="F1878" i="16"/>
  <c r="O1878" i="16" s="1"/>
  <c r="K1824" i="16"/>
  <c r="F1824" i="16"/>
  <c r="O1824" i="16" s="1"/>
  <c r="K1554" i="16"/>
  <c r="F1554" i="16"/>
  <c r="O1554" i="16" s="1"/>
  <c r="F1446" i="16"/>
  <c r="O1446" i="16" s="1"/>
  <c r="K1446" i="16"/>
  <c r="K1338" i="16"/>
  <c r="F1338" i="16"/>
  <c r="O1338" i="16" s="1"/>
  <c r="K1284" i="16"/>
  <c r="F1284" i="16"/>
  <c r="O1284" i="16" s="1"/>
  <c r="K1230" i="16"/>
  <c r="F1230" i="16"/>
  <c r="O1230" i="16" s="1"/>
  <c r="F798" i="16"/>
  <c r="O798" i="16" s="1"/>
  <c r="K798" i="16"/>
  <c r="K474" i="16"/>
  <c r="F474" i="16"/>
  <c r="O474" i="16" s="1"/>
  <c r="F420" i="16"/>
  <c r="O420" i="16" s="1"/>
  <c r="K420" i="16"/>
  <c r="F204" i="16"/>
  <c r="O204" i="16" s="1"/>
  <c r="K204" i="16"/>
  <c r="F150" i="16"/>
  <c r="O150" i="16" s="1"/>
  <c r="K150" i="16"/>
  <c r="F33" i="5"/>
  <c r="G33" i="5"/>
  <c r="H33" i="5"/>
  <c r="N366" i="16" l="1"/>
  <c r="K2149" i="16"/>
  <c r="F2149" i="16"/>
  <c r="O2149" i="16" s="1"/>
  <c r="K2095" i="16"/>
  <c r="F2095" i="16"/>
  <c r="O2095" i="16" s="1"/>
  <c r="F1447" i="16"/>
  <c r="O1447" i="16" s="1"/>
  <c r="K1447" i="16"/>
  <c r="K1285" i="16"/>
  <c r="F1285" i="16"/>
  <c r="O1285" i="16" s="1"/>
  <c r="K1231" i="16"/>
  <c r="F1231" i="16"/>
  <c r="O1231" i="16" s="1"/>
  <c r="K637" i="16"/>
  <c r="F637" i="16"/>
  <c r="O637" i="16" s="1"/>
  <c r="S4692" i="16"/>
  <c r="U4692" i="16"/>
  <c r="D4693" i="16"/>
  <c r="M4693" i="16" s="1"/>
  <c r="J4693" i="16"/>
  <c r="P4693" i="16"/>
  <c r="Q4693" i="16"/>
  <c r="R4693" i="16"/>
  <c r="L4694" i="16"/>
  <c r="C4694" i="16"/>
  <c r="K4694" i="16" s="1"/>
  <c r="E4694" i="16"/>
  <c r="F4694" i="16"/>
  <c r="G4694" i="16"/>
  <c r="I4694" i="16"/>
  <c r="B4695" i="16"/>
  <c r="P4639" i="16"/>
  <c r="Q4639" i="16"/>
  <c r="R4639" i="16"/>
  <c r="C4640" i="16"/>
  <c r="D4640" i="16" s="1"/>
  <c r="E4640" i="16"/>
  <c r="F4640" i="16"/>
  <c r="O4640" i="16" s="1"/>
  <c r="G4640" i="16"/>
  <c r="B4641" i="16"/>
  <c r="D4585" i="16"/>
  <c r="J4585" i="16"/>
  <c r="P4585" i="16"/>
  <c r="Q4585" i="16"/>
  <c r="R4585" i="16"/>
  <c r="L4586" i="16"/>
  <c r="C4586" i="16"/>
  <c r="K4586" i="16" s="1"/>
  <c r="E4586" i="16"/>
  <c r="F4586" i="16"/>
  <c r="G4586" i="16"/>
  <c r="I4586" i="16"/>
  <c r="B4587" i="16"/>
  <c r="D4531" i="16"/>
  <c r="M4531" i="16" s="1"/>
  <c r="N4531" i="16" s="1"/>
  <c r="J4531" i="16"/>
  <c r="P4531" i="16"/>
  <c r="Q4531" i="16"/>
  <c r="R4531" i="16"/>
  <c r="C4532" i="16"/>
  <c r="E4532" i="16"/>
  <c r="F4532" i="16"/>
  <c r="G4532" i="16"/>
  <c r="K4532" i="16"/>
  <c r="I4532" i="16"/>
  <c r="L4532" i="16"/>
  <c r="B4533" i="16"/>
  <c r="U4230" i="16"/>
  <c r="S4230" i="16"/>
  <c r="T4230" i="16" s="1"/>
  <c r="D4231" i="16"/>
  <c r="J4231" i="16"/>
  <c r="P4231" i="16"/>
  <c r="Q4231" i="16"/>
  <c r="R4231" i="16"/>
  <c r="L4232" i="16"/>
  <c r="C4232" i="16"/>
  <c r="E4232" i="16"/>
  <c r="G4232" i="16"/>
  <c r="I4232" i="16"/>
  <c r="B4233" i="16"/>
  <c r="P4177" i="16"/>
  <c r="Q4177" i="16"/>
  <c r="R4177" i="16"/>
  <c r="J4177" i="16"/>
  <c r="D4177" i="16"/>
  <c r="M4177" i="16" s="1"/>
  <c r="C4178" i="16"/>
  <c r="F4178" i="16" s="1"/>
  <c r="O4178" i="16" s="1"/>
  <c r="E4178" i="16"/>
  <c r="G4178" i="16"/>
  <c r="K4178" i="16"/>
  <c r="L4178" i="16"/>
  <c r="B4179" i="16"/>
  <c r="I4178" i="16"/>
  <c r="J4123" i="16"/>
  <c r="D4123" i="16"/>
  <c r="M4123" i="16" s="1"/>
  <c r="P4123" i="16"/>
  <c r="R4123" i="16"/>
  <c r="Q4123" i="16"/>
  <c r="C4124" i="16"/>
  <c r="F4124" i="16" s="1"/>
  <c r="O4124" i="16" s="1"/>
  <c r="E4124" i="16"/>
  <c r="G4124" i="16"/>
  <c r="K4124" i="16"/>
  <c r="I4124" i="16"/>
  <c r="L4124" i="16"/>
  <c r="B4125" i="16"/>
  <c r="U4122" i="16"/>
  <c r="S4122" i="16"/>
  <c r="T4122" i="16" s="1"/>
  <c r="U4068" i="16"/>
  <c r="S4068" i="16"/>
  <c r="T4068" i="16" s="1"/>
  <c r="D4069" i="16"/>
  <c r="M4069" i="16" s="1"/>
  <c r="N4069" i="16" s="1"/>
  <c r="J4069" i="16"/>
  <c r="P4069" i="16"/>
  <c r="Q4069" i="16"/>
  <c r="R4069" i="16"/>
  <c r="L4070" i="16"/>
  <c r="C4070" i="16"/>
  <c r="K4070" i="16" s="1"/>
  <c r="E4070" i="16"/>
  <c r="F4070" i="16"/>
  <c r="O4070" i="16" s="1"/>
  <c r="G4070" i="16"/>
  <c r="I4070" i="16"/>
  <c r="B4071" i="16"/>
  <c r="U3768" i="16"/>
  <c r="S3768" i="16"/>
  <c r="T3768" i="16" s="1"/>
  <c r="M3769" i="16"/>
  <c r="D3769" i="16"/>
  <c r="J3769" i="16"/>
  <c r="N3769" i="16" s="1"/>
  <c r="P3769" i="16"/>
  <c r="Q3769" i="16"/>
  <c r="R3769" i="16"/>
  <c r="L3770" i="16"/>
  <c r="C3770" i="16"/>
  <c r="K3770" i="16" s="1"/>
  <c r="E3770" i="16"/>
  <c r="F3770" i="16"/>
  <c r="O3770" i="16" s="1"/>
  <c r="G3770" i="16"/>
  <c r="I3770" i="16"/>
  <c r="B3771" i="16"/>
  <c r="D3715" i="16"/>
  <c r="J3715" i="16"/>
  <c r="P3715" i="16"/>
  <c r="Q3715" i="16"/>
  <c r="R3715" i="16"/>
  <c r="L3716" i="16"/>
  <c r="C3716" i="16"/>
  <c r="E3716" i="16"/>
  <c r="G3716" i="16"/>
  <c r="I3716" i="16"/>
  <c r="B3717" i="16"/>
  <c r="M3661" i="16"/>
  <c r="D3661" i="16"/>
  <c r="J3661" i="16"/>
  <c r="N3661" i="16" s="1"/>
  <c r="P3661" i="16"/>
  <c r="Q3661" i="16"/>
  <c r="R3661" i="16"/>
  <c r="L3662" i="16"/>
  <c r="C3662" i="16"/>
  <c r="K3662" i="16" s="1"/>
  <c r="E3662" i="16"/>
  <c r="F3662" i="16"/>
  <c r="O3662" i="16" s="1"/>
  <c r="G3662" i="16"/>
  <c r="I3662" i="16"/>
  <c r="B3663" i="16"/>
  <c r="U3606" i="16"/>
  <c r="S3606" i="16"/>
  <c r="T3606" i="16" s="1"/>
  <c r="M3607" i="16"/>
  <c r="D3607" i="16"/>
  <c r="J3607" i="16"/>
  <c r="N3607" i="16" s="1"/>
  <c r="P3607" i="16"/>
  <c r="Q3607" i="16"/>
  <c r="R3607" i="16"/>
  <c r="L3608" i="16"/>
  <c r="C3608" i="16"/>
  <c r="E3608" i="16"/>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J3499" i="16"/>
  <c r="D3499" i="16"/>
  <c r="L3500" i="16"/>
  <c r="C3500" i="16"/>
  <c r="K3500" i="16" s="1"/>
  <c r="E3500" i="16"/>
  <c r="F3500" i="16"/>
  <c r="O3500" i="16" s="1"/>
  <c r="G3500" i="16"/>
  <c r="I3500" i="16"/>
  <c r="B3501" i="16"/>
  <c r="P3499" i="16"/>
  <c r="Q3499" i="16"/>
  <c r="R3499" i="16"/>
  <c r="S3444" i="16"/>
  <c r="T3444" i="16" s="1"/>
  <c r="U3444" i="16"/>
  <c r="D3445" i="16"/>
  <c r="J3445" i="16"/>
  <c r="P3445" i="16"/>
  <c r="Q3445" i="16"/>
  <c r="R3445" i="16"/>
  <c r="L3446" i="16"/>
  <c r="C3446" i="16"/>
  <c r="K3446" i="16" s="1"/>
  <c r="E3446" i="16"/>
  <c r="F3446" i="16"/>
  <c r="O3446" i="16" s="1"/>
  <c r="G3446" i="16"/>
  <c r="B3447" i="16"/>
  <c r="I3446" i="16"/>
  <c r="U3390" i="16"/>
  <c r="S3390" i="16"/>
  <c r="T3390" i="16" s="1"/>
  <c r="D3391" i="16"/>
  <c r="J3391" i="16"/>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S3228" i="16"/>
  <c r="T3228" i="16" s="1"/>
  <c r="U3228" i="16"/>
  <c r="J3229" i="16"/>
  <c r="D3229" i="16"/>
  <c r="P3229" i="16"/>
  <c r="Q3229" i="16"/>
  <c r="R3229" i="16"/>
  <c r="L3230" i="16"/>
  <c r="B3231" i="16"/>
  <c r="I3230" i="16"/>
  <c r="C3230" i="16"/>
  <c r="E3230" i="16"/>
  <c r="G3230" i="16"/>
  <c r="U3174" i="16"/>
  <c r="S3174" i="16"/>
  <c r="T3174" i="16" s="1"/>
  <c r="M3175" i="16"/>
  <c r="D3175" i="16"/>
  <c r="J3175" i="16"/>
  <c r="N3175" i="16" s="1"/>
  <c r="P3175" i="16"/>
  <c r="Q3175" i="16"/>
  <c r="R3175" i="16"/>
  <c r="L3176" i="16"/>
  <c r="C3176" i="16"/>
  <c r="K3176" i="16" s="1"/>
  <c r="E3176" i="16"/>
  <c r="F3176" i="16"/>
  <c r="O3176" i="16" s="1"/>
  <c r="G3176" i="16"/>
  <c r="I3176" i="16"/>
  <c r="B3177" i="16"/>
  <c r="M3121" i="16"/>
  <c r="D3121" i="16"/>
  <c r="J3121" i="16"/>
  <c r="N3121" i="16" s="1"/>
  <c r="P3121" i="16"/>
  <c r="Q3121" i="16"/>
  <c r="R3121" i="16"/>
  <c r="L3122" i="16"/>
  <c r="C3122" i="16"/>
  <c r="K3122" i="16" s="1"/>
  <c r="E3122" i="16"/>
  <c r="F3122" i="16"/>
  <c r="O3122" i="16" s="1"/>
  <c r="G3122" i="16"/>
  <c r="I3122" i="16"/>
  <c r="B3123" i="16"/>
  <c r="U3066" i="16"/>
  <c r="S3066" i="16"/>
  <c r="T3066" i="16" s="1"/>
  <c r="M3067" i="16"/>
  <c r="P3067" i="16"/>
  <c r="Q3067" i="16"/>
  <c r="R3067" i="16"/>
  <c r="L3068" i="16"/>
  <c r="E3068" i="16"/>
  <c r="G3068" i="16"/>
  <c r="I3068" i="16"/>
  <c r="C3068" i="16"/>
  <c r="B3069" i="16"/>
  <c r="J3067" i="16"/>
  <c r="N3067" i="16" s="1"/>
  <c r="D3067" i="16"/>
  <c r="U3012" i="16"/>
  <c r="S3012" i="16"/>
  <c r="T3012" i="16" s="1"/>
  <c r="L3014" i="16"/>
  <c r="C3014" i="16"/>
  <c r="E3014" i="16"/>
  <c r="G3014" i="16"/>
  <c r="I3014" i="16"/>
  <c r="B3015" i="16"/>
  <c r="D3013" i="16"/>
  <c r="M3013" i="16" s="1"/>
  <c r="J3013" i="16"/>
  <c r="P3013" i="16"/>
  <c r="Q3013" i="16"/>
  <c r="R3013" i="16"/>
  <c r="U2958" i="16"/>
  <c r="S2958" i="16"/>
  <c r="T2958" i="16" s="1"/>
  <c r="M2959" i="16"/>
  <c r="D2959" i="16"/>
  <c r="J2959" i="16"/>
  <c r="N2959" i="16" s="1"/>
  <c r="P2959" i="16"/>
  <c r="Q2959" i="16"/>
  <c r="R2959" i="16"/>
  <c r="L2960" i="16"/>
  <c r="C2960" i="16"/>
  <c r="K2960" i="16" s="1"/>
  <c r="E2960" i="16"/>
  <c r="F2960" i="16"/>
  <c r="O2960" i="16" s="1"/>
  <c r="G2960" i="16"/>
  <c r="I2960" i="16"/>
  <c r="B2961" i="16"/>
  <c r="M2905" i="16"/>
  <c r="D2905" i="16"/>
  <c r="J2905" i="16"/>
  <c r="N2905" i="16" s="1"/>
  <c r="P2905" i="16"/>
  <c r="Q2905" i="16"/>
  <c r="R2905" i="16"/>
  <c r="L2906" i="16"/>
  <c r="C2906" i="16"/>
  <c r="K2906" i="16" s="1"/>
  <c r="E2906" i="16"/>
  <c r="F2906" i="16"/>
  <c r="O2906" i="16" s="1"/>
  <c r="G2906" i="16"/>
  <c r="I2906" i="16"/>
  <c r="B2907" i="16"/>
  <c r="P2851" i="16"/>
  <c r="Q2851" i="16"/>
  <c r="R2851" i="16"/>
  <c r="J2851" i="16"/>
  <c r="D2851" i="16"/>
  <c r="L2852" i="16"/>
  <c r="I2852" i="16"/>
  <c r="E2852" i="16"/>
  <c r="G2852" i="16"/>
  <c r="B2853" i="16"/>
  <c r="C2852" i="16"/>
  <c r="P2797" i="16"/>
  <c r="Q2797" i="16"/>
  <c r="R2797" i="16"/>
  <c r="L2798" i="16"/>
  <c r="E2798" i="16"/>
  <c r="B2799" i="16"/>
  <c r="G2798" i="16"/>
  <c r="I2798" i="16"/>
  <c r="C2798" i="16"/>
  <c r="K2798" i="16" s="1"/>
  <c r="F2798" i="16"/>
  <c r="O2798" i="16" s="1"/>
  <c r="D2797" i="16"/>
  <c r="J2797" i="16"/>
  <c r="U2742" i="16"/>
  <c r="S2742" i="16"/>
  <c r="T2742" i="16" s="1"/>
  <c r="M2743" i="16"/>
  <c r="D2743" i="16"/>
  <c r="J2743" i="16"/>
  <c r="N2743" i="16" s="1"/>
  <c r="P2743" i="16"/>
  <c r="Q2743" i="16"/>
  <c r="R2743" i="16"/>
  <c r="L2744" i="16"/>
  <c r="C2744" i="16"/>
  <c r="K2744" i="16" s="1"/>
  <c r="E2744" i="16"/>
  <c r="F2744" i="16"/>
  <c r="O2744" i="16" s="1"/>
  <c r="G2744" i="16"/>
  <c r="I2744" i="16"/>
  <c r="B2745" i="16"/>
  <c r="P2689" i="16"/>
  <c r="Q2689" i="16"/>
  <c r="R2689" i="16"/>
  <c r="D2689" i="16"/>
  <c r="J2689" i="16"/>
  <c r="L2690" i="16"/>
  <c r="E2690" i="16"/>
  <c r="I2690" i="16"/>
  <c r="B2691" i="16"/>
  <c r="C2690" i="16"/>
  <c r="G2690" i="16"/>
  <c r="M2635" i="16"/>
  <c r="J2635" i="16"/>
  <c r="N2635" i="16" s="1"/>
  <c r="D2635" i="16"/>
  <c r="L2636" i="16"/>
  <c r="I2636" i="16"/>
  <c r="G2636" i="16"/>
  <c r="E2636" i="16"/>
  <c r="C2636" i="16"/>
  <c r="B2637" i="16"/>
  <c r="P2635" i="16"/>
  <c r="Q2635" i="16"/>
  <c r="R2635" i="16"/>
  <c r="P2581" i="16"/>
  <c r="Q2581" i="16"/>
  <c r="R2581" i="16"/>
  <c r="D2581" i="16"/>
  <c r="J2581" i="16"/>
  <c r="L2582" i="16"/>
  <c r="I2582" i="16"/>
  <c r="E2582" i="16"/>
  <c r="B2583" i="16"/>
  <c r="C2582" i="16"/>
  <c r="G2582" i="16"/>
  <c r="U2526" i="16"/>
  <c r="S2526" i="16"/>
  <c r="T2526" i="16" s="1"/>
  <c r="D2527" i="16"/>
  <c r="J2527" i="16"/>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M2419" i="16"/>
  <c r="D2419" i="16"/>
  <c r="J2419" i="16"/>
  <c r="N2419" i="16" s="1"/>
  <c r="P2419" i="16"/>
  <c r="Q2419" i="16"/>
  <c r="R2419" i="16"/>
  <c r="L2420" i="16"/>
  <c r="C2420" i="16"/>
  <c r="K2420" i="16" s="1"/>
  <c r="E2420" i="16"/>
  <c r="F2420" i="16"/>
  <c r="O2420" i="16" s="1"/>
  <c r="G2420" i="16"/>
  <c r="I2420" i="16"/>
  <c r="B2421" i="16"/>
  <c r="D2365" i="16"/>
  <c r="J2365" i="16"/>
  <c r="P2365" i="16"/>
  <c r="Q2365" i="16"/>
  <c r="R2365" i="16"/>
  <c r="L2366" i="16"/>
  <c r="C2366" i="16"/>
  <c r="E2366" i="16"/>
  <c r="G2366" i="16"/>
  <c r="I2366" i="16"/>
  <c r="B2367" i="16"/>
  <c r="U2310" i="16"/>
  <c r="S2310" i="16"/>
  <c r="T2310" i="16" s="1"/>
  <c r="D2311" i="16"/>
  <c r="J2311" i="16"/>
  <c r="P2311" i="16"/>
  <c r="Q2311" i="16"/>
  <c r="R2311" i="16"/>
  <c r="L2312" i="16"/>
  <c r="C2312" i="16"/>
  <c r="E2312" i="16"/>
  <c r="G2312" i="16"/>
  <c r="I2312" i="16"/>
  <c r="B2313" i="16"/>
  <c r="U2256" i="16"/>
  <c r="S2256" i="16"/>
  <c r="T2256" i="16" s="1"/>
  <c r="D2257" i="16"/>
  <c r="J2257" i="16"/>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U2094" i="16"/>
  <c r="S2094" i="16"/>
  <c r="T2094" i="16" s="1"/>
  <c r="M2095" i="16"/>
  <c r="D2095" i="16"/>
  <c r="J2095" i="16"/>
  <c r="N2095" i="16" s="1"/>
  <c r="P2095" i="16"/>
  <c r="Q2095" i="16"/>
  <c r="R2095" i="16"/>
  <c r="L2096" i="16"/>
  <c r="C2096" i="16"/>
  <c r="E2096" i="16"/>
  <c r="G2096" i="16"/>
  <c r="I2096" i="16"/>
  <c r="B2097" i="16"/>
  <c r="U2040" i="16"/>
  <c r="S2040" i="16"/>
  <c r="T2040" i="16" s="1"/>
  <c r="M2041" i="16"/>
  <c r="D2041" i="16"/>
  <c r="J2041" i="16"/>
  <c r="N2041" i="16" s="1"/>
  <c r="P2041" i="16"/>
  <c r="Q2041" i="16"/>
  <c r="R2041" i="16"/>
  <c r="L2042" i="16"/>
  <c r="C2042" i="16"/>
  <c r="E2042" i="16"/>
  <c r="G2042" i="16"/>
  <c r="I2042" i="16"/>
  <c r="B2043" i="16"/>
  <c r="U1986" i="16"/>
  <c r="S1986" i="16"/>
  <c r="T1986" i="16" s="1"/>
  <c r="D1987" i="16"/>
  <c r="J1987" i="16"/>
  <c r="P1987" i="16"/>
  <c r="Q1987" i="16"/>
  <c r="R1987" i="16"/>
  <c r="L1988" i="16"/>
  <c r="C1988" i="16"/>
  <c r="K1988" i="16" s="1"/>
  <c r="E1988" i="16"/>
  <c r="F1988" i="16"/>
  <c r="O1988" i="16" s="1"/>
  <c r="G1988" i="16"/>
  <c r="I1988" i="16"/>
  <c r="B1989" i="16"/>
  <c r="U1932" i="16"/>
  <c r="S1932" i="16"/>
  <c r="T1932" i="16" s="1"/>
  <c r="M1933" i="16"/>
  <c r="D1933" i="16"/>
  <c r="J1933" i="16"/>
  <c r="N1933" i="16" s="1"/>
  <c r="P1933" i="16"/>
  <c r="Q1933" i="16"/>
  <c r="R1933" i="16"/>
  <c r="L1934" i="16"/>
  <c r="C1934" i="16"/>
  <c r="K1934" i="16" s="1"/>
  <c r="E1934" i="16"/>
  <c r="F1934" i="16"/>
  <c r="O1934" i="16" s="1"/>
  <c r="G1934" i="16"/>
  <c r="I1934" i="16"/>
  <c r="B1935" i="16"/>
  <c r="M1879" i="16"/>
  <c r="D1879" i="16"/>
  <c r="J1879" i="16"/>
  <c r="N1879" i="16" s="1"/>
  <c r="P1879" i="16"/>
  <c r="Q1879" i="16"/>
  <c r="R1879" i="16"/>
  <c r="L1880" i="16"/>
  <c r="C1880" i="16"/>
  <c r="K1880" i="16" s="1"/>
  <c r="E1880" i="16"/>
  <c r="F1880" i="16"/>
  <c r="O1880" i="16" s="1"/>
  <c r="G1880" i="16"/>
  <c r="B1881" i="16"/>
  <c r="I1880" i="16"/>
  <c r="M1825" i="16"/>
  <c r="D1825" i="16"/>
  <c r="J1825" i="16"/>
  <c r="N1825" i="16" s="1"/>
  <c r="P1825" i="16"/>
  <c r="Q1825" i="16"/>
  <c r="R1825" i="16"/>
  <c r="L1826" i="16"/>
  <c r="C1826" i="16"/>
  <c r="E1826" i="16"/>
  <c r="G1826" i="16"/>
  <c r="I1826" i="16"/>
  <c r="B1827" i="16"/>
  <c r="U1770" i="16"/>
  <c r="S1770" i="16"/>
  <c r="T1770" i="16" s="1"/>
  <c r="D1771" i="16"/>
  <c r="J1771" i="16"/>
  <c r="P1771" i="16"/>
  <c r="Q1771" i="16"/>
  <c r="R1771" i="16"/>
  <c r="L1772" i="16"/>
  <c r="C1772" i="16"/>
  <c r="E1772" i="16"/>
  <c r="G1772" i="16"/>
  <c r="I1772" i="16"/>
  <c r="B1773" i="16"/>
  <c r="U1716" i="16"/>
  <c r="S1716" i="16"/>
  <c r="T1716" i="16" s="1"/>
  <c r="D1717" i="16"/>
  <c r="J1717" i="16"/>
  <c r="P1717" i="16"/>
  <c r="Q1717" i="16"/>
  <c r="R1717" i="16"/>
  <c r="L1718" i="16"/>
  <c r="C1718" i="16"/>
  <c r="K1718" i="16" s="1"/>
  <c r="E1718" i="16"/>
  <c r="F1718" i="16"/>
  <c r="O1718" i="16" s="1"/>
  <c r="G1718" i="16"/>
  <c r="I1718" i="16"/>
  <c r="B1719" i="16"/>
  <c r="S1662" i="16"/>
  <c r="T1662" i="16" s="1"/>
  <c r="U1662" i="16"/>
  <c r="M1663" i="16"/>
  <c r="D1663" i="16"/>
  <c r="J1663" i="16"/>
  <c r="N1663" i="16" s="1"/>
  <c r="P1663" i="16"/>
  <c r="Q1663" i="16"/>
  <c r="R1663" i="16"/>
  <c r="L1664" i="16"/>
  <c r="C1664" i="16"/>
  <c r="K1664" i="16" s="1"/>
  <c r="E1664" i="16"/>
  <c r="F1664" i="16"/>
  <c r="O1664" i="16" s="1"/>
  <c r="G1664" i="16"/>
  <c r="I1664" i="16"/>
  <c r="B1665" i="16"/>
  <c r="U1608" i="16"/>
  <c r="S1608" i="16"/>
  <c r="T1608" i="16" s="1"/>
  <c r="M1609" i="16"/>
  <c r="D1609" i="16"/>
  <c r="J1609" i="16"/>
  <c r="N1609" i="16" s="1"/>
  <c r="P1609" i="16"/>
  <c r="Q1609" i="16"/>
  <c r="R1609" i="16"/>
  <c r="L1610" i="16"/>
  <c r="C1610" i="16"/>
  <c r="K1610" i="16" s="1"/>
  <c r="E1610" i="16"/>
  <c r="F1610" i="16"/>
  <c r="O1610" i="16" s="1"/>
  <c r="G1610" i="16"/>
  <c r="I1610" i="16"/>
  <c r="B1611" i="16"/>
  <c r="M1555" i="16"/>
  <c r="D1555" i="16"/>
  <c r="J1555" i="16"/>
  <c r="N1555" i="16" s="1"/>
  <c r="P1555" i="16"/>
  <c r="Q1555" i="16"/>
  <c r="R1555" i="16"/>
  <c r="L1556" i="16"/>
  <c r="C1556" i="16"/>
  <c r="K1556" i="16" s="1"/>
  <c r="E1556" i="16"/>
  <c r="F1556" i="16"/>
  <c r="O1556" i="16" s="1"/>
  <c r="G1556" i="16"/>
  <c r="I1556" i="16"/>
  <c r="B1557" i="16"/>
  <c r="U1500" i="16"/>
  <c r="S1500" i="16"/>
  <c r="T1500" i="16" s="1"/>
  <c r="L1502" i="16"/>
  <c r="B1503" i="16"/>
  <c r="C1502" i="16"/>
  <c r="E1502" i="16"/>
  <c r="G1502" i="16"/>
  <c r="I1502" i="16"/>
  <c r="D1501" i="16"/>
  <c r="J1501" i="16"/>
  <c r="P1501" i="16"/>
  <c r="Q1501" i="16"/>
  <c r="R1501" i="16"/>
  <c r="M1447" i="16"/>
  <c r="P1447" i="16"/>
  <c r="Q1447" i="16"/>
  <c r="R1447" i="16"/>
  <c r="L1448" i="16"/>
  <c r="G1448" i="16"/>
  <c r="I1448" i="16"/>
  <c r="E1448" i="16"/>
  <c r="C1448" i="16"/>
  <c r="B1449" i="16"/>
  <c r="J1447" i="16"/>
  <c r="N1447" i="16" s="1"/>
  <c r="D1447" i="16"/>
  <c r="U1392" i="16"/>
  <c r="S1392" i="16"/>
  <c r="T1392" i="16" s="1"/>
  <c r="P1393" i="16"/>
  <c r="Q1393" i="16"/>
  <c r="R1393" i="16"/>
  <c r="L1394" i="16"/>
  <c r="I1394" i="16"/>
  <c r="G1394" i="16"/>
  <c r="C1394" i="16"/>
  <c r="E1394" i="16"/>
  <c r="B1395" i="16"/>
  <c r="D1393" i="16"/>
  <c r="J1393" i="16"/>
  <c r="P1339" i="16"/>
  <c r="Q1339" i="16"/>
  <c r="R1339" i="16"/>
  <c r="L1340" i="16"/>
  <c r="B1341" i="16"/>
  <c r="E1340" i="16"/>
  <c r="G1340" i="16"/>
  <c r="I1340" i="16"/>
  <c r="C1340" i="16"/>
  <c r="J1339" i="16"/>
  <c r="D1339" i="16"/>
  <c r="M1285" i="16"/>
  <c r="D1285" i="16"/>
  <c r="J1285" i="16"/>
  <c r="N1285" i="16" s="1"/>
  <c r="L1286" i="16"/>
  <c r="I1286" i="16"/>
  <c r="B1287" i="16"/>
  <c r="C1286" i="16"/>
  <c r="K1286" i="16" s="1"/>
  <c r="G1286" i="16"/>
  <c r="E1286" i="16"/>
  <c r="F1286" i="16"/>
  <c r="O1286" i="16" s="1"/>
  <c r="P1285" i="16"/>
  <c r="Q1285" i="16"/>
  <c r="R1285" i="16"/>
  <c r="P1231" i="16"/>
  <c r="Q1231" i="16"/>
  <c r="R1231" i="16"/>
  <c r="M1231" i="16"/>
  <c r="J1231" i="16"/>
  <c r="N1231" i="16" s="1"/>
  <c r="D1231" i="16"/>
  <c r="I1232" i="16"/>
  <c r="E1232" i="16"/>
  <c r="C1232" i="16"/>
  <c r="F1232" i="16" s="1"/>
  <c r="O1232" i="16" s="1"/>
  <c r="K1232" i="16"/>
  <c r="G1232" i="16"/>
  <c r="B1233" i="16"/>
  <c r="L1232" i="16"/>
  <c r="U1176" i="16"/>
  <c r="S1176" i="16"/>
  <c r="T1176" i="16" s="1"/>
  <c r="D1177" i="16"/>
  <c r="J1177" i="16"/>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D1069" i="16"/>
  <c r="M1069" i="16" s="1"/>
  <c r="J1069" i="16"/>
  <c r="P1069" i="16"/>
  <c r="Q1069" i="16"/>
  <c r="R1069" i="16"/>
  <c r="L1070" i="16"/>
  <c r="C1070" i="16"/>
  <c r="E1070" i="16"/>
  <c r="G1070" i="16"/>
  <c r="I1070" i="16"/>
  <c r="B1071" i="16"/>
  <c r="U1014" i="16"/>
  <c r="S1014" i="16"/>
  <c r="T1014" i="16" s="1"/>
  <c r="M1015" i="16"/>
  <c r="D1015" i="16"/>
  <c r="J1015" i="16"/>
  <c r="N1015" i="16" s="1"/>
  <c r="L1016" i="16"/>
  <c r="C1016" i="16"/>
  <c r="K1016" i="16" s="1"/>
  <c r="I1016" i="16"/>
  <c r="B1017" i="16"/>
  <c r="G1016" i="16"/>
  <c r="E1016" i="16"/>
  <c r="F1016" i="16"/>
  <c r="O1016" i="16" s="1"/>
  <c r="P1015" i="16"/>
  <c r="Q1015" i="16"/>
  <c r="R1015" i="16"/>
  <c r="U960" i="16"/>
  <c r="S960" i="16"/>
  <c r="T960" i="16" s="1"/>
  <c r="M961" i="16"/>
  <c r="D961" i="16"/>
  <c r="J961" i="16"/>
  <c r="N961" i="16" s="1"/>
  <c r="P961" i="16"/>
  <c r="Q961" i="16"/>
  <c r="R961" i="16"/>
  <c r="L962" i="16"/>
  <c r="C962" i="16"/>
  <c r="K962" i="16" s="1"/>
  <c r="E962" i="16"/>
  <c r="F962" i="16"/>
  <c r="O962" i="16" s="1"/>
  <c r="G962" i="16"/>
  <c r="I962" i="16"/>
  <c r="B963" i="16"/>
  <c r="U906" i="16"/>
  <c r="S906" i="16"/>
  <c r="T906" i="16" s="1"/>
  <c r="D907" i="16"/>
  <c r="J907" i="16"/>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K854" i="16" s="1"/>
  <c r="E854" i="16"/>
  <c r="F854" i="16"/>
  <c r="O854" i="16" s="1"/>
  <c r="G854" i="16"/>
  <c r="I854" i="16"/>
  <c r="B855" i="16"/>
  <c r="M799" i="16"/>
  <c r="D799" i="16"/>
  <c r="J799" i="16"/>
  <c r="N799" i="16" s="1"/>
  <c r="P799" i="16"/>
  <c r="Q799" i="16"/>
  <c r="R799" i="16"/>
  <c r="L800" i="16"/>
  <c r="C800" i="16"/>
  <c r="K800" i="16" s="1"/>
  <c r="E800" i="16"/>
  <c r="F800" i="16"/>
  <c r="O800" i="16" s="1"/>
  <c r="G800" i="16"/>
  <c r="I800" i="16"/>
  <c r="B801" i="16"/>
  <c r="U744" i="16"/>
  <c r="S744" i="16"/>
  <c r="T744" i="16" s="1"/>
  <c r="M745" i="16"/>
  <c r="D745" i="16"/>
  <c r="J745" i="16"/>
  <c r="N745" i="16" s="1"/>
  <c r="P745" i="16"/>
  <c r="Q745" i="16"/>
  <c r="R745" i="16"/>
  <c r="L746" i="16"/>
  <c r="C746" i="16"/>
  <c r="E746" i="16"/>
  <c r="G746" i="16"/>
  <c r="I746" i="16"/>
  <c r="B747" i="16"/>
  <c r="U690" i="16"/>
  <c r="S690" i="16"/>
  <c r="T690" i="16" s="1"/>
  <c r="M691" i="16"/>
  <c r="D691" i="16"/>
  <c r="J691" i="16"/>
  <c r="N691" i="16" s="1"/>
  <c r="P691" i="16"/>
  <c r="Q691" i="16"/>
  <c r="R691" i="16"/>
  <c r="L692" i="16"/>
  <c r="C692" i="16"/>
  <c r="E692" i="16"/>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U582" i="16"/>
  <c r="S582" i="16"/>
  <c r="T582" i="16" s="1"/>
  <c r="M583" i="16"/>
  <c r="D583" i="16"/>
  <c r="J583" i="16"/>
  <c r="N583" i="16" s="1"/>
  <c r="P583" i="16"/>
  <c r="Q583" i="16"/>
  <c r="R583" i="16"/>
  <c r="L584" i="16"/>
  <c r="C584" i="16"/>
  <c r="K584" i="16" s="1"/>
  <c r="E584" i="16"/>
  <c r="F584" i="16"/>
  <c r="O584" i="16" s="1"/>
  <c r="G584" i="16"/>
  <c r="I584" i="16"/>
  <c r="B585" i="16"/>
  <c r="U528" i="16"/>
  <c r="S528" i="16"/>
  <c r="T528" i="16" s="1"/>
  <c r="M529" i="16"/>
  <c r="D529" i="16"/>
  <c r="J529" i="16"/>
  <c r="N529" i="16" s="1"/>
  <c r="P529" i="16"/>
  <c r="Q529" i="16"/>
  <c r="R529" i="16"/>
  <c r="L530" i="16"/>
  <c r="C530" i="16"/>
  <c r="E530" i="16"/>
  <c r="G530" i="16"/>
  <c r="I530" i="16"/>
  <c r="B531" i="16"/>
  <c r="M475" i="16"/>
  <c r="D475" i="16"/>
  <c r="J475" i="16"/>
  <c r="N475" i="16" s="1"/>
  <c r="P475" i="16"/>
  <c r="Q475" i="16"/>
  <c r="R475" i="16"/>
  <c r="L476" i="16"/>
  <c r="C476" i="16"/>
  <c r="K476" i="16" s="1"/>
  <c r="E476" i="16"/>
  <c r="F476" i="16"/>
  <c r="O476" i="16" s="1"/>
  <c r="G476" i="16"/>
  <c r="I476" i="16"/>
  <c r="B477" i="16"/>
  <c r="D421" i="16"/>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K368" i="16" s="1"/>
  <c r="E368" i="16"/>
  <c r="F368" i="16"/>
  <c r="O368" i="16" s="1"/>
  <c r="G368" i="16"/>
  <c r="I368" i="16"/>
  <c r="B369" i="16"/>
  <c r="U312" i="16"/>
  <c r="S312" i="16"/>
  <c r="T312" i="16" s="1"/>
  <c r="M313" i="16"/>
  <c r="D313" i="16"/>
  <c r="J313" i="16"/>
  <c r="N313" i="16" s="1"/>
  <c r="P313" i="16"/>
  <c r="Q313" i="16"/>
  <c r="R313" i="16"/>
  <c r="L314" i="16"/>
  <c r="C314" i="16"/>
  <c r="E314" i="16"/>
  <c r="G314" i="16"/>
  <c r="I314" i="16"/>
  <c r="B315" i="16"/>
  <c r="U258" i="16"/>
  <c r="S258" i="16"/>
  <c r="T258" i="16" s="1"/>
  <c r="M259" i="16"/>
  <c r="D259" i="16"/>
  <c r="J259" i="16"/>
  <c r="N259" i="16" s="1"/>
  <c r="P259" i="16"/>
  <c r="Q259" i="16"/>
  <c r="R259" i="16"/>
  <c r="L260" i="16"/>
  <c r="C260" i="16"/>
  <c r="E260" i="16"/>
  <c r="G260" i="16"/>
  <c r="I260" i="16"/>
  <c r="B261" i="16"/>
  <c r="M205" i="16"/>
  <c r="D205" i="16"/>
  <c r="J205" i="16"/>
  <c r="N205" i="16" s="1"/>
  <c r="P205" i="16"/>
  <c r="Q205" i="16"/>
  <c r="R205" i="16"/>
  <c r="L206" i="16"/>
  <c r="G206" i="16"/>
  <c r="I206" i="16"/>
  <c r="B207" i="16"/>
  <c r="C206" i="16"/>
  <c r="K206" i="16" s="1"/>
  <c r="E206" i="16"/>
  <c r="F206" i="16"/>
  <c r="O206" i="16" s="1"/>
  <c r="D151" i="16"/>
  <c r="J151" i="16"/>
  <c r="P151" i="16"/>
  <c r="Q151" i="16"/>
  <c r="R151" i="16"/>
  <c r="L152" i="16"/>
  <c r="C152" i="16"/>
  <c r="K152" i="16" s="1"/>
  <c r="E152" i="16"/>
  <c r="G152" i="16"/>
  <c r="B153" i="16"/>
  <c r="F152" i="16"/>
  <c r="O152" i="16" s="1"/>
  <c r="I152" i="16"/>
  <c r="U96" i="16"/>
  <c r="S96" i="16"/>
  <c r="T96" i="16" s="1"/>
  <c r="D97" i="16"/>
  <c r="M97" i="16" s="1"/>
  <c r="J97" i="16"/>
  <c r="P97" i="16"/>
  <c r="Q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P16" i="4"/>
  <c r="B83" i="7"/>
  <c r="I83" i="7" s="1"/>
  <c r="AP15" i="4"/>
  <c r="AO17" i="4"/>
  <c r="AO18" i="4"/>
  <c r="AO19" i="4"/>
  <c r="AO20" i="4"/>
  <c r="AO21" i="4"/>
  <c r="AO22" i="4"/>
  <c r="AO23" i="4"/>
  <c r="AO24" i="4"/>
  <c r="AO25" i="4"/>
  <c r="AO26" i="4"/>
  <c r="AO27" i="4"/>
  <c r="AO28" i="4"/>
  <c r="AO29" i="4"/>
  <c r="AO30" i="4"/>
  <c r="AO31" i="4"/>
  <c r="AO32" i="4"/>
  <c r="AO33" i="4"/>
  <c r="AO34" i="4"/>
  <c r="AO35" i="4"/>
  <c r="U4229" i="16"/>
  <c r="S4229" i="16"/>
  <c r="T4229" i="16" s="1"/>
  <c r="U4121" i="16"/>
  <c r="S4121" i="16"/>
  <c r="T4121" i="16" s="1"/>
  <c r="U3767" i="16"/>
  <c r="S3767" i="16"/>
  <c r="T3767" i="16" s="1"/>
  <c r="U3497" i="16"/>
  <c r="S3497" i="16"/>
  <c r="T3497" i="16" s="1"/>
  <c r="U3227" i="16"/>
  <c r="S3227" i="16"/>
  <c r="T3227" i="16" s="1"/>
  <c r="U3173" i="16"/>
  <c r="S3173" i="16"/>
  <c r="T3173" i="16" s="1"/>
  <c r="U3119" i="16"/>
  <c r="S3119" i="16"/>
  <c r="T3119" i="16" s="1"/>
  <c r="U2849" i="16"/>
  <c r="S2849" i="16"/>
  <c r="T2849" i="16" s="1"/>
  <c r="U2579" i="16"/>
  <c r="S2579" i="16"/>
  <c r="T2579" i="16" s="1"/>
  <c r="U2363" i="16"/>
  <c r="S2363" i="16"/>
  <c r="T2363" i="16" s="1"/>
  <c r="U2309" i="16"/>
  <c r="S2309" i="16"/>
  <c r="T2309" i="16" s="1"/>
  <c r="U1823" i="16"/>
  <c r="S1823" i="16"/>
  <c r="T1823" i="16" s="1"/>
  <c r="U1607" i="16"/>
  <c r="S1607" i="16"/>
  <c r="T1607" i="16" s="1"/>
  <c r="U1391" i="16"/>
  <c r="S1391" i="16"/>
  <c r="T1391" i="16" s="1"/>
  <c r="U1337" i="16"/>
  <c r="S1337" i="16"/>
  <c r="T1337" i="16" s="1"/>
  <c r="S1229" i="16"/>
  <c r="T1229" i="16" s="1"/>
  <c r="U1229" i="16"/>
  <c r="U1067" i="16"/>
  <c r="S1067" i="16"/>
  <c r="T1067" i="16" s="1"/>
  <c r="U527" i="16"/>
  <c r="S527" i="16"/>
  <c r="T527" i="16" s="1"/>
  <c r="U257" i="16"/>
  <c r="S257" i="16"/>
  <c r="T257" i="16" s="1"/>
  <c r="M4176" i="16"/>
  <c r="N4176" i="16"/>
  <c r="M3714" i="16"/>
  <c r="N3714" i="16"/>
  <c r="M3660" i="16"/>
  <c r="N3660" i="16"/>
  <c r="M3498" i="16"/>
  <c r="N3498" i="16"/>
  <c r="M3120" i="16"/>
  <c r="N3120" i="16"/>
  <c r="M2904" i="16"/>
  <c r="N2904" i="16"/>
  <c r="N2850" i="16"/>
  <c r="M2850" i="16"/>
  <c r="N2796" i="16"/>
  <c r="S2796" i="16" s="1"/>
  <c r="T2796" i="16" s="1"/>
  <c r="U2796" i="16" s="1"/>
  <c r="M2796" i="16"/>
  <c r="N2688" i="16"/>
  <c r="M2688" i="16"/>
  <c r="M2634" i="16"/>
  <c r="N2634" i="16"/>
  <c r="N2580" i="16"/>
  <c r="M2580" i="16"/>
  <c r="M2418" i="16"/>
  <c r="N2418" i="16"/>
  <c r="M2364" i="16"/>
  <c r="N2364" i="16"/>
  <c r="M1878" i="16"/>
  <c r="N1878" i="16"/>
  <c r="M1824" i="16"/>
  <c r="N1824" i="16"/>
  <c r="M1554" i="16"/>
  <c r="N1554" i="16"/>
  <c r="M1446" i="16"/>
  <c r="N1446" i="16"/>
  <c r="M1338" i="16"/>
  <c r="N1338" i="16"/>
  <c r="N1284" i="16"/>
  <c r="M1284" i="16"/>
  <c r="M1230" i="16"/>
  <c r="N1230" i="16"/>
  <c r="M798" i="16"/>
  <c r="N798" i="16"/>
  <c r="M474" i="16"/>
  <c r="N474" i="16"/>
  <c r="M420" i="16"/>
  <c r="N420" i="16"/>
  <c r="M204" i="16"/>
  <c r="N204" i="16"/>
  <c r="N150" i="16"/>
  <c r="M150" i="16"/>
  <c r="D4639" i="16"/>
  <c r="F4639" i="16"/>
  <c r="O4639" i="16" s="1"/>
  <c r="F4585" i="16"/>
  <c r="K4585" i="16"/>
  <c r="F4231" i="16"/>
  <c r="O4231" i="16" s="1"/>
  <c r="K4231" i="16"/>
  <c r="F3715" i="16"/>
  <c r="O3715" i="16" s="1"/>
  <c r="K3715" i="16"/>
  <c r="F3499" i="16"/>
  <c r="O3499" i="16" s="1"/>
  <c r="K3499" i="16"/>
  <c r="K3445" i="16"/>
  <c r="F3445" i="16"/>
  <c r="O3445" i="16" s="1"/>
  <c r="K3391" i="16"/>
  <c r="F3391" i="16"/>
  <c r="O3391" i="16" s="1"/>
  <c r="F3229" i="16"/>
  <c r="O3229" i="16" s="1"/>
  <c r="K3229" i="16"/>
  <c r="K2851" i="16"/>
  <c r="F2851" i="16"/>
  <c r="O2851" i="16" s="1"/>
  <c r="K2797" i="16"/>
  <c r="F2797" i="16"/>
  <c r="O2797" i="16" s="1"/>
  <c r="K2689" i="16"/>
  <c r="F2689" i="16"/>
  <c r="O2689" i="16" s="1"/>
  <c r="F2581" i="16"/>
  <c r="O2581" i="16" s="1"/>
  <c r="K2581" i="16"/>
  <c r="K2527" i="16"/>
  <c r="F2527" i="16"/>
  <c r="O2527" i="16" s="1"/>
  <c r="F2365" i="16"/>
  <c r="O2365" i="16" s="1"/>
  <c r="K2365" i="16"/>
  <c r="K2311" i="16"/>
  <c r="F2311" i="16"/>
  <c r="O2311" i="16" s="1"/>
  <c r="F2257" i="16"/>
  <c r="O2257" i="16" s="1"/>
  <c r="K2257" i="16"/>
  <c r="K1987" i="16"/>
  <c r="F1987" i="16"/>
  <c r="O1987" i="16" s="1"/>
  <c r="F1771" i="16"/>
  <c r="O1771" i="16" s="1"/>
  <c r="K1771" i="16"/>
  <c r="K1717" i="16"/>
  <c r="F1717" i="16"/>
  <c r="O1717" i="16" s="1"/>
  <c r="K1501" i="16"/>
  <c r="F1501" i="16"/>
  <c r="O1501" i="16" s="1"/>
  <c r="F1393" i="16"/>
  <c r="O1393" i="16" s="1"/>
  <c r="K1393" i="16"/>
  <c r="F1339" i="16"/>
  <c r="O1339" i="16" s="1"/>
  <c r="K1339" i="16"/>
  <c r="F1177" i="16"/>
  <c r="O1177" i="16" s="1"/>
  <c r="K1177" i="16"/>
  <c r="K907" i="16"/>
  <c r="F907" i="16"/>
  <c r="O907" i="16" s="1"/>
  <c r="K421" i="16"/>
  <c r="F421" i="16"/>
  <c r="O421" i="16" s="1"/>
  <c r="K151" i="16"/>
  <c r="F151" i="16"/>
  <c r="O151" i="16" s="1"/>
  <c r="F34" i="5"/>
  <c r="G34" i="5"/>
  <c r="H34" i="5"/>
  <c r="N4693" i="16" l="1"/>
  <c r="N3013" i="16"/>
  <c r="N1069" i="16"/>
  <c r="N97" i="16"/>
  <c r="N35" i="4"/>
  <c r="N4177" i="16"/>
  <c r="N4123" i="16"/>
  <c r="K3608" i="16"/>
  <c r="F3608" i="16"/>
  <c r="O3608" i="16" s="1"/>
  <c r="K2852" i="16"/>
  <c r="F2852" i="16"/>
  <c r="O2852" i="16" s="1"/>
  <c r="K1070" i="16"/>
  <c r="F1070" i="16"/>
  <c r="O1070" i="16" s="1"/>
  <c r="K692" i="16"/>
  <c r="F692" i="16"/>
  <c r="O692" i="16" s="1"/>
  <c r="K530" i="16"/>
  <c r="F530" i="16"/>
  <c r="O530" i="16" s="1"/>
  <c r="T4692" i="16"/>
  <c r="S4693" i="16"/>
  <c r="T4693" i="16" s="1"/>
  <c r="U4693" i="16"/>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M4586" i="16"/>
  <c r="D4586" i="16"/>
  <c r="J4586" i="16"/>
  <c r="N4586" i="16" s="1"/>
  <c r="P4586" i="16"/>
  <c r="Q4586" i="16"/>
  <c r="R4586" i="16"/>
  <c r="L4587" i="16"/>
  <c r="C4587" i="16"/>
  <c r="E4587" i="16"/>
  <c r="G4587" i="16"/>
  <c r="I4587" i="16"/>
  <c r="B4588" i="16"/>
  <c r="D4532" i="16"/>
  <c r="J4532" i="16"/>
  <c r="N4532" i="16" s="1"/>
  <c r="P4532" i="16"/>
  <c r="Q4532" i="16"/>
  <c r="R4532" i="16"/>
  <c r="M4532" i="16"/>
  <c r="C4533" i="16"/>
  <c r="F4533" i="16" s="1"/>
  <c r="E4533" i="16"/>
  <c r="G4533" i="16"/>
  <c r="L4533" i="16"/>
  <c r="B4534" i="16"/>
  <c r="I4533" i="16"/>
  <c r="K4533" i="16"/>
  <c r="D4232" i="16"/>
  <c r="J4232" i="16"/>
  <c r="P4232" i="16"/>
  <c r="Q4232" i="16"/>
  <c r="R4232" i="16"/>
  <c r="L4233" i="16"/>
  <c r="C4233" i="16"/>
  <c r="K4233" i="16" s="1"/>
  <c r="E4233" i="16"/>
  <c r="F4233" i="16"/>
  <c r="O4233" i="16" s="1"/>
  <c r="G4233" i="16"/>
  <c r="I4233" i="16"/>
  <c r="B4234" i="16"/>
  <c r="U4177" i="16"/>
  <c r="S4177" i="16"/>
  <c r="T4177" i="16" s="1"/>
  <c r="J4178" i="16"/>
  <c r="N4178" i="16" s="1"/>
  <c r="D4178" i="16"/>
  <c r="P4178" i="16"/>
  <c r="Q4178" i="16"/>
  <c r="R4178" i="16"/>
  <c r="M4178" i="16"/>
  <c r="G4179" i="16"/>
  <c r="L4179" i="16"/>
  <c r="I4179" i="16"/>
  <c r="B4180" i="16"/>
  <c r="C4179" i="16"/>
  <c r="F4179" i="16" s="1"/>
  <c r="O4179" i="16" s="1"/>
  <c r="E4179" i="16"/>
  <c r="K4179" i="16"/>
  <c r="U4123" i="16"/>
  <c r="S4123" i="16"/>
  <c r="T4123" i="16" s="1"/>
  <c r="D4124" i="16"/>
  <c r="J4124" i="16"/>
  <c r="N4124" i="16" s="1"/>
  <c r="P4124" i="16"/>
  <c r="Q4124" i="16"/>
  <c r="R4124" i="16"/>
  <c r="M4124" i="16"/>
  <c r="E4125" i="16"/>
  <c r="G4125" i="16"/>
  <c r="L4125" i="16"/>
  <c r="C4125" i="16"/>
  <c r="F4125" i="16" s="1"/>
  <c r="O4125" i="16" s="1"/>
  <c r="K4125" i="16"/>
  <c r="I4125" i="16"/>
  <c r="B4126"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E3771" i="16"/>
  <c r="G3771" i="16"/>
  <c r="I3771" i="16"/>
  <c r="B3772" i="16"/>
  <c r="D3716" i="16"/>
  <c r="J3716" i="16"/>
  <c r="P3716" i="16"/>
  <c r="Q3716" i="16"/>
  <c r="R3716" i="16"/>
  <c r="L3717" i="16"/>
  <c r="C3717" i="16"/>
  <c r="K3717" i="16" s="1"/>
  <c r="E3717" i="16"/>
  <c r="F3717" i="16"/>
  <c r="O3717" i="16" s="1"/>
  <c r="G3717" i="16"/>
  <c r="I3717" i="16"/>
  <c r="B3718" i="16"/>
  <c r="S3661" i="16"/>
  <c r="T3661" i="16" s="1"/>
  <c r="U3661" i="16"/>
  <c r="M3662" i="16"/>
  <c r="D3662" i="16"/>
  <c r="J3662" i="16"/>
  <c r="N3662" i="16" s="1"/>
  <c r="P3662" i="16"/>
  <c r="Q3662" i="16"/>
  <c r="R3662" i="16"/>
  <c r="L3663" i="16"/>
  <c r="E3663" i="16"/>
  <c r="G3663" i="16"/>
  <c r="C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M3500" i="16"/>
  <c r="D3500" i="16"/>
  <c r="J3500" i="16"/>
  <c r="N3500" i="16" s="1"/>
  <c r="P3500" i="16"/>
  <c r="Q3500" i="16"/>
  <c r="R3500" i="16"/>
  <c r="L3501" i="16"/>
  <c r="C3501" i="16"/>
  <c r="K3501" i="16" s="1"/>
  <c r="E3501" i="16"/>
  <c r="F3501" i="16"/>
  <c r="O3501" i="16" s="1"/>
  <c r="G3501" i="16"/>
  <c r="I3501" i="16"/>
  <c r="B3502" i="16"/>
  <c r="M3446" i="16"/>
  <c r="D3446" i="16"/>
  <c r="J3446" i="16"/>
  <c r="N3446" i="16" s="1"/>
  <c r="P3446" i="16"/>
  <c r="Q3446" i="16"/>
  <c r="R3446" i="16"/>
  <c r="L3447" i="16"/>
  <c r="C3447" i="16"/>
  <c r="E3447" i="16"/>
  <c r="G3447" i="16"/>
  <c r="I3447" i="16"/>
  <c r="B3448" i="16"/>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K3285" i="16" s="1"/>
  <c r="E3285" i="16"/>
  <c r="F3285" i="16"/>
  <c r="O3285" i="16" s="1"/>
  <c r="G3285" i="16"/>
  <c r="I3285" i="16"/>
  <c r="B3286" i="16"/>
  <c r="L3231" i="16"/>
  <c r="C3231" i="16"/>
  <c r="K3231" i="16" s="1"/>
  <c r="E3231" i="16"/>
  <c r="F3231" i="16"/>
  <c r="O3231" i="16" s="1"/>
  <c r="G3231" i="16"/>
  <c r="I3231" i="16"/>
  <c r="B3232" i="16"/>
  <c r="D3230" i="16"/>
  <c r="J3230" i="16"/>
  <c r="P3230" i="16"/>
  <c r="Q3230" i="16"/>
  <c r="R3230" i="16"/>
  <c r="U3175" i="16"/>
  <c r="S3175" i="16"/>
  <c r="T3175" i="16" s="1"/>
  <c r="M3176" i="16"/>
  <c r="D3176" i="16"/>
  <c r="J3176" i="16"/>
  <c r="N3176" i="16" s="1"/>
  <c r="P3176" i="16"/>
  <c r="Q3176" i="16"/>
  <c r="R3176" i="16"/>
  <c r="L3177" i="16"/>
  <c r="C3177" i="16"/>
  <c r="K3177" i="16" s="1"/>
  <c r="E3177" i="16"/>
  <c r="F3177" i="16"/>
  <c r="O3177" i="16" s="1"/>
  <c r="G3177" i="16"/>
  <c r="I3177" i="16"/>
  <c r="B3178" i="16"/>
  <c r="U3121" i="16"/>
  <c r="S3121" i="16"/>
  <c r="T3121" i="16" s="1"/>
  <c r="M3122" i="16"/>
  <c r="D3122" i="16"/>
  <c r="J3122" i="16"/>
  <c r="N3122" i="16" s="1"/>
  <c r="P3122" i="16"/>
  <c r="Q3122" i="16"/>
  <c r="R3122" i="16"/>
  <c r="L3123" i="16"/>
  <c r="C3123" i="16"/>
  <c r="E3123" i="16"/>
  <c r="G3123" i="16"/>
  <c r="I3123" i="16"/>
  <c r="B3124" i="16"/>
  <c r="U3067" i="16"/>
  <c r="S3067" i="16"/>
  <c r="T3067" i="16" s="1"/>
  <c r="P3068" i="16"/>
  <c r="Q3068" i="16"/>
  <c r="R3068" i="16"/>
  <c r="D3068" i="16"/>
  <c r="J3068" i="16"/>
  <c r="L3069" i="16"/>
  <c r="G3069" i="16"/>
  <c r="E3069" i="16"/>
  <c r="C3069" i="16"/>
  <c r="K3069" i="16" s="1"/>
  <c r="F3069" i="16"/>
  <c r="O3069" i="16" s="1"/>
  <c r="I3069" i="16"/>
  <c r="B3070" i="16"/>
  <c r="U3013" i="16"/>
  <c r="S3013" i="16"/>
  <c r="T3013" i="16" s="1"/>
  <c r="D3014" i="16"/>
  <c r="J3014" i="16"/>
  <c r="P3014" i="16"/>
  <c r="Q3014" i="16"/>
  <c r="R3014" i="16"/>
  <c r="L3015" i="16"/>
  <c r="I3015" i="16"/>
  <c r="C3015" i="16"/>
  <c r="E3015" i="16"/>
  <c r="B3016" i="16"/>
  <c r="G3015" i="16"/>
  <c r="U2959" i="16"/>
  <c r="S2959" i="16"/>
  <c r="T2959" i="16" s="1"/>
  <c r="M2960" i="16"/>
  <c r="D2960" i="16"/>
  <c r="J2960" i="16"/>
  <c r="N2960" i="16" s="1"/>
  <c r="P2960" i="16"/>
  <c r="Q2960" i="16"/>
  <c r="R2960" i="16"/>
  <c r="L2961" i="16"/>
  <c r="C2961" i="16"/>
  <c r="E2961" i="16"/>
  <c r="G2961" i="16"/>
  <c r="I2961" i="16"/>
  <c r="B2962" i="16"/>
  <c r="U2905" i="16"/>
  <c r="S2905" i="16"/>
  <c r="T2905" i="16" s="1"/>
  <c r="M2906" i="16"/>
  <c r="D2906" i="16"/>
  <c r="J2906" i="16"/>
  <c r="N2906" i="16" s="1"/>
  <c r="P2906" i="16"/>
  <c r="Q2906" i="16"/>
  <c r="R2906" i="16"/>
  <c r="L2907" i="16"/>
  <c r="C2907" i="16"/>
  <c r="K2907" i="16" s="1"/>
  <c r="E2907" i="16"/>
  <c r="F2907" i="16"/>
  <c r="O2907" i="16" s="1"/>
  <c r="G2907" i="16"/>
  <c r="I2907" i="16"/>
  <c r="B2908" i="16"/>
  <c r="M2852" i="16"/>
  <c r="P2852" i="16"/>
  <c r="Q2852" i="16"/>
  <c r="R2852" i="16"/>
  <c r="L2853" i="16"/>
  <c r="E2853" i="16"/>
  <c r="G2853" i="16"/>
  <c r="C2853" i="16"/>
  <c r="I2853" i="16"/>
  <c r="B2854" i="16"/>
  <c r="J2852" i="16"/>
  <c r="N2852" i="16" s="1"/>
  <c r="D2852" i="16"/>
  <c r="M2798" i="16"/>
  <c r="L2799" i="16"/>
  <c r="E2799" i="16"/>
  <c r="G2799" i="16"/>
  <c r="I2799" i="16"/>
  <c r="B2800" i="16"/>
  <c r="C2799" i="16"/>
  <c r="P2798" i="16"/>
  <c r="Q2798" i="16"/>
  <c r="R2798" i="16"/>
  <c r="J2798" i="16"/>
  <c r="N2798" i="16" s="1"/>
  <c r="S2798" i="16" s="1"/>
  <c r="T2798" i="16" s="1"/>
  <c r="U2798" i="16" s="1"/>
  <c r="D2798" i="16"/>
  <c r="U2743" i="16"/>
  <c r="S2743" i="16"/>
  <c r="T2743" i="16" s="1"/>
  <c r="M2744" i="16"/>
  <c r="D2744" i="16"/>
  <c r="J2744" i="16"/>
  <c r="N2744" i="16" s="1"/>
  <c r="P2744" i="16"/>
  <c r="Q2744" i="16"/>
  <c r="R2744" i="16"/>
  <c r="L2745" i="16"/>
  <c r="C2745" i="16"/>
  <c r="K2745" i="16" s="1"/>
  <c r="E2745" i="16"/>
  <c r="F2745" i="16"/>
  <c r="O2745" i="16" s="1"/>
  <c r="G2745" i="16"/>
  <c r="I2745" i="16"/>
  <c r="B2746" i="16"/>
  <c r="L2691" i="16"/>
  <c r="E2691" i="16"/>
  <c r="I2691" i="16"/>
  <c r="B2692" i="16"/>
  <c r="C2691" i="16"/>
  <c r="K2691" i="16" s="1"/>
  <c r="F2691" i="16"/>
  <c r="O2691" i="16" s="1"/>
  <c r="G2691" i="16"/>
  <c r="J2690" i="16"/>
  <c r="D2690" i="16"/>
  <c r="P2690" i="16"/>
  <c r="Q2690" i="16"/>
  <c r="R2690" i="16"/>
  <c r="U2635" i="16"/>
  <c r="S2635" i="16"/>
  <c r="T2635" i="16" s="1"/>
  <c r="P2636" i="16"/>
  <c r="Q2636" i="16"/>
  <c r="R2636" i="16"/>
  <c r="D2636" i="16"/>
  <c r="J2636" i="16"/>
  <c r="L2637" i="16"/>
  <c r="C2637" i="16"/>
  <c r="I2637" i="16"/>
  <c r="E2637" i="16"/>
  <c r="G2637" i="16"/>
  <c r="B2638" i="16"/>
  <c r="L2583" i="16"/>
  <c r="C2583" i="16"/>
  <c r="K2583" i="16" s="1"/>
  <c r="G2583" i="16"/>
  <c r="F2583" i="16"/>
  <c r="O2583" i="16" s="1"/>
  <c r="E2583" i="16"/>
  <c r="I2583" i="16"/>
  <c r="B2584" i="16"/>
  <c r="J2582" i="16"/>
  <c r="D2582" i="16"/>
  <c r="P2582" i="16"/>
  <c r="Q2582" i="16"/>
  <c r="R2582" i="16"/>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J2420" i="16"/>
  <c r="P2420" i="16"/>
  <c r="Q2420" i="16"/>
  <c r="R2420" i="16"/>
  <c r="L2421" i="16"/>
  <c r="C2421" i="16"/>
  <c r="K2421" i="16" s="1"/>
  <c r="E2421" i="16"/>
  <c r="F2421" i="16"/>
  <c r="O2421" i="16" s="1"/>
  <c r="G2421" i="16"/>
  <c r="I2421" i="16"/>
  <c r="B2422" i="16"/>
  <c r="D2366" i="16"/>
  <c r="J2366" i="16"/>
  <c r="P2366" i="16"/>
  <c r="Q2366" i="16"/>
  <c r="R2366" i="16"/>
  <c r="L2367" i="16"/>
  <c r="C2367" i="16"/>
  <c r="K2367" i="16" s="1"/>
  <c r="E2367" i="16"/>
  <c r="F2367" i="16"/>
  <c r="O2367" i="16" s="1"/>
  <c r="G2367" i="16"/>
  <c r="I2367" i="16"/>
  <c r="B2368" i="16"/>
  <c r="D2312" i="16"/>
  <c r="J2312" i="16"/>
  <c r="P2312" i="16"/>
  <c r="Q2312" i="16"/>
  <c r="R2312" i="16"/>
  <c r="L2313" i="16"/>
  <c r="C2313" i="16"/>
  <c r="E2313" i="16"/>
  <c r="G2313" i="16"/>
  <c r="I2313" i="16"/>
  <c r="B2314" i="16"/>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U2149" i="16"/>
  <c r="S2149" i="16"/>
  <c r="T2149" i="16" s="1"/>
  <c r="M2150" i="16"/>
  <c r="D2150" i="16"/>
  <c r="J2150" i="16"/>
  <c r="N2150" i="16" s="1"/>
  <c r="P2150" i="16"/>
  <c r="Q2150" i="16"/>
  <c r="R2150" i="16"/>
  <c r="L2151" i="16"/>
  <c r="C2151" i="16"/>
  <c r="E2151" i="16"/>
  <c r="G2151" i="16"/>
  <c r="I2151" i="16"/>
  <c r="B2152" i="16"/>
  <c r="U2095" i="16"/>
  <c r="S2095" i="16"/>
  <c r="T2095" i="16" s="1"/>
  <c r="D2096" i="16"/>
  <c r="J2096" i="16"/>
  <c r="P2096" i="16"/>
  <c r="Q2096" i="16"/>
  <c r="R2096" i="16"/>
  <c r="L2097" i="16"/>
  <c r="C2097" i="16"/>
  <c r="K2097" i="16" s="1"/>
  <c r="E2097" i="16"/>
  <c r="F2097" i="16"/>
  <c r="O2097" i="16" s="1"/>
  <c r="G2097" i="16"/>
  <c r="I2097" i="16"/>
  <c r="B2098" i="16"/>
  <c r="U2041" i="16"/>
  <c r="S2041" i="16"/>
  <c r="T2041" i="16" s="1"/>
  <c r="D2042" i="16"/>
  <c r="J2042" i="16"/>
  <c r="P2042" i="16"/>
  <c r="Q2042" i="16"/>
  <c r="R2042" i="16"/>
  <c r="L2043" i="16"/>
  <c r="C2043" i="16"/>
  <c r="K2043" i="16" s="1"/>
  <c r="E2043" i="16"/>
  <c r="F2043" i="16"/>
  <c r="O2043" i="16" s="1"/>
  <c r="G2043" i="16"/>
  <c r="I2043" i="16"/>
  <c r="B2044" i="16"/>
  <c r="M1988" i="16"/>
  <c r="D1988" i="16"/>
  <c r="J1988" i="16"/>
  <c r="N1988" i="16" s="1"/>
  <c r="P1988" i="16"/>
  <c r="Q1988" i="16"/>
  <c r="R1988" i="16"/>
  <c r="L1989" i="16"/>
  <c r="C1989" i="16"/>
  <c r="K1989" i="16" s="1"/>
  <c r="E1989" i="16"/>
  <c r="F1989" i="16"/>
  <c r="O1989" i="16" s="1"/>
  <c r="G1989" i="16"/>
  <c r="I1989" i="16"/>
  <c r="B1990" i="16"/>
  <c r="U1933" i="16"/>
  <c r="S1933" i="16"/>
  <c r="T1933" i="16" s="1"/>
  <c r="M1934" i="16"/>
  <c r="D1934" i="16"/>
  <c r="J1934" i="16"/>
  <c r="N1934" i="16" s="1"/>
  <c r="P1934" i="16"/>
  <c r="Q1934" i="16"/>
  <c r="R1934" i="16"/>
  <c r="L1935" i="16"/>
  <c r="C1935" i="16"/>
  <c r="K1935" i="16" s="1"/>
  <c r="E1935" i="16"/>
  <c r="F1935" i="16"/>
  <c r="O1935" i="16" s="1"/>
  <c r="G1935" i="16"/>
  <c r="I1935" i="16"/>
  <c r="B1936" i="16"/>
  <c r="U1879" i="16"/>
  <c r="S1879" i="16"/>
  <c r="T1879" i="16" s="1"/>
  <c r="M1880" i="16"/>
  <c r="D1880" i="16"/>
  <c r="J1880" i="16"/>
  <c r="N1880" i="16" s="1"/>
  <c r="P1880" i="16"/>
  <c r="Q1880" i="16"/>
  <c r="R1880" i="16"/>
  <c r="L1881" i="16"/>
  <c r="C1881" i="16"/>
  <c r="B1882" i="16"/>
  <c r="E1881" i="16"/>
  <c r="G1881" i="16"/>
  <c r="I1881" i="16"/>
  <c r="U1825" i="16"/>
  <c r="S1825" i="16"/>
  <c r="T1825" i="16" s="1"/>
  <c r="D1826" i="16"/>
  <c r="J1826" i="16"/>
  <c r="P1826" i="16"/>
  <c r="Q1826" i="16"/>
  <c r="R1826" i="16"/>
  <c r="L1827" i="16"/>
  <c r="C1827" i="16"/>
  <c r="K1827" i="16" s="1"/>
  <c r="E1827" i="16"/>
  <c r="F1827" i="16"/>
  <c r="O1827" i="16" s="1"/>
  <c r="G1827" i="16"/>
  <c r="I1827" i="16"/>
  <c r="B1828" i="16"/>
  <c r="D1772" i="16"/>
  <c r="J1772" i="16"/>
  <c r="P1772" i="16"/>
  <c r="Q1772" i="16"/>
  <c r="R1772" i="16"/>
  <c r="L1773" i="16"/>
  <c r="C1773" i="16"/>
  <c r="K1773" i="16" s="1"/>
  <c r="E1773" i="16"/>
  <c r="F1773" i="16"/>
  <c r="O1773" i="16" s="1"/>
  <c r="G1773" i="16"/>
  <c r="I1773" i="16"/>
  <c r="B1774" i="16"/>
  <c r="M1718" i="16"/>
  <c r="D1718" i="16"/>
  <c r="J1718" i="16"/>
  <c r="N1718" i="16" s="1"/>
  <c r="P1718" i="16"/>
  <c r="Q1718" i="16"/>
  <c r="R1718" i="16"/>
  <c r="L1719" i="16"/>
  <c r="C1719" i="16"/>
  <c r="E1719" i="16"/>
  <c r="G1719" i="16"/>
  <c r="I1719" i="16"/>
  <c r="B1720" i="16"/>
  <c r="S1663" i="16"/>
  <c r="T1663" i="16" s="1"/>
  <c r="U1663" i="16"/>
  <c r="M1664" i="16"/>
  <c r="D1664" i="16"/>
  <c r="J1664" i="16"/>
  <c r="N1664" i="16" s="1"/>
  <c r="P1664" i="16"/>
  <c r="Q1664" i="16"/>
  <c r="R1664" i="16"/>
  <c r="L1665" i="16"/>
  <c r="C1665" i="16"/>
  <c r="K1665" i="16" s="1"/>
  <c r="E1665" i="16"/>
  <c r="F1665" i="16"/>
  <c r="O1665" i="16" s="1"/>
  <c r="G1665" i="16"/>
  <c r="I1665" i="16"/>
  <c r="B1666" i="16"/>
  <c r="U1609" i="16"/>
  <c r="S1609" i="16"/>
  <c r="T1609" i="16" s="1"/>
  <c r="M1610" i="16"/>
  <c r="D1610" i="16"/>
  <c r="J1610" i="16"/>
  <c r="N1610" i="16" s="1"/>
  <c r="P1610" i="16"/>
  <c r="Q1610" i="16"/>
  <c r="R1610" i="16"/>
  <c r="L1611" i="16"/>
  <c r="C1611" i="16"/>
  <c r="K1611" i="16" s="1"/>
  <c r="E1611" i="16"/>
  <c r="F1611" i="16"/>
  <c r="O1611" i="16" s="1"/>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L1503" i="16"/>
  <c r="E1503" i="16"/>
  <c r="G1503" i="16"/>
  <c r="I1503" i="16"/>
  <c r="B1504" i="16"/>
  <c r="C1503" i="16"/>
  <c r="K1503" i="16" s="1"/>
  <c r="F1503" i="16"/>
  <c r="O1503" i="16" s="1"/>
  <c r="D1502" i="16"/>
  <c r="J1502" i="16"/>
  <c r="P1502" i="16"/>
  <c r="Q1502" i="16"/>
  <c r="R1502" i="16"/>
  <c r="U1447" i="16"/>
  <c r="S1447" i="16"/>
  <c r="T1447" i="16" s="1"/>
  <c r="P1448" i="16"/>
  <c r="Q1448" i="16"/>
  <c r="R1448" i="16"/>
  <c r="D1448" i="16"/>
  <c r="J1448" i="16"/>
  <c r="L1449" i="16"/>
  <c r="E1449" i="16"/>
  <c r="C1449" i="16"/>
  <c r="K1449" i="16" s="1"/>
  <c r="I1449" i="16"/>
  <c r="B1450" i="16"/>
  <c r="F1449" i="16"/>
  <c r="O1449" i="16" s="1"/>
  <c r="G1449" i="16"/>
  <c r="P1394" i="16"/>
  <c r="Q1394" i="16"/>
  <c r="R1394" i="16"/>
  <c r="J1394" i="16"/>
  <c r="D1394" i="16"/>
  <c r="L1395" i="16"/>
  <c r="C1395" i="16"/>
  <c r="K1395" i="16" s="1"/>
  <c r="I1395" i="16"/>
  <c r="F1395" i="16"/>
  <c r="O1395" i="16" s="1"/>
  <c r="G1395" i="16"/>
  <c r="B1396" i="16"/>
  <c r="E1395" i="16"/>
  <c r="L1341" i="16"/>
  <c r="C1341" i="16"/>
  <c r="K1341" i="16" s="1"/>
  <c r="B1342" i="16"/>
  <c r="F1341" i="16"/>
  <c r="O1341" i="16" s="1"/>
  <c r="E1341" i="16"/>
  <c r="G1341" i="16"/>
  <c r="I1341" i="16"/>
  <c r="P1340" i="16"/>
  <c r="Q1340" i="16"/>
  <c r="R1340" i="16"/>
  <c r="D1340" i="16"/>
  <c r="J1340" i="16"/>
  <c r="U1285" i="16"/>
  <c r="S1285" i="16"/>
  <c r="T1285" i="16" s="1"/>
  <c r="M1286" i="16"/>
  <c r="L1287" i="16"/>
  <c r="C1287" i="16"/>
  <c r="K1287" i="16" s="1"/>
  <c r="I1287" i="16"/>
  <c r="E1287" i="16"/>
  <c r="G1287" i="16"/>
  <c r="B1288" i="16"/>
  <c r="F1287" i="16"/>
  <c r="O1287" i="16" s="1"/>
  <c r="J1286" i="16"/>
  <c r="N1286" i="16" s="1"/>
  <c r="D1286" i="16"/>
  <c r="P1286" i="16"/>
  <c r="Q1286" i="16"/>
  <c r="R1286" i="16"/>
  <c r="S1231" i="16"/>
  <c r="T1231" i="16" s="1"/>
  <c r="U1231" i="16"/>
  <c r="D1232" i="16"/>
  <c r="J1232" i="16"/>
  <c r="N1232" i="16"/>
  <c r="M1232" i="16"/>
  <c r="P1232" i="16"/>
  <c r="Q1232" i="16"/>
  <c r="R1232" i="16"/>
  <c r="B1234" i="16"/>
  <c r="E1233" i="16"/>
  <c r="G1233" i="16"/>
  <c r="L1233" i="16"/>
  <c r="I1233" i="16"/>
  <c r="C1233" i="16"/>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E1125" i="16"/>
  <c r="G1125" i="16"/>
  <c r="I1125" i="16"/>
  <c r="B1126" i="16"/>
  <c r="U1069" i="16"/>
  <c r="S1069" i="16"/>
  <c r="T1069" i="16" s="1"/>
  <c r="M1070" i="16"/>
  <c r="D1070" i="16"/>
  <c r="J1070" i="16"/>
  <c r="N1070" i="16" s="1"/>
  <c r="P1070" i="16"/>
  <c r="Q1070" i="16"/>
  <c r="R1070" i="16"/>
  <c r="K1071" i="16"/>
  <c r="L1071" i="16"/>
  <c r="C1071" i="16"/>
  <c r="E1071" i="16"/>
  <c r="F1071" i="16"/>
  <c r="O1071" i="16" s="1"/>
  <c r="G1071" i="16"/>
  <c r="I1071" i="16"/>
  <c r="B1072" i="16"/>
  <c r="U1015" i="16"/>
  <c r="S1015" i="16"/>
  <c r="T1015" i="16" s="1"/>
  <c r="M1016" i="16"/>
  <c r="J1016" i="16"/>
  <c r="N1016" i="16" s="1"/>
  <c r="D1016" i="16"/>
  <c r="L1017" i="16"/>
  <c r="E1017" i="16"/>
  <c r="I1017" i="16"/>
  <c r="B1018" i="16"/>
  <c r="C1017" i="16"/>
  <c r="G1017" i="16"/>
  <c r="P1016" i="16"/>
  <c r="Q1016" i="16"/>
  <c r="R1016" i="16"/>
  <c r="U961" i="16"/>
  <c r="S961" i="16"/>
  <c r="T961" i="16" s="1"/>
  <c r="M962" i="16"/>
  <c r="D962" i="16"/>
  <c r="J962" i="16"/>
  <c r="N962" i="16" s="1"/>
  <c r="P962" i="16"/>
  <c r="Q962" i="16"/>
  <c r="R962" i="16"/>
  <c r="L963" i="16"/>
  <c r="C963" i="16"/>
  <c r="K963" i="16" s="1"/>
  <c r="E963" i="16"/>
  <c r="F963" i="16"/>
  <c r="O963" i="16" s="1"/>
  <c r="G963" i="16"/>
  <c r="I963" i="16"/>
  <c r="B964" i="16"/>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P854" i="16"/>
  <c r="Q854" i="16"/>
  <c r="R854" i="16"/>
  <c r="L855" i="16"/>
  <c r="C855" i="16"/>
  <c r="K855" i="16" s="1"/>
  <c r="E855" i="16"/>
  <c r="F855" i="16"/>
  <c r="O855" i="16" s="1"/>
  <c r="G855" i="16"/>
  <c r="I855" i="16"/>
  <c r="B856" i="16"/>
  <c r="U799" i="16"/>
  <c r="S799" i="16"/>
  <c r="T799" i="16" s="1"/>
  <c r="M800" i="16"/>
  <c r="D800" i="16"/>
  <c r="J800" i="16"/>
  <c r="N800" i="16" s="1"/>
  <c r="P800" i="16"/>
  <c r="Q800" i="16"/>
  <c r="R800" i="16"/>
  <c r="L801" i="16"/>
  <c r="C801" i="16"/>
  <c r="K801" i="16" s="1"/>
  <c r="E801" i="16"/>
  <c r="F801" i="16"/>
  <c r="O801" i="16" s="1"/>
  <c r="G801" i="16"/>
  <c r="I801" i="16"/>
  <c r="B802" i="16"/>
  <c r="U745" i="16"/>
  <c r="S745" i="16"/>
  <c r="T745" i="16" s="1"/>
  <c r="D746" i="16"/>
  <c r="J746" i="16"/>
  <c r="P746" i="16"/>
  <c r="Q746" i="16"/>
  <c r="R746" i="16"/>
  <c r="L747" i="16"/>
  <c r="C747" i="16"/>
  <c r="K747" i="16" s="1"/>
  <c r="E747" i="16"/>
  <c r="F747" i="16"/>
  <c r="O747" i="16" s="1"/>
  <c r="G747" i="16"/>
  <c r="I747" i="16"/>
  <c r="B748" i="16"/>
  <c r="U691" i="16"/>
  <c r="S691" i="16"/>
  <c r="T691" i="16" s="1"/>
  <c r="M692" i="16"/>
  <c r="D692" i="16"/>
  <c r="J692" i="16"/>
  <c r="N692" i="16" s="1"/>
  <c r="P692" i="16"/>
  <c r="Q692" i="16"/>
  <c r="R692" i="16"/>
  <c r="L693" i="16"/>
  <c r="C693" i="16"/>
  <c r="E693" i="16"/>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U583" i="16"/>
  <c r="S583" i="16"/>
  <c r="T583" i="16" s="1"/>
  <c r="M584" i="16"/>
  <c r="D584" i="16"/>
  <c r="J584" i="16"/>
  <c r="N584" i="16" s="1"/>
  <c r="P584" i="16"/>
  <c r="Q584" i="16"/>
  <c r="R584" i="16"/>
  <c r="L585" i="16"/>
  <c r="C585" i="16"/>
  <c r="E585" i="16"/>
  <c r="G585" i="16"/>
  <c r="I585" i="16"/>
  <c r="B586" i="16"/>
  <c r="U529" i="16"/>
  <c r="S529" i="16"/>
  <c r="T529" i="16" s="1"/>
  <c r="M530" i="16"/>
  <c r="D530" i="16"/>
  <c r="J530" i="16"/>
  <c r="N530" i="16" s="1"/>
  <c r="P530" i="16"/>
  <c r="Q530" i="16"/>
  <c r="R530" i="16"/>
  <c r="L531" i="16"/>
  <c r="C531" i="16"/>
  <c r="K531" i="16" s="1"/>
  <c r="E531" i="16"/>
  <c r="F531" i="16"/>
  <c r="O531" i="16" s="1"/>
  <c r="G531" i="16"/>
  <c r="I531" i="16"/>
  <c r="B532" i="16"/>
  <c r="U475" i="16"/>
  <c r="S475" i="16"/>
  <c r="T475" i="16" s="1"/>
  <c r="D476" i="16"/>
  <c r="M476" i="16" s="1"/>
  <c r="J476" i="16"/>
  <c r="P476" i="16"/>
  <c r="Q476" i="16"/>
  <c r="R476" i="16"/>
  <c r="L477" i="16"/>
  <c r="C477" i="16"/>
  <c r="K477" i="16" s="1"/>
  <c r="E477" i="16"/>
  <c r="F477" i="16"/>
  <c r="O477" i="16" s="1"/>
  <c r="G477" i="16"/>
  <c r="I477" i="16"/>
  <c r="B478" i="16"/>
  <c r="M422" i="16"/>
  <c r="D422" i="16"/>
  <c r="J422" i="16"/>
  <c r="N422" i="16" s="1"/>
  <c r="P422" i="16"/>
  <c r="Q422" i="16"/>
  <c r="R422" i="16"/>
  <c r="L423" i="16"/>
  <c r="C423" i="16"/>
  <c r="K423" i="16" s="1"/>
  <c r="E423" i="16"/>
  <c r="F423" i="16"/>
  <c r="O423" i="16" s="1"/>
  <c r="G423" i="16"/>
  <c r="I423" i="16"/>
  <c r="B424" i="16"/>
  <c r="U367" i="16"/>
  <c r="S367" i="16"/>
  <c r="T367" i="16" s="1"/>
  <c r="M368" i="16"/>
  <c r="D368" i="16"/>
  <c r="J368" i="16"/>
  <c r="N368" i="16" s="1"/>
  <c r="P368" i="16"/>
  <c r="Q368" i="16"/>
  <c r="R368" i="16"/>
  <c r="L369" i="16"/>
  <c r="C369" i="16"/>
  <c r="K369" i="16" s="1"/>
  <c r="E369" i="16"/>
  <c r="F369" i="16"/>
  <c r="O369" i="16" s="1"/>
  <c r="G369" i="16"/>
  <c r="I369" i="16"/>
  <c r="B370" i="16"/>
  <c r="U313" i="16"/>
  <c r="S313" i="16"/>
  <c r="T313" i="16" s="1"/>
  <c r="D314" i="16"/>
  <c r="J314" i="16"/>
  <c r="P314" i="16"/>
  <c r="Q314" i="16"/>
  <c r="R314" i="16"/>
  <c r="L315" i="16"/>
  <c r="C315" i="16"/>
  <c r="E315" i="16"/>
  <c r="G315" i="16"/>
  <c r="I315" i="16"/>
  <c r="B316" i="16"/>
  <c r="U259" i="16"/>
  <c r="S259" i="16"/>
  <c r="T259" i="16" s="1"/>
  <c r="D260" i="16"/>
  <c r="J260" i="16"/>
  <c r="P260" i="16"/>
  <c r="Q260" i="16"/>
  <c r="R260" i="16"/>
  <c r="L261" i="16"/>
  <c r="C261" i="16"/>
  <c r="K261" i="16" s="1"/>
  <c r="E261" i="16"/>
  <c r="F261" i="16"/>
  <c r="O261" i="16" s="1"/>
  <c r="G261" i="16"/>
  <c r="I261" i="16"/>
  <c r="B262" i="16"/>
  <c r="U205" i="16"/>
  <c r="S205" i="16"/>
  <c r="T205" i="16" s="1"/>
  <c r="M206" i="16"/>
  <c r="P206" i="16"/>
  <c r="Q206" i="16"/>
  <c r="R206" i="16"/>
  <c r="L207" i="16"/>
  <c r="B208" i="16"/>
  <c r="C207" i="16"/>
  <c r="K207" i="16" s="1"/>
  <c r="E207" i="16"/>
  <c r="F207" i="16"/>
  <c r="O207" i="16" s="1"/>
  <c r="G207" i="16"/>
  <c r="I207" i="16"/>
  <c r="J206" i="16"/>
  <c r="N206" i="16" s="1"/>
  <c r="D206" i="16"/>
  <c r="M152" i="16"/>
  <c r="D152" i="16"/>
  <c r="J152" i="16"/>
  <c r="N152" i="16" s="1"/>
  <c r="P152" i="16"/>
  <c r="Q152" i="16"/>
  <c r="R152" i="16"/>
  <c r="L153" i="16"/>
  <c r="E153" i="16"/>
  <c r="B154" i="16"/>
  <c r="C153" i="16"/>
  <c r="K153" i="16" s="1"/>
  <c r="F153" i="16"/>
  <c r="O153" i="16" s="1"/>
  <c r="G153" i="16"/>
  <c r="I153" i="16"/>
  <c r="U97" i="16"/>
  <c r="S97" i="16"/>
  <c r="T97" i="16" s="1"/>
  <c r="M98" i="16"/>
  <c r="D98" i="16"/>
  <c r="J98" i="16"/>
  <c r="N98" i="16" s="1"/>
  <c r="P98" i="16"/>
  <c r="Q98" i="16"/>
  <c r="R98" i="16"/>
  <c r="L99" i="16"/>
  <c r="C99" i="16"/>
  <c r="E99" i="16"/>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K37" i="4" s="1"/>
  <c r="E37" i="4"/>
  <c r="F37" i="4"/>
  <c r="C37" i="5" s="1"/>
  <c r="E37" i="5" s="1"/>
  <c r="G37" i="4"/>
  <c r="AP37" i="4" s="1"/>
  <c r="I37" i="4"/>
  <c r="B38" i="4"/>
  <c r="B37" i="5"/>
  <c r="AQ16" i="4"/>
  <c r="B84" i="7"/>
  <c r="I84" i="7" s="1"/>
  <c r="AQ15" i="4"/>
  <c r="AP17" i="4"/>
  <c r="AP18" i="4"/>
  <c r="AP19" i="4"/>
  <c r="AP20" i="4"/>
  <c r="AP21" i="4"/>
  <c r="AP22" i="4"/>
  <c r="AP23" i="4"/>
  <c r="AP24" i="4"/>
  <c r="AP25" i="4"/>
  <c r="AP26" i="4"/>
  <c r="AP27" i="4"/>
  <c r="AP28" i="4"/>
  <c r="AP29" i="4"/>
  <c r="AP30" i="4"/>
  <c r="AP31" i="4"/>
  <c r="AP32" i="4"/>
  <c r="AP33" i="4"/>
  <c r="AP34" i="4"/>
  <c r="AP35" i="4"/>
  <c r="AP36" i="4"/>
  <c r="U4176" i="16"/>
  <c r="S4176" i="16"/>
  <c r="T4176" i="16" s="1"/>
  <c r="U3714" i="16"/>
  <c r="S3714" i="16"/>
  <c r="T3714" i="16" s="1"/>
  <c r="S3660" i="16"/>
  <c r="T3660" i="16" s="1"/>
  <c r="U3660" i="16"/>
  <c r="U3498" i="16"/>
  <c r="S3498" i="16"/>
  <c r="T3498" i="16" s="1"/>
  <c r="U3120" i="16"/>
  <c r="S3120" i="16"/>
  <c r="T3120" i="16" s="1"/>
  <c r="U2904" i="16"/>
  <c r="S2904" i="16"/>
  <c r="T2904" i="16" s="1"/>
  <c r="U2850" i="16"/>
  <c r="S2850" i="16"/>
  <c r="T2850" i="16" s="1"/>
  <c r="U2688" i="16"/>
  <c r="S2688" i="16"/>
  <c r="T2688" i="16" s="1"/>
  <c r="U2634" i="16"/>
  <c r="S2634" i="16"/>
  <c r="T2634" i="16" s="1"/>
  <c r="U2580" i="16"/>
  <c r="S2580" i="16"/>
  <c r="T2580" i="16" s="1"/>
  <c r="U2418" i="16"/>
  <c r="S2418" i="16"/>
  <c r="T2418" i="16" s="1"/>
  <c r="U2364" i="16"/>
  <c r="S2364" i="16"/>
  <c r="T2364" i="16" s="1"/>
  <c r="U1878" i="16"/>
  <c r="S1878" i="16"/>
  <c r="T1878" i="16" s="1"/>
  <c r="U1824" i="16"/>
  <c r="S1824" i="16"/>
  <c r="T1824" i="16" s="1"/>
  <c r="U1554" i="16"/>
  <c r="S1554" i="16"/>
  <c r="T1554" i="16" s="1"/>
  <c r="U1446" i="16"/>
  <c r="S1446" i="16"/>
  <c r="T1446" i="16" s="1"/>
  <c r="U1338" i="16"/>
  <c r="S1338" i="16"/>
  <c r="T1338" i="16" s="1"/>
  <c r="U1284" i="16"/>
  <c r="S1284" i="16"/>
  <c r="T1284" i="16" s="1"/>
  <c r="S1230" i="16"/>
  <c r="T1230" i="16" s="1"/>
  <c r="U1230" i="16"/>
  <c r="U798" i="16"/>
  <c r="S798" i="16"/>
  <c r="T798" i="16" s="1"/>
  <c r="U474" i="16"/>
  <c r="S474" i="16"/>
  <c r="T474" i="16" s="1"/>
  <c r="U420" i="16"/>
  <c r="S420" i="16"/>
  <c r="T420" i="16" s="1"/>
  <c r="U204" i="16"/>
  <c r="S204" i="16"/>
  <c r="T204" i="16" s="1"/>
  <c r="U150" i="16"/>
  <c r="S150" i="16"/>
  <c r="T150" i="16" s="1"/>
  <c r="M4585" i="16"/>
  <c r="N4585" i="16"/>
  <c r="M4231" i="16"/>
  <c r="N4231" i="16"/>
  <c r="M3715" i="16"/>
  <c r="N3715" i="16"/>
  <c r="M3499" i="16"/>
  <c r="N3499" i="16"/>
  <c r="N3445" i="16"/>
  <c r="M3445" i="16"/>
  <c r="M3391" i="16"/>
  <c r="N3391" i="16"/>
  <c r="N3229" i="16"/>
  <c r="M3229" i="16"/>
  <c r="N2851" i="16"/>
  <c r="M2851" i="16"/>
  <c r="M2797" i="16"/>
  <c r="N2797" i="16"/>
  <c r="S2797" i="16" s="1"/>
  <c r="T2797" i="16" s="1"/>
  <c r="U2797" i="16" s="1"/>
  <c r="M2689" i="16"/>
  <c r="N2689" i="16"/>
  <c r="M2581" i="16"/>
  <c r="N2581" i="16"/>
  <c r="M2527" i="16"/>
  <c r="N2527" i="16"/>
  <c r="M2365" i="16"/>
  <c r="N2365" i="16"/>
  <c r="M2311" i="16"/>
  <c r="N2311" i="16"/>
  <c r="M2257" i="16"/>
  <c r="N2257" i="16"/>
  <c r="M1987" i="16"/>
  <c r="N1987" i="16"/>
  <c r="M1771" i="16"/>
  <c r="N1771" i="16"/>
  <c r="M1717" i="16"/>
  <c r="N1717" i="16"/>
  <c r="N1501" i="16"/>
  <c r="M1501" i="16"/>
  <c r="N1393" i="16"/>
  <c r="M1393" i="16"/>
  <c r="M1339" i="16"/>
  <c r="N1339" i="16"/>
  <c r="M1177" i="16"/>
  <c r="N1177" i="16"/>
  <c r="M907" i="16"/>
  <c r="N907" i="16"/>
  <c r="M421" i="16"/>
  <c r="N421" i="16"/>
  <c r="M151" i="16"/>
  <c r="N151" i="16"/>
  <c r="K4232" i="16"/>
  <c r="F4232" i="16"/>
  <c r="O4232" i="16" s="1"/>
  <c r="F3716" i="16"/>
  <c r="O3716" i="16" s="1"/>
  <c r="K3716" i="16"/>
  <c r="K3230" i="16"/>
  <c r="F3230" i="16"/>
  <c r="O3230" i="16" s="1"/>
  <c r="K3068" i="16"/>
  <c r="F3068" i="16"/>
  <c r="O3068" i="16" s="1"/>
  <c r="K3014" i="16"/>
  <c r="F3014" i="16"/>
  <c r="O3014" i="16" s="1"/>
  <c r="F2690" i="16"/>
  <c r="O2690" i="16" s="1"/>
  <c r="K2690" i="16"/>
  <c r="F2636" i="16"/>
  <c r="O2636" i="16" s="1"/>
  <c r="K2636" i="16"/>
  <c r="F2582" i="16"/>
  <c r="O2582" i="16" s="1"/>
  <c r="K2582" i="16"/>
  <c r="K2366" i="16"/>
  <c r="F2366" i="16"/>
  <c r="O2366" i="16" s="1"/>
  <c r="F2312" i="16"/>
  <c r="O2312" i="16" s="1"/>
  <c r="K2312" i="16"/>
  <c r="K2096" i="16"/>
  <c r="F2096" i="16"/>
  <c r="O2096" i="16" s="1"/>
  <c r="F2042" i="16"/>
  <c r="O2042" i="16" s="1"/>
  <c r="K2042" i="16"/>
  <c r="F1826" i="16"/>
  <c r="O1826" i="16" s="1"/>
  <c r="K1826" i="16"/>
  <c r="K1772" i="16"/>
  <c r="F1772" i="16"/>
  <c r="O1772" i="16" s="1"/>
  <c r="K1502" i="16"/>
  <c r="F1502" i="16"/>
  <c r="O1502" i="16" s="1"/>
  <c r="K1448" i="16"/>
  <c r="F1448" i="16"/>
  <c r="O1448" i="16" s="1"/>
  <c r="K1394" i="16"/>
  <c r="F1394" i="16"/>
  <c r="O1394" i="16" s="1"/>
  <c r="F1340" i="16"/>
  <c r="O1340" i="16" s="1"/>
  <c r="K1340" i="16"/>
  <c r="F746" i="16"/>
  <c r="O746" i="16" s="1"/>
  <c r="K746" i="16"/>
  <c r="F314" i="16"/>
  <c r="O314" i="16" s="1"/>
  <c r="K314" i="16"/>
  <c r="K260" i="16"/>
  <c r="F260" i="16"/>
  <c r="O260" i="16" s="1"/>
  <c r="F35" i="5"/>
  <c r="G35" i="5"/>
  <c r="H35" i="5"/>
  <c r="N2420" i="16" l="1"/>
  <c r="N1124" i="16"/>
  <c r="N476" i="16"/>
  <c r="K2151" i="16"/>
  <c r="F2151" i="16"/>
  <c r="O2151" i="16" s="1"/>
  <c r="K1719" i="16"/>
  <c r="F1719" i="16"/>
  <c r="O1719" i="16" s="1"/>
  <c r="K1125" i="16"/>
  <c r="F1125" i="16"/>
  <c r="O1125" i="16" s="1"/>
  <c r="K693" i="16"/>
  <c r="F693" i="16"/>
  <c r="O693" i="16" s="1"/>
  <c r="K315" i="16"/>
  <c r="F315" i="16"/>
  <c r="O315" i="16" s="1"/>
  <c r="K99" i="16"/>
  <c r="F99" i="16"/>
  <c r="O99" i="16" s="1"/>
  <c r="S4694" i="16"/>
  <c r="U4694" i="16"/>
  <c r="M4695" i="16"/>
  <c r="D4695" i="16"/>
  <c r="J4695" i="16"/>
  <c r="N4695" i="16" s="1"/>
  <c r="P4695" i="16"/>
  <c r="Q4695" i="16"/>
  <c r="R4695" i="16"/>
  <c r="L4696" i="16"/>
  <c r="C4696" i="16"/>
  <c r="K4696" i="16" s="1"/>
  <c r="E4696" i="16"/>
  <c r="F4696" i="16"/>
  <c r="G4696" i="16"/>
  <c r="I4696" i="16"/>
  <c r="B4697" i="16"/>
  <c r="P4641" i="16"/>
  <c r="Q4641" i="16"/>
  <c r="R4641" i="16"/>
  <c r="C4642" i="16"/>
  <c r="D4642" i="16" s="1"/>
  <c r="E4642" i="16"/>
  <c r="F4642" i="16"/>
  <c r="O4642" i="16" s="1"/>
  <c r="G4642" i="16"/>
  <c r="B4643" i="16"/>
  <c r="D4587" i="16"/>
  <c r="J4587" i="16"/>
  <c r="P4587" i="16"/>
  <c r="Q4587" i="16"/>
  <c r="R4587" i="16"/>
  <c r="L4588" i="16"/>
  <c r="C4588" i="16"/>
  <c r="E4588" i="16"/>
  <c r="G4588" i="16"/>
  <c r="I4588" i="16"/>
  <c r="B4589" i="16"/>
  <c r="D4533" i="16"/>
  <c r="J4533" i="16"/>
  <c r="N4533" i="16" s="1"/>
  <c r="P4533" i="16"/>
  <c r="Q4533" i="16"/>
  <c r="R4533" i="16"/>
  <c r="C4534" i="16"/>
  <c r="E4534" i="16"/>
  <c r="F4534" i="16"/>
  <c r="G4534" i="16"/>
  <c r="K4534" i="16"/>
  <c r="B4535" i="16"/>
  <c r="I4534" i="16"/>
  <c r="L4534" i="16"/>
  <c r="M4533" i="16"/>
  <c r="M4233" i="16"/>
  <c r="D4233" i="16"/>
  <c r="J4233" i="16"/>
  <c r="N4233" i="16" s="1"/>
  <c r="P4233" i="16"/>
  <c r="Q4233" i="16"/>
  <c r="R4233" i="16"/>
  <c r="L4234" i="16"/>
  <c r="C4234" i="16"/>
  <c r="K4234" i="16" s="1"/>
  <c r="E4234" i="16"/>
  <c r="F4234" i="16"/>
  <c r="O4234" i="16" s="1"/>
  <c r="G4234" i="16"/>
  <c r="I4234" i="16"/>
  <c r="B4235" i="16"/>
  <c r="U4178" i="16"/>
  <c r="S4178" i="16"/>
  <c r="T4178" i="16" s="1"/>
  <c r="P4179" i="16"/>
  <c r="Q4179" i="16"/>
  <c r="R4179" i="16"/>
  <c r="C4180" i="16"/>
  <c r="E4180" i="16"/>
  <c r="F4180" i="16"/>
  <c r="O4180" i="16" s="1"/>
  <c r="G4180" i="16"/>
  <c r="I4180" i="16"/>
  <c r="K4180" i="16"/>
  <c r="B4181" i="16"/>
  <c r="L4180" i="16"/>
  <c r="D4179" i="16"/>
  <c r="J4179" i="16"/>
  <c r="N4179" i="16" s="1"/>
  <c r="M4179" i="16"/>
  <c r="U4124" i="16"/>
  <c r="S4124" i="16"/>
  <c r="T4124" i="16" s="1"/>
  <c r="P4125" i="16"/>
  <c r="Q4125" i="16"/>
  <c r="R4125" i="16"/>
  <c r="D4125" i="16"/>
  <c r="J4125" i="16"/>
  <c r="N4125" i="16" s="1"/>
  <c r="M4125" i="16"/>
  <c r="E4126" i="16"/>
  <c r="G4126" i="16"/>
  <c r="L4126" i="16"/>
  <c r="B4127" i="16"/>
  <c r="I4126" i="16"/>
  <c r="C4126" i="16"/>
  <c r="F4126" i="16"/>
  <c r="O4126" i="16" s="1"/>
  <c r="K4126"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D3771" i="16"/>
  <c r="J3771" i="16"/>
  <c r="P3771" i="16"/>
  <c r="Q3771" i="16"/>
  <c r="R3771" i="16"/>
  <c r="L3772" i="16"/>
  <c r="C3772" i="16"/>
  <c r="K3772" i="16" s="1"/>
  <c r="E3772" i="16"/>
  <c r="F3772" i="16"/>
  <c r="O3772" i="16" s="1"/>
  <c r="G3772" i="16"/>
  <c r="I3772" i="16"/>
  <c r="B3773" i="16"/>
  <c r="M3717" i="16"/>
  <c r="D3717" i="16"/>
  <c r="J3717" i="16"/>
  <c r="N3717" i="16" s="1"/>
  <c r="P3717" i="16"/>
  <c r="Q3717" i="16"/>
  <c r="R3717" i="16"/>
  <c r="L3718" i="16"/>
  <c r="C3718" i="16"/>
  <c r="K3718" i="16" s="1"/>
  <c r="E3718" i="16"/>
  <c r="F3718" i="16"/>
  <c r="O3718" i="16" s="1"/>
  <c r="G3718" i="16"/>
  <c r="I3718" i="16"/>
  <c r="B3719" i="16"/>
  <c r="S3662" i="16"/>
  <c r="T3662" i="16" s="1"/>
  <c r="U3662" i="16"/>
  <c r="P3663" i="16"/>
  <c r="Q3663" i="16"/>
  <c r="R3663" i="16"/>
  <c r="J3663" i="16"/>
  <c r="D3663" i="16"/>
  <c r="L3664" i="16"/>
  <c r="C3664" i="16"/>
  <c r="E3664" i="16"/>
  <c r="I3664" i="16"/>
  <c r="G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M3501" i="16"/>
  <c r="D3501" i="16"/>
  <c r="J3501" i="16"/>
  <c r="N3501" i="16" s="1"/>
  <c r="P3501" i="16"/>
  <c r="Q3501" i="16"/>
  <c r="R3501" i="16"/>
  <c r="L3502" i="16"/>
  <c r="C3502" i="16"/>
  <c r="E3502" i="16"/>
  <c r="G3502" i="16"/>
  <c r="I3502" i="16"/>
  <c r="B3503" i="16"/>
  <c r="S3446" i="16"/>
  <c r="T3446" i="16" s="1"/>
  <c r="U3446" i="16"/>
  <c r="D3447" i="16"/>
  <c r="J3447" i="16"/>
  <c r="P3447" i="16"/>
  <c r="Q3447" i="16"/>
  <c r="R3447" i="16"/>
  <c r="L3448" i="16"/>
  <c r="C3448" i="16"/>
  <c r="K3448" i="16" s="1"/>
  <c r="E3448" i="16"/>
  <c r="F3448" i="16"/>
  <c r="O3448" i="16" s="1"/>
  <c r="G3448" i="16"/>
  <c r="B3449" i="16"/>
  <c r="I3448" i="16"/>
  <c r="U3392" i="16"/>
  <c r="S3392" i="16"/>
  <c r="T3392" i="16" s="1"/>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M3231" i="16"/>
  <c r="D3231" i="16"/>
  <c r="J3231" i="16"/>
  <c r="N3231" i="16" s="1"/>
  <c r="P3231" i="16"/>
  <c r="Q3231" i="16"/>
  <c r="R3231" i="16"/>
  <c r="L3232" i="16"/>
  <c r="C3232" i="16"/>
  <c r="E3232" i="16"/>
  <c r="G3232" i="16"/>
  <c r="I3232" i="16"/>
  <c r="B3233" i="16"/>
  <c r="U3176" i="16"/>
  <c r="S3176" i="16"/>
  <c r="T3176" i="16" s="1"/>
  <c r="M3177" i="16"/>
  <c r="D3177" i="16"/>
  <c r="J3177" i="16"/>
  <c r="N3177" i="16" s="1"/>
  <c r="P3177" i="16"/>
  <c r="Q3177" i="16"/>
  <c r="R3177" i="16"/>
  <c r="L3178" i="16"/>
  <c r="C3178" i="16"/>
  <c r="E3178" i="16"/>
  <c r="G3178" i="16"/>
  <c r="I3178" i="16"/>
  <c r="B3179" i="16"/>
  <c r="U3122" i="16"/>
  <c r="S3122" i="16"/>
  <c r="T3122" i="16" s="1"/>
  <c r="D3123" i="16"/>
  <c r="J3123" i="16"/>
  <c r="P3123" i="16"/>
  <c r="Q3123" i="16"/>
  <c r="R3123" i="16"/>
  <c r="L3124" i="16"/>
  <c r="C3124" i="16"/>
  <c r="K3124" i="16" s="1"/>
  <c r="E3124" i="16"/>
  <c r="F3124" i="16"/>
  <c r="O3124" i="16" s="1"/>
  <c r="G3124" i="16"/>
  <c r="I3124" i="16"/>
  <c r="B3125" i="16"/>
  <c r="M3069" i="16"/>
  <c r="P3069" i="16"/>
  <c r="Q3069" i="16"/>
  <c r="R3069" i="16"/>
  <c r="J3069" i="16"/>
  <c r="N3069" i="16" s="1"/>
  <c r="D3069" i="16"/>
  <c r="L3070" i="16"/>
  <c r="G3070" i="16"/>
  <c r="E3070" i="16"/>
  <c r="C3070" i="16"/>
  <c r="K3070" i="16" s="1"/>
  <c r="F3070" i="16"/>
  <c r="O3070" i="16" s="1"/>
  <c r="I3070" i="16"/>
  <c r="B3071" i="16"/>
  <c r="D3015" i="16"/>
  <c r="J3015" i="16"/>
  <c r="L3016" i="16"/>
  <c r="G3016" i="16"/>
  <c r="B3017" i="16"/>
  <c r="E3016" i="16"/>
  <c r="I3016" i="16"/>
  <c r="C3016" i="16"/>
  <c r="K3016" i="16" s="1"/>
  <c r="F3016" i="16"/>
  <c r="O3016" i="16" s="1"/>
  <c r="P3015" i="16"/>
  <c r="Q3015" i="16"/>
  <c r="R3015" i="16"/>
  <c r="U2960" i="16"/>
  <c r="S2960" i="16"/>
  <c r="T2960" i="16" s="1"/>
  <c r="D2961" i="16"/>
  <c r="J2961" i="16"/>
  <c r="P2961" i="16"/>
  <c r="Q2961" i="16"/>
  <c r="R2961" i="16"/>
  <c r="L2962" i="16"/>
  <c r="C2962" i="16"/>
  <c r="K2962" i="16" s="1"/>
  <c r="E2962" i="16"/>
  <c r="F2962" i="16"/>
  <c r="O2962" i="16" s="1"/>
  <c r="G2962" i="16"/>
  <c r="I2962" i="16"/>
  <c r="B2963" i="16"/>
  <c r="U2906" i="16"/>
  <c r="S2906" i="16"/>
  <c r="T2906" i="16" s="1"/>
  <c r="M2907" i="16"/>
  <c r="D2907" i="16"/>
  <c r="J2907" i="16"/>
  <c r="N2907" i="16" s="1"/>
  <c r="P2907" i="16"/>
  <c r="Q2907" i="16"/>
  <c r="R2907" i="16"/>
  <c r="L2908" i="16"/>
  <c r="C2908" i="16"/>
  <c r="K2908" i="16" s="1"/>
  <c r="E2908" i="16"/>
  <c r="F2908" i="16"/>
  <c r="O2908" i="16" s="1"/>
  <c r="G2908" i="16"/>
  <c r="I2908" i="16"/>
  <c r="B2909" i="16"/>
  <c r="U2852" i="16"/>
  <c r="S2852" i="16"/>
  <c r="T2852" i="16" s="1"/>
  <c r="P2853" i="16"/>
  <c r="Q2853" i="16"/>
  <c r="R2853" i="16"/>
  <c r="J2853" i="16"/>
  <c r="D2853" i="16"/>
  <c r="L2854" i="16"/>
  <c r="I2854" i="16"/>
  <c r="G2854" i="16"/>
  <c r="C2854" i="16"/>
  <c r="K2854" i="16" s="1"/>
  <c r="E2854" i="16"/>
  <c r="F2854" i="16"/>
  <c r="O2854" i="16" s="1"/>
  <c r="B2855" i="16"/>
  <c r="P2799" i="16"/>
  <c r="Q2799" i="16"/>
  <c r="R2799" i="16"/>
  <c r="L2800" i="16"/>
  <c r="I2800" i="16"/>
  <c r="E2800" i="16"/>
  <c r="C2800" i="16"/>
  <c r="K2800" i="16" s="1"/>
  <c r="F2800" i="16"/>
  <c r="O2800" i="16" s="1"/>
  <c r="G2800" i="16"/>
  <c r="B2801" i="16"/>
  <c r="D2799" i="16"/>
  <c r="J2799" i="16"/>
  <c r="U2744" i="16"/>
  <c r="S2744" i="16"/>
  <c r="T2744" i="16" s="1"/>
  <c r="M2745" i="16"/>
  <c r="D2745" i="16"/>
  <c r="J2745" i="16"/>
  <c r="N2745" i="16" s="1"/>
  <c r="P2745" i="16"/>
  <c r="Q2745" i="16"/>
  <c r="R2745" i="16"/>
  <c r="L2746" i="16"/>
  <c r="C2746" i="16"/>
  <c r="K2746" i="16" s="1"/>
  <c r="E2746" i="16"/>
  <c r="F2746" i="16"/>
  <c r="O2746" i="16" s="1"/>
  <c r="G2746" i="16"/>
  <c r="I2746" i="16"/>
  <c r="B2747" i="16"/>
  <c r="M2691" i="16"/>
  <c r="L2692" i="16"/>
  <c r="G2692" i="16"/>
  <c r="I2692" i="16"/>
  <c r="E2692" i="16"/>
  <c r="B2693" i="16"/>
  <c r="C2692" i="16"/>
  <c r="D2691" i="16"/>
  <c r="J2691" i="16"/>
  <c r="N2691" i="16" s="1"/>
  <c r="P2691" i="16"/>
  <c r="Q2691" i="16"/>
  <c r="R2691" i="16"/>
  <c r="D2637" i="16"/>
  <c r="J2637" i="16"/>
  <c r="P2637" i="16"/>
  <c r="Q2637" i="16"/>
  <c r="R2637" i="16"/>
  <c r="L2638" i="16"/>
  <c r="I2638" i="16"/>
  <c r="G2638" i="16"/>
  <c r="C2638" i="16"/>
  <c r="E2638" i="16"/>
  <c r="B2639" i="16"/>
  <c r="M2583" i="16"/>
  <c r="J2583" i="16"/>
  <c r="N2583" i="16" s="1"/>
  <c r="D2583" i="16"/>
  <c r="Q2583" i="16"/>
  <c r="P2583" i="16"/>
  <c r="R2583" i="16"/>
  <c r="L2584" i="16"/>
  <c r="C2584" i="16"/>
  <c r="K2584" i="16" s="1"/>
  <c r="G2584" i="16"/>
  <c r="B2585" i="16"/>
  <c r="E2584" i="16"/>
  <c r="F2584" i="16"/>
  <c r="O2584" i="16" s="1"/>
  <c r="I2584"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E2476" i="16"/>
  <c r="G2476" i="16"/>
  <c r="I2476" i="16"/>
  <c r="B2477" i="16"/>
  <c r="U2420" i="16"/>
  <c r="S2420" i="16"/>
  <c r="T2420" i="16" s="1"/>
  <c r="M2421" i="16"/>
  <c r="D2421" i="16"/>
  <c r="J2421" i="16"/>
  <c r="N2421" i="16" s="1"/>
  <c r="P2421" i="16"/>
  <c r="Q2421" i="16"/>
  <c r="R2421" i="16"/>
  <c r="L2422" i="16"/>
  <c r="C2422" i="16"/>
  <c r="K2422" i="16" s="1"/>
  <c r="E2422" i="16"/>
  <c r="F2422" i="16"/>
  <c r="O2422" i="16" s="1"/>
  <c r="G2422" i="16"/>
  <c r="I2422" i="16"/>
  <c r="B2423" i="16"/>
  <c r="M2367" i="16"/>
  <c r="D2367" i="16"/>
  <c r="J2367" i="16"/>
  <c r="N2367" i="16" s="1"/>
  <c r="P2367" i="16"/>
  <c r="Q2367" i="16"/>
  <c r="R2367" i="16"/>
  <c r="L2368" i="16"/>
  <c r="C2368" i="16"/>
  <c r="E2368" i="16"/>
  <c r="G2368" i="16"/>
  <c r="I2368" i="16"/>
  <c r="B2369" i="16"/>
  <c r="D2313" i="16"/>
  <c r="J2313" i="16"/>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M2151" i="16"/>
  <c r="D2151" i="16"/>
  <c r="J2151" i="16"/>
  <c r="N2151" i="16" s="1"/>
  <c r="P2151" i="16"/>
  <c r="Q2151" i="16"/>
  <c r="R2151" i="16"/>
  <c r="L2152" i="16"/>
  <c r="C2152" i="16"/>
  <c r="K2152" i="16" s="1"/>
  <c r="E2152" i="16"/>
  <c r="F2152" i="16"/>
  <c r="O2152" i="16" s="1"/>
  <c r="G2152" i="16"/>
  <c r="I2152" i="16"/>
  <c r="B2153" i="16"/>
  <c r="M2097" i="16"/>
  <c r="D2097" i="16"/>
  <c r="J2097" i="16"/>
  <c r="N2097" i="16" s="1"/>
  <c r="P2097" i="16"/>
  <c r="Q2097" i="16"/>
  <c r="R2097" i="16"/>
  <c r="L2098" i="16"/>
  <c r="C2098" i="16"/>
  <c r="K2098" i="16" s="1"/>
  <c r="E2098" i="16"/>
  <c r="F2098" i="16"/>
  <c r="O2098" i="16" s="1"/>
  <c r="G2098" i="16"/>
  <c r="I2098" i="16"/>
  <c r="B2099" i="16"/>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S1880" i="16"/>
  <c r="T1880" i="16" s="1"/>
  <c r="U1880" i="16"/>
  <c r="D1881" i="16"/>
  <c r="J1881" i="16"/>
  <c r="L1882" i="16"/>
  <c r="E1882" i="16"/>
  <c r="C1882" i="16"/>
  <c r="B1883" i="16"/>
  <c r="I1882" i="16"/>
  <c r="G1882" i="16"/>
  <c r="P1881" i="16"/>
  <c r="Q1881" i="16"/>
  <c r="R1881" i="16"/>
  <c r="M1827" i="16"/>
  <c r="D1827" i="16"/>
  <c r="J1827" i="16"/>
  <c r="N1827" i="16" s="1"/>
  <c r="P1827" i="16"/>
  <c r="Q1827" i="16"/>
  <c r="R1827" i="16"/>
  <c r="L1828" i="16"/>
  <c r="C1828" i="16"/>
  <c r="K1828" i="16" s="1"/>
  <c r="E1828" i="16"/>
  <c r="F1828" i="16"/>
  <c r="O1828" i="16" s="1"/>
  <c r="G1828" i="16"/>
  <c r="I1828" i="16"/>
  <c r="B1829" i="16"/>
  <c r="M1773" i="16"/>
  <c r="D1773" i="16"/>
  <c r="J1773" i="16"/>
  <c r="N1773" i="16" s="1"/>
  <c r="P1773" i="16"/>
  <c r="Q1773" i="16"/>
  <c r="R1773" i="16"/>
  <c r="L1774" i="16"/>
  <c r="C1774" i="16"/>
  <c r="K1774" i="16" s="1"/>
  <c r="E1774" i="16"/>
  <c r="F1774" i="16"/>
  <c r="O1774" i="16" s="1"/>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S1664" i="16"/>
  <c r="T1664" i="16" s="1"/>
  <c r="U1664" i="16"/>
  <c r="M1665" i="16"/>
  <c r="D1665" i="16"/>
  <c r="J1665" i="16"/>
  <c r="N1665" i="16" s="1"/>
  <c r="P1665" i="16"/>
  <c r="Q1665" i="16"/>
  <c r="R1665" i="16"/>
  <c r="L1666" i="16"/>
  <c r="C1666" i="16"/>
  <c r="E1666" i="16"/>
  <c r="G1666" i="16"/>
  <c r="I1666" i="16"/>
  <c r="B1667" i="16"/>
  <c r="U1610" i="16"/>
  <c r="S1610" i="16"/>
  <c r="T1610" i="16" s="1"/>
  <c r="M1611" i="16"/>
  <c r="D1611" i="16"/>
  <c r="J1611" i="16"/>
  <c r="N1611" i="16" s="1"/>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M1503" i="16"/>
  <c r="P1503" i="16"/>
  <c r="Q1503" i="16"/>
  <c r="R1503" i="16"/>
  <c r="L1504" i="16"/>
  <c r="B1505" i="16"/>
  <c r="I1504" i="16"/>
  <c r="C1504" i="16"/>
  <c r="E1504" i="16"/>
  <c r="G1504" i="16"/>
  <c r="D1503" i="16"/>
  <c r="J1503" i="16"/>
  <c r="N1503" i="16" s="1"/>
  <c r="M1449" i="16"/>
  <c r="D1449" i="16"/>
  <c r="J1449" i="16"/>
  <c r="N1449" i="16" s="1"/>
  <c r="L1450" i="16"/>
  <c r="E1450" i="16"/>
  <c r="C1450" i="16"/>
  <c r="I1450" i="16"/>
  <c r="G1450" i="16"/>
  <c r="B1451" i="16"/>
  <c r="P1449" i="16"/>
  <c r="Q1449" i="16"/>
  <c r="R1449" i="16"/>
  <c r="M1395" i="16"/>
  <c r="D1395" i="16"/>
  <c r="J1395" i="16"/>
  <c r="N1395" i="16" s="1"/>
  <c r="P1395" i="16"/>
  <c r="Q1395" i="16"/>
  <c r="R1395" i="16"/>
  <c r="L1396" i="16"/>
  <c r="I1396" i="16"/>
  <c r="B1397" i="16"/>
  <c r="E1396" i="16"/>
  <c r="G1396" i="16"/>
  <c r="C1396" i="16"/>
  <c r="M1341" i="16"/>
  <c r="J1341" i="16"/>
  <c r="N1341" i="16" s="1"/>
  <c r="D1341" i="16"/>
  <c r="L1342" i="16"/>
  <c r="E1342" i="16"/>
  <c r="B1343" i="16"/>
  <c r="C1342" i="16"/>
  <c r="I1342" i="16"/>
  <c r="G1342" i="16"/>
  <c r="P1341" i="16"/>
  <c r="Q1341" i="16"/>
  <c r="R1341" i="16"/>
  <c r="U1286" i="16"/>
  <c r="S1286" i="16"/>
  <c r="T1286" i="16" s="1"/>
  <c r="M1287" i="16"/>
  <c r="J1287" i="16"/>
  <c r="N1287" i="16" s="1"/>
  <c r="D1287" i="16"/>
  <c r="P1287" i="16"/>
  <c r="Q1287" i="16"/>
  <c r="R1287" i="16"/>
  <c r="L1288" i="16"/>
  <c r="I1288" i="16"/>
  <c r="G1288" i="16"/>
  <c r="B1289" i="16"/>
  <c r="E1288" i="16"/>
  <c r="C1288" i="16"/>
  <c r="S1232" i="16"/>
  <c r="T1232" i="16" s="1"/>
  <c r="U1232" i="16"/>
  <c r="I1234" i="16"/>
  <c r="G1234" i="16"/>
  <c r="E1234" i="16"/>
  <c r="B1235" i="16"/>
  <c r="C1234" i="16"/>
  <c r="L1234" i="16"/>
  <c r="P1233" i="16"/>
  <c r="Q1233" i="16"/>
  <c r="R1233" i="16"/>
  <c r="D1233" i="16"/>
  <c r="J1233" i="16"/>
  <c r="U1178" i="16"/>
  <c r="S1178" i="16"/>
  <c r="T1178" i="16" s="1"/>
  <c r="M1179" i="16"/>
  <c r="D1179" i="16"/>
  <c r="J1179" i="16"/>
  <c r="N1179" i="16" s="1"/>
  <c r="P1179" i="16"/>
  <c r="Q1179" i="16"/>
  <c r="R1179" i="16"/>
  <c r="L1180" i="16"/>
  <c r="C1180" i="16"/>
  <c r="E1180" i="16"/>
  <c r="G1180" i="16"/>
  <c r="I1180" i="16"/>
  <c r="B1181" i="16"/>
  <c r="M1125" i="16"/>
  <c r="D1125" i="16"/>
  <c r="J1125" i="16"/>
  <c r="N1125" i="16" s="1"/>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K1072" i="16" s="1"/>
  <c r="E1072" i="16"/>
  <c r="F1072" i="16"/>
  <c r="O1072" i="16" s="1"/>
  <c r="G1072" i="16"/>
  <c r="I1072" i="16"/>
  <c r="B1073" i="16"/>
  <c r="U1016" i="16"/>
  <c r="S1016" i="16"/>
  <c r="T1016" i="16" s="1"/>
  <c r="L1018" i="16"/>
  <c r="E1018" i="16"/>
  <c r="I1018" i="16"/>
  <c r="G1018" i="16"/>
  <c r="C1018" i="16"/>
  <c r="K1018" i="16" s="1"/>
  <c r="F1018" i="16"/>
  <c r="O1018" i="16" s="1"/>
  <c r="B1019" i="16"/>
  <c r="D1017" i="16"/>
  <c r="J1017" i="16"/>
  <c r="P1017" i="16"/>
  <c r="Q1017" i="16"/>
  <c r="R1017" i="16"/>
  <c r="U962" i="16"/>
  <c r="S962" i="16"/>
  <c r="T962" i="16" s="1"/>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K910" i="16" s="1"/>
  <c r="E910" i="16"/>
  <c r="F910" i="16"/>
  <c r="O910" i="16" s="1"/>
  <c r="G910" i="16"/>
  <c r="I910" i="16"/>
  <c r="B911" i="16"/>
  <c r="U854" i="16"/>
  <c r="S854" i="16"/>
  <c r="T854" i="16" s="1"/>
  <c r="M855" i="16"/>
  <c r="D855" i="16"/>
  <c r="J855" i="16"/>
  <c r="N855" i="16" s="1"/>
  <c r="P855" i="16"/>
  <c r="Q855" i="16"/>
  <c r="R855" i="16"/>
  <c r="L856" i="16"/>
  <c r="C856" i="16"/>
  <c r="K856" i="16" s="1"/>
  <c r="E856" i="16"/>
  <c r="F856" i="16"/>
  <c r="O856" i="16" s="1"/>
  <c r="G856" i="16"/>
  <c r="I856" i="16"/>
  <c r="B857" i="16"/>
  <c r="U800" i="16"/>
  <c r="S800" i="16"/>
  <c r="T800" i="16" s="1"/>
  <c r="M801" i="16"/>
  <c r="D801" i="16"/>
  <c r="J801" i="16"/>
  <c r="N801" i="16" s="1"/>
  <c r="P801" i="16"/>
  <c r="Q801" i="16"/>
  <c r="R801" i="16"/>
  <c r="L802" i="16"/>
  <c r="C802" i="16"/>
  <c r="E802" i="16"/>
  <c r="G802" i="16"/>
  <c r="I802" i="16"/>
  <c r="B803" i="16"/>
  <c r="M747" i="16"/>
  <c r="D747" i="16"/>
  <c r="J747" i="16"/>
  <c r="N747" i="16" s="1"/>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E694" i="16"/>
  <c r="G694" i="16"/>
  <c r="I694" i="16"/>
  <c r="B695" i="16"/>
  <c r="U638" i="16"/>
  <c r="S638" i="16"/>
  <c r="T638" i="16" s="1"/>
  <c r="M639" i="16"/>
  <c r="D639" i="16"/>
  <c r="J639" i="16"/>
  <c r="N639" i="16" s="1"/>
  <c r="P639" i="16"/>
  <c r="Q639" i="16"/>
  <c r="R639" i="16"/>
  <c r="L640" i="16"/>
  <c r="C640" i="16"/>
  <c r="E640" i="16"/>
  <c r="G640" i="16"/>
  <c r="I640" i="16"/>
  <c r="B641" i="16"/>
  <c r="U584" i="16"/>
  <c r="S584" i="16"/>
  <c r="T584" i="16" s="1"/>
  <c r="D585" i="16"/>
  <c r="J585" i="16"/>
  <c r="P585" i="16"/>
  <c r="Q585" i="16"/>
  <c r="R585" i="16"/>
  <c r="L586" i="16"/>
  <c r="C586" i="16"/>
  <c r="E586" i="16"/>
  <c r="G586" i="16"/>
  <c r="I586" i="16"/>
  <c r="B587" i="16"/>
  <c r="U530" i="16"/>
  <c r="S530" i="16"/>
  <c r="T530" i="16" s="1"/>
  <c r="M531" i="16"/>
  <c r="D531" i="16"/>
  <c r="J531" i="16"/>
  <c r="N531" i="16" s="1"/>
  <c r="P531" i="16"/>
  <c r="Q531" i="16"/>
  <c r="R531" i="16"/>
  <c r="L532" i="16"/>
  <c r="C532" i="16"/>
  <c r="K532" i="16" s="1"/>
  <c r="E532" i="16"/>
  <c r="F532" i="16"/>
  <c r="O532" i="16" s="1"/>
  <c r="G532" i="16"/>
  <c r="I532" i="16"/>
  <c r="B533" i="16"/>
  <c r="U476" i="16"/>
  <c r="S476" i="16"/>
  <c r="T476" i="16" s="1"/>
  <c r="M477" i="16"/>
  <c r="D477" i="16"/>
  <c r="J477" i="16"/>
  <c r="N477" i="16" s="1"/>
  <c r="P477" i="16"/>
  <c r="Q477" i="16"/>
  <c r="R477" i="16"/>
  <c r="L478" i="16"/>
  <c r="C478" i="16"/>
  <c r="E478" i="16"/>
  <c r="G478" i="16"/>
  <c r="I478" i="16"/>
  <c r="B479" i="16"/>
  <c r="U422" i="16"/>
  <c r="S422" i="16"/>
  <c r="T422" i="16" s="1"/>
  <c r="M423" i="16"/>
  <c r="D423" i="16"/>
  <c r="J423" i="16"/>
  <c r="N423" i="16" s="1"/>
  <c r="P423" i="16"/>
  <c r="Q423" i="16"/>
  <c r="R423" i="16"/>
  <c r="L424" i="16"/>
  <c r="C424" i="16"/>
  <c r="E424" i="16"/>
  <c r="G424" i="16"/>
  <c r="I424" i="16"/>
  <c r="B425" i="16"/>
  <c r="U368" i="16"/>
  <c r="S368" i="16"/>
  <c r="T368" i="16" s="1"/>
  <c r="M369" i="16"/>
  <c r="D369" i="16"/>
  <c r="J369" i="16"/>
  <c r="N369" i="16" s="1"/>
  <c r="P369" i="16"/>
  <c r="Q369" i="16"/>
  <c r="R369" i="16"/>
  <c r="L370" i="16"/>
  <c r="C370" i="16"/>
  <c r="K370" i="16" s="1"/>
  <c r="E370" i="16"/>
  <c r="F370" i="16"/>
  <c r="O370" i="16" s="1"/>
  <c r="G370" i="16"/>
  <c r="I370" i="16"/>
  <c r="B371" i="16"/>
  <c r="M315" i="16"/>
  <c r="D315" i="16"/>
  <c r="J315" i="16"/>
  <c r="N315" i="16" s="1"/>
  <c r="P315" i="16"/>
  <c r="Q315" i="16"/>
  <c r="R315" i="16"/>
  <c r="L316" i="16"/>
  <c r="C316" i="16"/>
  <c r="K316" i="16" s="1"/>
  <c r="E316" i="16"/>
  <c r="F316" i="16"/>
  <c r="O316" i="16" s="1"/>
  <c r="G316" i="16"/>
  <c r="I316" i="16"/>
  <c r="B317" i="16"/>
  <c r="M261" i="16"/>
  <c r="D261" i="16"/>
  <c r="J261" i="16"/>
  <c r="N261" i="16" s="1"/>
  <c r="P261" i="16"/>
  <c r="Q261" i="16"/>
  <c r="R261" i="16"/>
  <c r="L262" i="16"/>
  <c r="C262" i="16"/>
  <c r="K262" i="16" s="1"/>
  <c r="E262" i="16"/>
  <c r="F262" i="16"/>
  <c r="O262" i="16" s="1"/>
  <c r="G262" i="16"/>
  <c r="I262" i="16"/>
  <c r="B263" i="16"/>
  <c r="U206" i="16"/>
  <c r="S206" i="16"/>
  <c r="T206" i="16" s="1"/>
  <c r="M207" i="16"/>
  <c r="L208" i="16"/>
  <c r="E208" i="16"/>
  <c r="C208" i="16"/>
  <c r="K208" i="16" s="1"/>
  <c r="F208" i="16"/>
  <c r="O208" i="16" s="1"/>
  <c r="G208" i="16"/>
  <c r="I208" i="16"/>
  <c r="B209" i="16"/>
  <c r="D207" i="16"/>
  <c r="J207" i="16"/>
  <c r="N207" i="16" s="1"/>
  <c r="P207" i="16"/>
  <c r="Q207" i="16"/>
  <c r="R207" i="16"/>
  <c r="U152" i="16"/>
  <c r="S152" i="16"/>
  <c r="T152" i="16" s="1"/>
  <c r="M153" i="16"/>
  <c r="L154" i="16"/>
  <c r="C154" i="16"/>
  <c r="E154" i="16"/>
  <c r="G154" i="16"/>
  <c r="B155" i="16"/>
  <c r="I154" i="16"/>
  <c r="D153" i="16"/>
  <c r="J153" i="16"/>
  <c r="N153" i="16" s="1"/>
  <c r="P153" i="16"/>
  <c r="Q153" i="16"/>
  <c r="R153"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I38" i="4"/>
  <c r="B39" i="4"/>
  <c r="B38" i="5"/>
  <c r="AR16" i="4"/>
  <c r="B85" i="7"/>
  <c r="I85" i="7" s="1"/>
  <c r="AR15" i="4"/>
  <c r="AQ17" i="4"/>
  <c r="AQ18" i="4"/>
  <c r="AQ19" i="4"/>
  <c r="AQ20" i="4"/>
  <c r="AQ21" i="4"/>
  <c r="AQ22" i="4"/>
  <c r="AQ23" i="4"/>
  <c r="AQ24" i="4"/>
  <c r="AQ25" i="4"/>
  <c r="AQ26" i="4"/>
  <c r="AQ27" i="4"/>
  <c r="AQ28" i="4"/>
  <c r="AQ29" i="4"/>
  <c r="AQ30" i="4"/>
  <c r="AQ31" i="4"/>
  <c r="AQ32" i="4"/>
  <c r="AQ33" i="4"/>
  <c r="AQ34" i="4"/>
  <c r="AQ35" i="4"/>
  <c r="AQ36" i="4"/>
  <c r="AQ37" i="4"/>
  <c r="AQ38" i="4"/>
  <c r="U4231" i="16"/>
  <c r="S4231" i="16"/>
  <c r="T4231" i="16" s="1"/>
  <c r="U3715" i="16"/>
  <c r="S3715" i="16"/>
  <c r="T3715" i="16" s="1"/>
  <c r="U3499" i="16"/>
  <c r="S3499" i="16"/>
  <c r="T3499" i="16" s="1"/>
  <c r="S3445" i="16"/>
  <c r="T3445" i="16" s="1"/>
  <c r="U3445" i="16"/>
  <c r="U3391" i="16"/>
  <c r="S3391" i="16"/>
  <c r="T3391" i="16" s="1"/>
  <c r="S3229" i="16"/>
  <c r="T3229" i="16" s="1"/>
  <c r="U3229" i="16"/>
  <c r="U2851" i="16"/>
  <c r="S2851" i="16"/>
  <c r="T2851" i="16" s="1"/>
  <c r="U2689" i="16"/>
  <c r="S2689" i="16"/>
  <c r="T2689" i="16" s="1"/>
  <c r="U2581" i="16"/>
  <c r="S2581" i="16"/>
  <c r="T2581" i="16" s="1"/>
  <c r="U2527" i="16"/>
  <c r="S2527" i="16"/>
  <c r="T2527" i="16" s="1"/>
  <c r="U2365" i="16"/>
  <c r="S2365" i="16"/>
  <c r="T2365" i="16" s="1"/>
  <c r="U2311" i="16"/>
  <c r="S2311" i="16"/>
  <c r="T2311" i="16" s="1"/>
  <c r="U2257" i="16"/>
  <c r="S2257" i="16"/>
  <c r="T2257" i="16" s="1"/>
  <c r="U1987" i="16"/>
  <c r="S1987" i="16"/>
  <c r="T1987" i="16" s="1"/>
  <c r="U1771" i="16"/>
  <c r="S1771" i="16"/>
  <c r="T1771" i="16" s="1"/>
  <c r="U1717" i="16"/>
  <c r="S1717" i="16"/>
  <c r="T1717" i="16" s="1"/>
  <c r="U1501" i="16"/>
  <c r="S1501" i="16"/>
  <c r="T1501" i="16" s="1"/>
  <c r="U1393" i="16"/>
  <c r="S1393" i="16"/>
  <c r="T1393" i="16" s="1"/>
  <c r="U1339" i="16"/>
  <c r="S1339" i="16"/>
  <c r="T1339" i="16" s="1"/>
  <c r="U1177" i="16"/>
  <c r="S1177" i="16"/>
  <c r="T1177" i="16" s="1"/>
  <c r="U907" i="16"/>
  <c r="S907" i="16"/>
  <c r="T907" i="16" s="1"/>
  <c r="U421" i="16"/>
  <c r="S421" i="16"/>
  <c r="T421" i="16" s="1"/>
  <c r="U151" i="16"/>
  <c r="S151" i="16"/>
  <c r="T151" i="16" s="1"/>
  <c r="M4232" i="16"/>
  <c r="N4232" i="16"/>
  <c r="M3716" i="16"/>
  <c r="N3716" i="16"/>
  <c r="M3230" i="16"/>
  <c r="N3230" i="16"/>
  <c r="M3068" i="16"/>
  <c r="N3068" i="16" s="1"/>
  <c r="M3014" i="16"/>
  <c r="N3014" i="16"/>
  <c r="M2690" i="16"/>
  <c r="N2690" i="16"/>
  <c r="N2636" i="16"/>
  <c r="M2636" i="16"/>
  <c r="N2582" i="16"/>
  <c r="M2582" i="16"/>
  <c r="M2366" i="16"/>
  <c r="N2366" i="16"/>
  <c r="M2312" i="16"/>
  <c r="N2312" i="16"/>
  <c r="M2096" i="16"/>
  <c r="N2096" i="16"/>
  <c r="M2042" i="16"/>
  <c r="N2042" i="16"/>
  <c r="M1826" i="16"/>
  <c r="N1826" i="16"/>
  <c r="M1772" i="16"/>
  <c r="N1772" i="16"/>
  <c r="N1502" i="16"/>
  <c r="M1502" i="16"/>
  <c r="N1448" i="16"/>
  <c r="M1448" i="16"/>
  <c r="N1394" i="16"/>
  <c r="M1394" i="16"/>
  <c r="N1340" i="16"/>
  <c r="M1340" i="16"/>
  <c r="M746" i="16"/>
  <c r="N746" i="16"/>
  <c r="M314" i="16"/>
  <c r="N314" i="16"/>
  <c r="M260" i="16"/>
  <c r="N260" i="16"/>
  <c r="F4587" i="16"/>
  <c r="K4587" i="16"/>
  <c r="K3771" i="16"/>
  <c r="F3771" i="16"/>
  <c r="O3771" i="16" s="1"/>
  <c r="F3663" i="16"/>
  <c r="O3663" i="16" s="1"/>
  <c r="K3663" i="16"/>
  <c r="K3447" i="16"/>
  <c r="F3447" i="16"/>
  <c r="O3447" i="16" s="1"/>
  <c r="F3123" i="16"/>
  <c r="O3123" i="16" s="1"/>
  <c r="K3123" i="16"/>
  <c r="K3015" i="16"/>
  <c r="F3015" i="16"/>
  <c r="O3015" i="16" s="1"/>
  <c r="F2961" i="16"/>
  <c r="O2961" i="16" s="1"/>
  <c r="K2961" i="16"/>
  <c r="F2853" i="16"/>
  <c r="O2853" i="16" s="1"/>
  <c r="K2853" i="16"/>
  <c r="K2799" i="16"/>
  <c r="F2799" i="16"/>
  <c r="O2799" i="16" s="1"/>
  <c r="K2637" i="16"/>
  <c r="F2637" i="16"/>
  <c r="O2637" i="16" s="1"/>
  <c r="K2313" i="16"/>
  <c r="F2313" i="16"/>
  <c r="O2313" i="16" s="1"/>
  <c r="F1881" i="16"/>
  <c r="O1881" i="16" s="1"/>
  <c r="K1881" i="16"/>
  <c r="F1233" i="16"/>
  <c r="O1233" i="16" s="1"/>
  <c r="K1233" i="16"/>
  <c r="K1017" i="16"/>
  <c r="F1017" i="16"/>
  <c r="O1017" i="16" s="1"/>
  <c r="F585" i="16"/>
  <c r="O585" i="16" s="1"/>
  <c r="K585" i="16"/>
  <c r="U1124" i="16" l="1"/>
  <c r="S1124" i="16"/>
  <c r="T1124" i="16" s="1"/>
  <c r="K3664" i="16"/>
  <c r="F3664" i="16"/>
  <c r="O3664" i="16" s="1"/>
  <c r="K3502" i="16"/>
  <c r="F3502" i="16"/>
  <c r="O3502" i="16" s="1"/>
  <c r="K2476" i="16"/>
  <c r="F2476" i="16"/>
  <c r="O2476" i="16" s="1"/>
  <c r="K1450" i="16"/>
  <c r="F1450" i="16"/>
  <c r="O1450" i="16" s="1"/>
  <c r="K1180" i="16"/>
  <c r="F1180" i="16"/>
  <c r="O1180" i="16" s="1"/>
  <c r="K802" i="16"/>
  <c r="F802" i="16"/>
  <c r="O802" i="16" s="1"/>
  <c r="K586" i="16"/>
  <c r="F586" i="16"/>
  <c r="O586" i="16" s="1"/>
  <c r="T4694" i="16"/>
  <c r="S4695" i="16"/>
  <c r="T4695" i="16" s="1"/>
  <c r="U4695" i="16"/>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E4589" i="16"/>
  <c r="G4589" i="16"/>
  <c r="I4589" i="16"/>
  <c r="B4590" i="16"/>
  <c r="D4534" i="16"/>
  <c r="J4534" i="16"/>
  <c r="N4534" i="16" s="1"/>
  <c r="P4534" i="16"/>
  <c r="Q4534" i="16"/>
  <c r="R4534" i="16"/>
  <c r="M4534" i="16"/>
  <c r="C4535" i="16"/>
  <c r="F4535" i="16" s="1"/>
  <c r="E4535" i="16"/>
  <c r="G4535" i="16"/>
  <c r="L4535" i="16"/>
  <c r="I4535" i="16"/>
  <c r="K4535" i="16"/>
  <c r="B4536" i="16"/>
  <c r="U4233" i="16"/>
  <c r="S4233" i="16"/>
  <c r="T4233" i="16" s="1"/>
  <c r="M4234" i="16"/>
  <c r="D4234" i="16"/>
  <c r="J4234" i="16"/>
  <c r="N4234" i="16" s="1"/>
  <c r="P4234" i="16"/>
  <c r="Q4234" i="16"/>
  <c r="R4234" i="16"/>
  <c r="L4235" i="16"/>
  <c r="C4235" i="16"/>
  <c r="K4235" i="16" s="1"/>
  <c r="E4235" i="16"/>
  <c r="F4235" i="16"/>
  <c r="O4235" i="16" s="1"/>
  <c r="G4235" i="16"/>
  <c r="I4235" i="16"/>
  <c r="B4236" i="16"/>
  <c r="J4180" i="16"/>
  <c r="N4180" i="16" s="1"/>
  <c r="D4180" i="16"/>
  <c r="P4180" i="16"/>
  <c r="Q4180" i="16"/>
  <c r="R4180" i="16"/>
  <c r="M4180" i="16"/>
  <c r="G4181" i="16"/>
  <c r="L4181" i="16"/>
  <c r="C4181" i="16"/>
  <c r="F4181" i="16" s="1"/>
  <c r="O4181" i="16" s="1"/>
  <c r="E4181" i="16"/>
  <c r="K4181" i="16"/>
  <c r="B4182" i="16"/>
  <c r="I4181" i="16"/>
  <c r="U4179" i="16"/>
  <c r="S4179" i="16"/>
  <c r="T4179" i="16" s="1"/>
  <c r="U4125" i="16"/>
  <c r="S4125" i="16"/>
  <c r="T4125" i="16" s="1"/>
  <c r="P4126" i="16"/>
  <c r="Q4126" i="16"/>
  <c r="R4126" i="16"/>
  <c r="C4127" i="16"/>
  <c r="K4127" i="16" s="1"/>
  <c r="E4127" i="16"/>
  <c r="F4127" i="16"/>
  <c r="O4127" i="16" s="1"/>
  <c r="G4127" i="16"/>
  <c r="I4127" i="16"/>
  <c r="B4128" i="16"/>
  <c r="L4127" i="16"/>
  <c r="D4126" i="16"/>
  <c r="J4126" i="16"/>
  <c r="N4126" i="16"/>
  <c r="M4126" i="16"/>
  <c r="U4071" i="16"/>
  <c r="S4071" i="16"/>
  <c r="T4071" i="16" s="1"/>
  <c r="M4072" i="16"/>
  <c r="D4072" i="16"/>
  <c r="J4072" i="16"/>
  <c r="N4072" i="16" s="1"/>
  <c r="P4072" i="16"/>
  <c r="Q4072" i="16"/>
  <c r="R4072" i="16"/>
  <c r="L4073" i="16"/>
  <c r="C4073" i="16"/>
  <c r="K4073" i="16" s="1"/>
  <c r="E4073" i="16"/>
  <c r="F4073" i="16"/>
  <c r="O4073" i="16" s="1"/>
  <c r="G4073" i="16"/>
  <c r="I4073" i="16"/>
  <c r="B4074" i="16"/>
  <c r="M3772" i="16"/>
  <c r="D3772" i="16"/>
  <c r="J3772" i="16"/>
  <c r="N3772" i="16" s="1"/>
  <c r="P3772" i="16"/>
  <c r="Q3772" i="16"/>
  <c r="R3772" i="16"/>
  <c r="L3773" i="16"/>
  <c r="C3773" i="16"/>
  <c r="E3773" i="16"/>
  <c r="G3773" i="16"/>
  <c r="I3773" i="16"/>
  <c r="B3774" i="16"/>
  <c r="U3717" i="16"/>
  <c r="S3717" i="16"/>
  <c r="T3717" i="16" s="1"/>
  <c r="M3718" i="16"/>
  <c r="D3718" i="16"/>
  <c r="J3718" i="16"/>
  <c r="N3718" i="16" s="1"/>
  <c r="P3718" i="16"/>
  <c r="Q3718" i="16"/>
  <c r="R3718" i="16"/>
  <c r="L3719" i="16"/>
  <c r="C3719" i="16"/>
  <c r="K3719" i="16" s="1"/>
  <c r="E3719" i="16"/>
  <c r="F3719" i="16"/>
  <c r="O3719" i="16" s="1"/>
  <c r="G3719" i="16"/>
  <c r="I3719" i="16"/>
  <c r="B3720" i="16"/>
  <c r="M3664" i="16"/>
  <c r="D3664" i="16"/>
  <c r="J3664" i="16"/>
  <c r="N3664" i="16" s="1"/>
  <c r="P3664" i="16"/>
  <c r="Q3664" i="16"/>
  <c r="R3664" i="16"/>
  <c r="L3665" i="16"/>
  <c r="E3665" i="16"/>
  <c r="G3665" i="16"/>
  <c r="C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U3501" i="16"/>
  <c r="S3501" i="16"/>
  <c r="T3501" i="16" s="1"/>
  <c r="M3502" i="16"/>
  <c r="D3502" i="16"/>
  <c r="J3502" i="16"/>
  <c r="N3502" i="16" s="1"/>
  <c r="P3502" i="16"/>
  <c r="Q3502" i="16"/>
  <c r="R3502" i="16"/>
  <c r="L3503" i="16"/>
  <c r="C3503" i="16"/>
  <c r="K3503" i="16" s="1"/>
  <c r="E3503" i="16"/>
  <c r="F3503" i="16"/>
  <c r="O3503" i="16" s="1"/>
  <c r="G3503" i="16"/>
  <c r="B3504" i="16"/>
  <c r="I3503" i="16"/>
  <c r="M3448" i="16"/>
  <c r="D3448" i="16"/>
  <c r="J3448" i="16"/>
  <c r="N3448" i="16" s="1"/>
  <c r="P3448" i="16"/>
  <c r="Q3448" i="16"/>
  <c r="R3448" i="16"/>
  <c r="L3449" i="16"/>
  <c r="C3449" i="16"/>
  <c r="E3449" i="16"/>
  <c r="G3449" i="16"/>
  <c r="I3449" i="16"/>
  <c r="B3450" i="16"/>
  <c r="U3393" i="16"/>
  <c r="S3393" i="16"/>
  <c r="T3393" i="16" s="1"/>
  <c r="M3394" i="16"/>
  <c r="D3394" i="16"/>
  <c r="J3394" i="16"/>
  <c r="N3394" i="16" s="1"/>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E3287" i="16"/>
  <c r="G3287" i="16"/>
  <c r="I3287" i="16"/>
  <c r="B3288" i="16"/>
  <c r="S3231" i="16"/>
  <c r="T3231" i="16" s="1"/>
  <c r="U3231" i="16"/>
  <c r="D3232" i="16"/>
  <c r="J3232" i="16"/>
  <c r="P3232" i="16"/>
  <c r="Q3232" i="16"/>
  <c r="R3232" i="16"/>
  <c r="L3233" i="16"/>
  <c r="C3233" i="16"/>
  <c r="K3233" i="16" s="1"/>
  <c r="E3233" i="16"/>
  <c r="F3233" i="16"/>
  <c r="O3233" i="16" s="1"/>
  <c r="G3233" i="16"/>
  <c r="I3233" i="16"/>
  <c r="B3234" i="16"/>
  <c r="U3177" i="16"/>
  <c r="S3177" i="16"/>
  <c r="T3177" i="16" s="1"/>
  <c r="D3178" i="16"/>
  <c r="J3178" i="16"/>
  <c r="P3178" i="16"/>
  <c r="Q3178" i="16"/>
  <c r="R3178" i="16"/>
  <c r="L3179" i="16"/>
  <c r="C3179" i="16"/>
  <c r="E3179" i="16"/>
  <c r="G3179" i="16"/>
  <c r="I3179" i="16"/>
  <c r="B3180" i="16"/>
  <c r="M3124" i="16"/>
  <c r="D3124" i="16"/>
  <c r="J3124" i="16"/>
  <c r="N3124" i="16" s="1"/>
  <c r="P3124" i="16"/>
  <c r="Q3124" i="16"/>
  <c r="R3124" i="16"/>
  <c r="L3125" i="16"/>
  <c r="C3125" i="16"/>
  <c r="K3125" i="16" s="1"/>
  <c r="E3125" i="16"/>
  <c r="F3125" i="16"/>
  <c r="O3125" i="16" s="1"/>
  <c r="G3125" i="16"/>
  <c r="I3125" i="16"/>
  <c r="B3126" i="16"/>
  <c r="U3069" i="16"/>
  <c r="S3069" i="16"/>
  <c r="T3069" i="16" s="1"/>
  <c r="M3070" i="16"/>
  <c r="P3070" i="16"/>
  <c r="Q3070" i="16"/>
  <c r="R3070" i="16"/>
  <c r="J3070" i="16"/>
  <c r="N3070" i="16" s="1"/>
  <c r="D3070" i="16"/>
  <c r="L3071" i="16"/>
  <c r="C3071" i="16"/>
  <c r="I3071" i="16"/>
  <c r="E3071" i="16"/>
  <c r="G3071" i="16"/>
  <c r="B3072" i="16"/>
  <c r="M3016" i="16"/>
  <c r="P3016" i="16"/>
  <c r="Q3016" i="16"/>
  <c r="R3016" i="16"/>
  <c r="L3017" i="16"/>
  <c r="E3017" i="16"/>
  <c r="I3017" i="16"/>
  <c r="G3017" i="16"/>
  <c r="B3018" i="16"/>
  <c r="C3017" i="16"/>
  <c r="K3017" i="16" s="1"/>
  <c r="F3017" i="16"/>
  <c r="O3017" i="16" s="1"/>
  <c r="D3016" i="16"/>
  <c r="J3016" i="16"/>
  <c r="N3016" i="16" s="1"/>
  <c r="M2962" i="16"/>
  <c r="D2962" i="16"/>
  <c r="J2962" i="16"/>
  <c r="N2962" i="16" s="1"/>
  <c r="P2962" i="16"/>
  <c r="Q2962" i="16"/>
  <c r="R2962" i="16"/>
  <c r="L2963" i="16"/>
  <c r="C2963" i="16"/>
  <c r="E2963" i="16"/>
  <c r="G2963" i="16"/>
  <c r="I2963" i="16"/>
  <c r="B2964" i="16"/>
  <c r="U2907" i="16"/>
  <c r="S2907" i="16"/>
  <c r="T2907" i="16" s="1"/>
  <c r="M2908" i="16"/>
  <c r="D2908" i="16"/>
  <c r="J2908" i="16"/>
  <c r="N2908" i="16" s="1"/>
  <c r="P2908" i="16"/>
  <c r="Q2908" i="16"/>
  <c r="R2908" i="16"/>
  <c r="L2909" i="16"/>
  <c r="C2909" i="16"/>
  <c r="K2909" i="16" s="1"/>
  <c r="E2909" i="16"/>
  <c r="F2909" i="16"/>
  <c r="O2909" i="16" s="1"/>
  <c r="G2909" i="16"/>
  <c r="I2909" i="16"/>
  <c r="B2910" i="16"/>
  <c r="M2854" i="16"/>
  <c r="P2854" i="16"/>
  <c r="Q2854" i="16"/>
  <c r="R2854" i="16"/>
  <c r="J2854" i="16"/>
  <c r="N2854" i="16" s="1"/>
  <c r="D2854" i="16"/>
  <c r="L2855" i="16"/>
  <c r="E2855" i="16"/>
  <c r="B2856" i="16"/>
  <c r="I2855" i="16"/>
  <c r="C2855" i="16"/>
  <c r="G2855" i="16"/>
  <c r="J2800" i="16"/>
  <c r="D2800" i="16"/>
  <c r="M2800" i="16" s="1"/>
  <c r="N2800" i="16" s="1"/>
  <c r="S2800" i="16" s="1"/>
  <c r="T2800" i="16" s="1"/>
  <c r="U2800" i="16" s="1"/>
  <c r="P2800" i="16"/>
  <c r="Q2800" i="16"/>
  <c r="R2800" i="16"/>
  <c r="L2801" i="16"/>
  <c r="C2801" i="16"/>
  <c r="K2801" i="16" s="1"/>
  <c r="G2801" i="16"/>
  <c r="I2801" i="16"/>
  <c r="E2801" i="16"/>
  <c r="F2801" i="16"/>
  <c r="O2801" i="16" s="1"/>
  <c r="B2802"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P2692" i="16"/>
  <c r="Q2692" i="16"/>
  <c r="R2692" i="16"/>
  <c r="L2693" i="16"/>
  <c r="G2693" i="16"/>
  <c r="E2693" i="16"/>
  <c r="B2694" i="16"/>
  <c r="C2693" i="16"/>
  <c r="I2693" i="16"/>
  <c r="D2692" i="16"/>
  <c r="J2692" i="16"/>
  <c r="P2638" i="16"/>
  <c r="Q2638" i="16"/>
  <c r="R2638" i="16"/>
  <c r="J2638" i="16"/>
  <c r="D2638" i="16"/>
  <c r="L2639" i="16"/>
  <c r="G2639" i="16"/>
  <c r="I2639" i="16"/>
  <c r="E2639" i="16"/>
  <c r="B2640" i="16"/>
  <c r="C2639" i="16"/>
  <c r="U2583" i="16"/>
  <c r="S2583" i="16"/>
  <c r="T2583" i="16" s="1"/>
  <c r="M2584" i="16"/>
  <c r="D2584" i="16"/>
  <c r="J2584" i="16"/>
  <c r="N2584" i="16" s="1"/>
  <c r="P2584" i="16"/>
  <c r="Q2584" i="16"/>
  <c r="R2584" i="16"/>
  <c r="L2585" i="16"/>
  <c r="G2585" i="16"/>
  <c r="C2585" i="16"/>
  <c r="K2585" i="16" s="1"/>
  <c r="B2586" i="16"/>
  <c r="E2585" i="16"/>
  <c r="I2585" i="16"/>
  <c r="F2585" i="16"/>
  <c r="O2585" i="16" s="1"/>
  <c r="U2529" i="16"/>
  <c r="S2529" i="16"/>
  <c r="T2529" i="16" s="1"/>
  <c r="D2530" i="16"/>
  <c r="M2530" i="16" s="1"/>
  <c r="N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K2423" i="16" s="1"/>
  <c r="E2423" i="16"/>
  <c r="F2423" i="16"/>
  <c r="O2423" i="16" s="1"/>
  <c r="G2423" i="16"/>
  <c r="I2423" i="16"/>
  <c r="B2424" i="16"/>
  <c r="U2367" i="16"/>
  <c r="S2367" i="16"/>
  <c r="T2367" i="16" s="1"/>
  <c r="D2368" i="16"/>
  <c r="J2368" i="16"/>
  <c r="P2368" i="16"/>
  <c r="Q2368" i="16"/>
  <c r="R2368" i="16"/>
  <c r="L2369" i="16"/>
  <c r="C2369" i="16"/>
  <c r="K2369" i="16" s="1"/>
  <c r="E2369" i="16"/>
  <c r="F2369" i="16"/>
  <c r="O2369" i="16" s="1"/>
  <c r="G2369" i="16"/>
  <c r="I2369" i="16"/>
  <c r="B2370" i="16"/>
  <c r="M2314" i="16"/>
  <c r="D2314" i="16"/>
  <c r="J2314" i="16"/>
  <c r="N2314" i="16" s="1"/>
  <c r="P2314" i="16"/>
  <c r="Q2314" i="16"/>
  <c r="R2314" i="16"/>
  <c r="L2315" i="16"/>
  <c r="C2315" i="16"/>
  <c r="E2315" i="16"/>
  <c r="G2315" i="16"/>
  <c r="I2315" i="16"/>
  <c r="B2316" i="16"/>
  <c r="U2259" i="16"/>
  <c r="S2259" i="16"/>
  <c r="T2259" i="16" s="1"/>
  <c r="M2260" i="16"/>
  <c r="D2260" i="16"/>
  <c r="J2260" i="16"/>
  <c r="N2260" i="16" s="1"/>
  <c r="P2260" i="16"/>
  <c r="Q2260" i="16"/>
  <c r="R2260" i="16"/>
  <c r="L2261" i="16"/>
  <c r="C2261" i="16"/>
  <c r="E2261" i="16"/>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M2152" i="16"/>
  <c r="D2152" i="16"/>
  <c r="J2152" i="16"/>
  <c r="N2152" i="16" s="1"/>
  <c r="P2152" i="16"/>
  <c r="Q2152" i="16"/>
  <c r="R2152" i="16"/>
  <c r="L2153" i="16"/>
  <c r="C2153" i="16"/>
  <c r="K2153" i="16" s="1"/>
  <c r="E2153" i="16"/>
  <c r="F2153" i="16"/>
  <c r="O2153" i="16" s="1"/>
  <c r="G2153" i="16"/>
  <c r="I2153" i="16"/>
  <c r="B2154" i="16"/>
  <c r="U2097" i="16"/>
  <c r="S2097" i="16"/>
  <c r="T2097" i="16" s="1"/>
  <c r="M2098" i="16"/>
  <c r="D2098" i="16"/>
  <c r="J2098" i="16"/>
  <c r="N2098" i="16" s="1"/>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J1882" i="16"/>
  <c r="D1882" i="16"/>
  <c r="L1883" i="16"/>
  <c r="I1883" i="16"/>
  <c r="G1883" i="16"/>
  <c r="B1884" i="16"/>
  <c r="E1883" i="16"/>
  <c r="C1883" i="16"/>
  <c r="P1882" i="16"/>
  <c r="Q1882" i="16"/>
  <c r="R1882" i="16"/>
  <c r="U1827" i="16"/>
  <c r="S1827" i="16"/>
  <c r="T1827" i="16" s="1"/>
  <c r="M1828" i="16"/>
  <c r="D1828" i="16"/>
  <c r="J1828" i="16"/>
  <c r="N1828" i="16" s="1"/>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E1721" i="16"/>
  <c r="G1721" i="16"/>
  <c r="I1721" i="16"/>
  <c r="B1722" i="16"/>
  <c r="S1665" i="16"/>
  <c r="T1665" i="16" s="1"/>
  <c r="U1665" i="16"/>
  <c r="D1666" i="16"/>
  <c r="J1666" i="16"/>
  <c r="P1666" i="16"/>
  <c r="Q1666" i="16"/>
  <c r="R1666" i="16"/>
  <c r="L1667" i="16"/>
  <c r="C1667" i="16"/>
  <c r="E1667" i="16"/>
  <c r="G1667" i="16"/>
  <c r="I1667" i="16"/>
  <c r="B1668" i="16"/>
  <c r="U1611" i="16"/>
  <c r="S1611" i="16"/>
  <c r="T1611" i="16" s="1"/>
  <c r="D1612" i="16"/>
  <c r="J1612" i="16"/>
  <c r="P1612" i="16"/>
  <c r="Q1612" i="16"/>
  <c r="R1612" i="16"/>
  <c r="L1613" i="16"/>
  <c r="C1613" i="16"/>
  <c r="E1613" i="16"/>
  <c r="G1613" i="16"/>
  <c r="I1613" i="16"/>
  <c r="B1614" i="16"/>
  <c r="U1557" i="16"/>
  <c r="S1557" i="16"/>
  <c r="T1557" i="16" s="1"/>
  <c r="M1558" i="16"/>
  <c r="D1558" i="16"/>
  <c r="J1558" i="16"/>
  <c r="N1558" i="16" s="1"/>
  <c r="P1558" i="16"/>
  <c r="Q1558" i="16"/>
  <c r="R1558" i="16"/>
  <c r="L1559" i="16"/>
  <c r="C1559" i="16"/>
  <c r="K1559" i="16" s="1"/>
  <c r="E1559" i="16"/>
  <c r="F1559" i="16"/>
  <c r="O1559" i="16" s="1"/>
  <c r="G1559" i="16"/>
  <c r="I1559" i="16"/>
  <c r="B1560" i="16"/>
  <c r="U1503" i="16"/>
  <c r="S1503" i="16"/>
  <c r="T1503" i="16" s="1"/>
  <c r="L1505" i="16"/>
  <c r="G1505" i="16"/>
  <c r="E1505" i="16"/>
  <c r="B1506" i="16"/>
  <c r="C1505" i="16"/>
  <c r="I1505" i="16"/>
  <c r="J1504" i="16"/>
  <c r="D1504" i="16"/>
  <c r="P1504" i="16"/>
  <c r="Q1504" i="16"/>
  <c r="R1504" i="16"/>
  <c r="S1449" i="16"/>
  <c r="T1449" i="16" s="1"/>
  <c r="U1449" i="16"/>
  <c r="M1450" i="16"/>
  <c r="J1450" i="16"/>
  <c r="N1450" i="16" s="1"/>
  <c r="D1450" i="16"/>
  <c r="P1450" i="16"/>
  <c r="Q1450" i="16"/>
  <c r="R1450" i="16"/>
  <c r="L1451" i="16"/>
  <c r="E1451" i="16"/>
  <c r="C1451" i="16"/>
  <c r="G1451" i="16"/>
  <c r="B1452" i="16"/>
  <c r="I1451" i="16"/>
  <c r="U1395" i="16"/>
  <c r="S1395" i="16"/>
  <c r="T1395" i="16" s="1"/>
  <c r="L1397" i="16"/>
  <c r="E1397" i="16"/>
  <c r="B1398" i="16"/>
  <c r="I1397" i="16"/>
  <c r="G1397" i="16"/>
  <c r="C1397" i="16"/>
  <c r="P1396" i="16"/>
  <c r="Q1396" i="16"/>
  <c r="R1396" i="16"/>
  <c r="D1396" i="16"/>
  <c r="J1396" i="16"/>
  <c r="U1341" i="16"/>
  <c r="S1341" i="16"/>
  <c r="T1341" i="16" s="1"/>
  <c r="L1343" i="16"/>
  <c r="C1343" i="16"/>
  <c r="G1343" i="16"/>
  <c r="B1344" i="16"/>
  <c r="I1343" i="16"/>
  <c r="E1343" i="16"/>
  <c r="J1342" i="16"/>
  <c r="D1342" i="16"/>
  <c r="P1342" i="16"/>
  <c r="Q1342" i="16"/>
  <c r="R1342" i="16"/>
  <c r="U1287" i="16"/>
  <c r="S1287" i="16"/>
  <c r="T1287" i="16" s="1"/>
  <c r="P1288" i="16"/>
  <c r="Q1288" i="16"/>
  <c r="R1288" i="16"/>
  <c r="L1289" i="16"/>
  <c r="B1290" i="16"/>
  <c r="C1289" i="16"/>
  <c r="I1289" i="16"/>
  <c r="G1289" i="16"/>
  <c r="E1289" i="16"/>
  <c r="D1288" i="16"/>
  <c r="J1288" i="16"/>
  <c r="P1234" i="16"/>
  <c r="Q1234" i="16"/>
  <c r="R1234" i="16"/>
  <c r="E1235" i="16"/>
  <c r="C1235" i="16"/>
  <c r="L1235" i="16"/>
  <c r="I1235" i="16"/>
  <c r="B1236" i="16"/>
  <c r="K1235" i="16"/>
  <c r="G1235" i="16"/>
  <c r="F1235" i="16"/>
  <c r="O1235" i="16" s="1"/>
  <c r="D1234" i="16"/>
  <c r="J1234" i="16"/>
  <c r="U1179" i="16"/>
  <c r="S1179" i="16"/>
  <c r="T1179" i="16" s="1"/>
  <c r="M1180" i="16"/>
  <c r="D1180" i="16"/>
  <c r="J1180" i="16"/>
  <c r="N1180" i="16" s="1"/>
  <c r="P1180" i="16"/>
  <c r="Q1180" i="16"/>
  <c r="R1180" i="16"/>
  <c r="L1181" i="16"/>
  <c r="C1181" i="16"/>
  <c r="E1181" i="16"/>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E1073" i="16"/>
  <c r="G1073" i="16"/>
  <c r="I1073" i="16"/>
  <c r="B1074" i="16"/>
  <c r="M1018" i="16"/>
  <c r="P1018" i="16"/>
  <c r="Q1018" i="16"/>
  <c r="R1018" i="16"/>
  <c r="D1018" i="16"/>
  <c r="J1018" i="16"/>
  <c r="N1018" i="16" s="1"/>
  <c r="L1019" i="16"/>
  <c r="I1019" i="16"/>
  <c r="B1020" i="16"/>
  <c r="C1019" i="16"/>
  <c r="G1019" i="16"/>
  <c r="E1019"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U801" i="16"/>
  <c r="S801" i="16"/>
  <c r="T801" i="16" s="1"/>
  <c r="M802" i="16"/>
  <c r="D802" i="16"/>
  <c r="J802" i="16"/>
  <c r="N802" i="16" s="1"/>
  <c r="P802" i="16"/>
  <c r="Q802" i="16"/>
  <c r="R802" i="16"/>
  <c r="L803" i="16"/>
  <c r="C803" i="16"/>
  <c r="K803" i="16" s="1"/>
  <c r="E803" i="16"/>
  <c r="F803" i="16"/>
  <c r="O803" i="16" s="1"/>
  <c r="G803" i="16"/>
  <c r="I803" i="16"/>
  <c r="B804" i="16"/>
  <c r="U747" i="16"/>
  <c r="S747" i="16"/>
  <c r="T747" i="16" s="1"/>
  <c r="M748" i="16"/>
  <c r="D748" i="16"/>
  <c r="J748" i="16"/>
  <c r="N748" i="16" s="1"/>
  <c r="P748" i="16"/>
  <c r="Q748" i="16"/>
  <c r="R748" i="16"/>
  <c r="L749" i="16"/>
  <c r="C749" i="16"/>
  <c r="K749" i="16" s="1"/>
  <c r="E749" i="16"/>
  <c r="F749" i="16"/>
  <c r="O749" i="16" s="1"/>
  <c r="G749" i="16"/>
  <c r="I749" i="16"/>
  <c r="B750" i="16"/>
  <c r="U693" i="16"/>
  <c r="S693" i="16"/>
  <c r="T693" i="16" s="1"/>
  <c r="D694" i="16"/>
  <c r="J694" i="16"/>
  <c r="P694" i="16"/>
  <c r="Q694" i="16"/>
  <c r="R694" i="16"/>
  <c r="L695" i="16"/>
  <c r="C695" i="16"/>
  <c r="K695" i="16" s="1"/>
  <c r="E695" i="16"/>
  <c r="F695" i="16"/>
  <c r="O695" i="16" s="1"/>
  <c r="G695" i="16"/>
  <c r="I695" i="16"/>
  <c r="B696" i="16"/>
  <c r="U639" i="16"/>
  <c r="S639" i="16"/>
  <c r="T639" i="16" s="1"/>
  <c r="D640" i="16"/>
  <c r="J640" i="16"/>
  <c r="P640" i="16"/>
  <c r="Q640" i="16"/>
  <c r="R640" i="16"/>
  <c r="L641" i="16"/>
  <c r="C641" i="16"/>
  <c r="K641" i="16" s="1"/>
  <c r="E641" i="16"/>
  <c r="F641" i="16"/>
  <c r="O641" i="16" s="1"/>
  <c r="G641" i="16"/>
  <c r="I641" i="16"/>
  <c r="B642" i="16"/>
  <c r="D586" i="16"/>
  <c r="M586" i="16" s="1"/>
  <c r="J586" i="16"/>
  <c r="P586" i="16"/>
  <c r="Q586" i="16"/>
  <c r="R586" i="16"/>
  <c r="L587" i="16"/>
  <c r="C587" i="16"/>
  <c r="E587" i="16"/>
  <c r="G587" i="16"/>
  <c r="I587" i="16"/>
  <c r="B588" i="16"/>
  <c r="U531" i="16"/>
  <c r="S531" i="16"/>
  <c r="T531" i="16" s="1"/>
  <c r="M532" i="16"/>
  <c r="D532" i="16"/>
  <c r="J532" i="16"/>
  <c r="N532" i="16" s="1"/>
  <c r="P532" i="16"/>
  <c r="Q532" i="16"/>
  <c r="R532" i="16"/>
  <c r="L533" i="16"/>
  <c r="C533" i="16"/>
  <c r="E533" i="16"/>
  <c r="G533" i="16"/>
  <c r="I533" i="16"/>
  <c r="B534" i="16"/>
  <c r="U477" i="16"/>
  <c r="S477" i="16"/>
  <c r="T477" i="16" s="1"/>
  <c r="D478" i="16"/>
  <c r="J478" i="16"/>
  <c r="P478" i="16"/>
  <c r="Q478" i="16"/>
  <c r="R478" i="16"/>
  <c r="L479" i="16"/>
  <c r="C479" i="16"/>
  <c r="K479" i="16" s="1"/>
  <c r="E479" i="16"/>
  <c r="F479" i="16"/>
  <c r="O479" i="16" s="1"/>
  <c r="G479" i="16"/>
  <c r="I479" i="16"/>
  <c r="B480" i="16"/>
  <c r="U423" i="16"/>
  <c r="S423" i="16"/>
  <c r="T423" i="16" s="1"/>
  <c r="D424" i="16"/>
  <c r="J424" i="16"/>
  <c r="P424" i="16"/>
  <c r="Q424" i="16"/>
  <c r="R424" i="16"/>
  <c r="L425" i="16"/>
  <c r="C425" i="16"/>
  <c r="K425" i="16" s="1"/>
  <c r="E425" i="16"/>
  <c r="F425" i="16"/>
  <c r="O425" i="16" s="1"/>
  <c r="G425" i="16"/>
  <c r="I425" i="16"/>
  <c r="B426" i="16"/>
  <c r="U369" i="16"/>
  <c r="S369" i="16"/>
  <c r="T369" i="16" s="1"/>
  <c r="M370" i="16"/>
  <c r="D370" i="16"/>
  <c r="J370" i="16"/>
  <c r="N370" i="16" s="1"/>
  <c r="P370" i="16"/>
  <c r="Q370" i="16"/>
  <c r="R370" i="16"/>
  <c r="L371" i="16"/>
  <c r="C371" i="16"/>
  <c r="E371" i="16"/>
  <c r="G371" i="16"/>
  <c r="I371" i="16"/>
  <c r="B372" i="16"/>
  <c r="U315" i="16"/>
  <c r="S315" i="16"/>
  <c r="T315" i="16" s="1"/>
  <c r="M316" i="16"/>
  <c r="D316" i="16"/>
  <c r="J316" i="16"/>
  <c r="N316" i="16" s="1"/>
  <c r="P316" i="16"/>
  <c r="Q316" i="16"/>
  <c r="R316" i="16"/>
  <c r="L317" i="16"/>
  <c r="C317" i="16"/>
  <c r="E317" i="16"/>
  <c r="G317" i="16"/>
  <c r="I317" i="16"/>
  <c r="B318" i="16"/>
  <c r="U261" i="16"/>
  <c r="S261" i="16"/>
  <c r="T261" i="16" s="1"/>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I209" i="16"/>
  <c r="B210" i="16"/>
  <c r="C209" i="16"/>
  <c r="E209" i="16"/>
  <c r="G209" i="16"/>
  <c r="U153" i="16"/>
  <c r="S153" i="16"/>
  <c r="T153" i="16" s="1"/>
  <c r="D154" i="16"/>
  <c r="J154" i="16"/>
  <c r="P154" i="16"/>
  <c r="Q154" i="16"/>
  <c r="R154" i="16"/>
  <c r="L155" i="16"/>
  <c r="B156" i="16"/>
  <c r="C155" i="16"/>
  <c r="E155" i="16"/>
  <c r="G155" i="16"/>
  <c r="I155" i="16"/>
  <c r="U99" i="16"/>
  <c r="S99" i="16"/>
  <c r="T99" i="16" s="1"/>
  <c r="M100" i="16"/>
  <c r="D100" i="16"/>
  <c r="J100" i="16"/>
  <c r="N100" i="16" s="1"/>
  <c r="P100" i="16"/>
  <c r="Q100" i="16"/>
  <c r="R100" i="16"/>
  <c r="L101" i="16"/>
  <c r="C101" i="16"/>
  <c r="K101" i="16" s="1"/>
  <c r="E101" i="16"/>
  <c r="F101" i="16"/>
  <c r="O101" i="16" s="1"/>
  <c r="G101" i="16"/>
  <c r="I101" i="16"/>
  <c r="B102" i="16"/>
  <c r="C71" i="7"/>
  <c r="G71" i="7" s="1"/>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V38" i="4"/>
  <c r="L39" i="4"/>
  <c r="C39" i="4"/>
  <c r="K39" i="4" s="1"/>
  <c r="E39" i="4"/>
  <c r="F39" i="4"/>
  <c r="C39" i="5" s="1"/>
  <c r="E39" i="5" s="1"/>
  <c r="G39" i="4"/>
  <c r="AR39" i="4" s="1"/>
  <c r="I39" i="4"/>
  <c r="B40" i="4"/>
  <c r="B39" i="5"/>
  <c r="AS16" i="4"/>
  <c r="B86" i="7"/>
  <c r="I86" i="7" s="1"/>
  <c r="AS15" i="4"/>
  <c r="AR17" i="4"/>
  <c r="AR18" i="4"/>
  <c r="AR19" i="4"/>
  <c r="AR20" i="4"/>
  <c r="AR21" i="4"/>
  <c r="AR22" i="4"/>
  <c r="AR23" i="4"/>
  <c r="AR24" i="4"/>
  <c r="AR25" i="4"/>
  <c r="AR26" i="4"/>
  <c r="AR27" i="4"/>
  <c r="AR28" i="4"/>
  <c r="AR29" i="4"/>
  <c r="AR30" i="4"/>
  <c r="AR31" i="4"/>
  <c r="AR32" i="4"/>
  <c r="AR33" i="4"/>
  <c r="AR34" i="4"/>
  <c r="AR35" i="4"/>
  <c r="AR36" i="4"/>
  <c r="AR37" i="4"/>
  <c r="AR38" i="4"/>
  <c r="U4232" i="16"/>
  <c r="S4232" i="16"/>
  <c r="T4232" i="16" s="1"/>
  <c r="U3716" i="16"/>
  <c r="S3716" i="16"/>
  <c r="T3716" i="16" s="1"/>
  <c r="S3230" i="16"/>
  <c r="T3230" i="16" s="1"/>
  <c r="U3230" i="16"/>
  <c r="U3068" i="16"/>
  <c r="S3068" i="16"/>
  <c r="T3068" i="16" s="1"/>
  <c r="U3014" i="16"/>
  <c r="S3014" i="16"/>
  <c r="T3014" i="16" s="1"/>
  <c r="U2690" i="16"/>
  <c r="S2690" i="16"/>
  <c r="T2690" i="16" s="1"/>
  <c r="U2636" i="16"/>
  <c r="S2636" i="16"/>
  <c r="T2636" i="16" s="1"/>
  <c r="U2582" i="16"/>
  <c r="S2582" i="16"/>
  <c r="T2582" i="16" s="1"/>
  <c r="U2366" i="16"/>
  <c r="S2366" i="16"/>
  <c r="T2366" i="16" s="1"/>
  <c r="U2312" i="16"/>
  <c r="S2312" i="16"/>
  <c r="T2312" i="16" s="1"/>
  <c r="U2096" i="16"/>
  <c r="S2096" i="16"/>
  <c r="T2096" i="16" s="1"/>
  <c r="U2042" i="16"/>
  <c r="S2042" i="16"/>
  <c r="T2042" i="16" s="1"/>
  <c r="U1826" i="16"/>
  <c r="S1826" i="16"/>
  <c r="T1826" i="16" s="1"/>
  <c r="U1772" i="16"/>
  <c r="S1772" i="16"/>
  <c r="T1772" i="16" s="1"/>
  <c r="U1502" i="16"/>
  <c r="S1502" i="16"/>
  <c r="T1502" i="16" s="1"/>
  <c r="S1448" i="16"/>
  <c r="T1448" i="16" s="1"/>
  <c r="U1448" i="16"/>
  <c r="U1394" i="16"/>
  <c r="S1394" i="16"/>
  <c r="T1394" i="16" s="1"/>
  <c r="U1340" i="16"/>
  <c r="S1340" i="16"/>
  <c r="T1340" i="16" s="1"/>
  <c r="U746" i="16"/>
  <c r="S746" i="16"/>
  <c r="T746" i="16" s="1"/>
  <c r="U314" i="16"/>
  <c r="S314" i="16"/>
  <c r="T314" i="16" s="1"/>
  <c r="U260" i="16"/>
  <c r="S260" i="16"/>
  <c r="T260" i="16" s="1"/>
  <c r="M4587" i="16"/>
  <c r="N4587" i="16"/>
  <c r="M3771" i="16"/>
  <c r="N3771" i="16"/>
  <c r="M3663" i="16"/>
  <c r="N3663" i="16"/>
  <c r="N3447" i="16"/>
  <c r="M3447" i="16"/>
  <c r="M3123" i="16"/>
  <c r="N3123" i="16"/>
  <c r="M3015" i="16"/>
  <c r="N3015" i="16"/>
  <c r="M2961" i="16"/>
  <c r="N2961" i="16"/>
  <c r="N2853" i="16"/>
  <c r="M2853" i="16"/>
  <c r="M2799" i="16"/>
  <c r="N2799" i="16"/>
  <c r="S2799" i="16" s="1"/>
  <c r="T2799" i="16" s="1"/>
  <c r="U2799" i="16" s="1"/>
  <c r="N2637" i="16"/>
  <c r="M2637" i="16"/>
  <c r="M2313" i="16"/>
  <c r="N2313" i="16"/>
  <c r="M1881" i="16"/>
  <c r="N1881" i="16"/>
  <c r="M1233" i="16"/>
  <c r="N1233" i="16"/>
  <c r="N1017" i="16"/>
  <c r="M1017" i="16"/>
  <c r="M585" i="16"/>
  <c r="N585" i="16"/>
  <c r="F4588" i="16"/>
  <c r="K4588" i="16"/>
  <c r="K3232" i="16"/>
  <c r="F3232" i="16"/>
  <c r="O3232" i="16" s="1"/>
  <c r="K3178" i="16"/>
  <c r="F3178" i="16"/>
  <c r="O3178" i="16" s="1"/>
  <c r="F2692" i="16"/>
  <c r="O2692" i="16" s="1"/>
  <c r="K2692" i="16"/>
  <c r="F2638" i="16"/>
  <c r="O2638" i="16" s="1"/>
  <c r="K2638" i="16"/>
  <c r="F2368" i="16"/>
  <c r="O2368" i="16" s="1"/>
  <c r="K2368" i="16"/>
  <c r="K1882" i="16"/>
  <c r="F1882" i="16"/>
  <c r="O1882" i="16" s="1"/>
  <c r="K1666" i="16"/>
  <c r="F1666" i="16"/>
  <c r="O1666" i="16" s="1"/>
  <c r="K1612" i="16"/>
  <c r="F1612" i="16"/>
  <c r="O1612" i="16" s="1"/>
  <c r="K1504" i="16"/>
  <c r="F1504" i="16"/>
  <c r="O1504" i="16" s="1"/>
  <c r="F1396" i="16"/>
  <c r="O1396" i="16" s="1"/>
  <c r="K1396" i="16"/>
  <c r="K1342" i="16"/>
  <c r="F1342" i="16"/>
  <c r="O1342" i="16" s="1"/>
  <c r="F1288" i="16"/>
  <c r="O1288" i="16" s="1"/>
  <c r="K1288" i="16"/>
  <c r="K1234" i="16"/>
  <c r="F1234" i="16"/>
  <c r="O1234" i="16" s="1"/>
  <c r="K694" i="16"/>
  <c r="F694" i="16"/>
  <c r="O694" i="16" s="1"/>
  <c r="K640" i="16"/>
  <c r="F640" i="16"/>
  <c r="O640" i="16" s="1"/>
  <c r="K478" i="16"/>
  <c r="F478" i="16"/>
  <c r="O478" i="16" s="1"/>
  <c r="F424" i="16"/>
  <c r="O424" i="16" s="1"/>
  <c r="K424" i="16"/>
  <c r="K154" i="16"/>
  <c r="F154" i="16"/>
  <c r="O154" i="16" s="1"/>
  <c r="N586" i="16" l="1"/>
  <c r="K3287" i="16"/>
  <c r="F3287" i="16"/>
  <c r="O3287" i="16" s="1"/>
  <c r="K3071" i="16"/>
  <c r="F3071" i="16"/>
  <c r="O3071" i="16" s="1"/>
  <c r="K2261" i="16"/>
  <c r="F2261" i="16"/>
  <c r="O2261" i="16" s="1"/>
  <c r="K1181" i="16"/>
  <c r="F1181" i="16"/>
  <c r="O1181" i="16" s="1"/>
  <c r="K587" i="16"/>
  <c r="F587" i="16"/>
  <c r="O587" i="16" s="1"/>
  <c r="S4696" i="16"/>
  <c r="U4696" i="16"/>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D4589" i="16"/>
  <c r="J4589" i="16"/>
  <c r="P4589" i="16"/>
  <c r="Q4589" i="16"/>
  <c r="R4589" i="16"/>
  <c r="L4590" i="16"/>
  <c r="C4590" i="16"/>
  <c r="E4590" i="16"/>
  <c r="G4590" i="16"/>
  <c r="I4590" i="16"/>
  <c r="B4591" i="16"/>
  <c r="D4535" i="16"/>
  <c r="J4535" i="16"/>
  <c r="N4535" i="16" s="1"/>
  <c r="P4535" i="16"/>
  <c r="Q4535" i="16"/>
  <c r="R4535" i="16"/>
  <c r="M4535" i="16"/>
  <c r="C4536" i="16"/>
  <c r="E4536" i="16"/>
  <c r="G4536" i="16"/>
  <c r="I4536" i="16"/>
  <c r="L4536" i="16"/>
  <c r="B4537" i="16"/>
  <c r="U4234" i="16"/>
  <c r="S4234" i="16"/>
  <c r="T4234" i="16" s="1"/>
  <c r="M4235" i="16"/>
  <c r="D4235" i="16"/>
  <c r="J4235" i="16"/>
  <c r="N4235" i="16" s="1"/>
  <c r="P4235" i="16"/>
  <c r="Q4235" i="16"/>
  <c r="R4235" i="16"/>
  <c r="L4236" i="16"/>
  <c r="C4236" i="16"/>
  <c r="E4236" i="16"/>
  <c r="G4236" i="16"/>
  <c r="I4236" i="16"/>
  <c r="B4237" i="16"/>
  <c r="U4180" i="16"/>
  <c r="S4180" i="16"/>
  <c r="T4180" i="16" s="1"/>
  <c r="P4181" i="16"/>
  <c r="Q4181" i="16"/>
  <c r="R4181" i="16"/>
  <c r="J4181" i="16"/>
  <c r="N4181" i="16" s="1"/>
  <c r="D4181" i="16"/>
  <c r="M4181" i="16"/>
  <c r="C4182" i="16"/>
  <c r="E4182" i="16"/>
  <c r="G4182" i="16"/>
  <c r="L4182" i="16"/>
  <c r="B4183" i="16"/>
  <c r="I4182" i="16"/>
  <c r="D4127" i="16"/>
  <c r="J4127" i="16"/>
  <c r="N4127" i="16" s="1"/>
  <c r="P4127" i="16"/>
  <c r="R4127" i="16"/>
  <c r="Q4127" i="16"/>
  <c r="M4127" i="16"/>
  <c r="E4128" i="16"/>
  <c r="L4128" i="16"/>
  <c r="C4128" i="16"/>
  <c r="F4128" i="16"/>
  <c r="O4128" i="16" s="1"/>
  <c r="G4128" i="16"/>
  <c r="K4128" i="16"/>
  <c r="I4128" i="16"/>
  <c r="B4129" i="16"/>
  <c r="U4126" i="16"/>
  <c r="S4126" i="16"/>
  <c r="T4126" i="16" s="1"/>
  <c r="U4072" i="16"/>
  <c r="S4072" i="16"/>
  <c r="T4072" i="16" s="1"/>
  <c r="M4073" i="16"/>
  <c r="D4073" i="16"/>
  <c r="J4073" i="16"/>
  <c r="N4073" i="16" s="1"/>
  <c r="P4073" i="16"/>
  <c r="Q4073" i="16"/>
  <c r="R4073" i="16"/>
  <c r="L4074" i="16"/>
  <c r="C4074" i="16"/>
  <c r="K4074" i="16" s="1"/>
  <c r="E4074" i="16"/>
  <c r="F4074" i="16"/>
  <c r="O4074" i="16" s="1"/>
  <c r="G4074" i="16"/>
  <c r="I4074" i="16"/>
  <c r="B4075" i="16"/>
  <c r="U3772" i="16"/>
  <c r="S3772" i="16"/>
  <c r="T3772" i="16" s="1"/>
  <c r="D3773" i="16"/>
  <c r="J3773" i="16"/>
  <c r="P3773" i="16"/>
  <c r="Q3773" i="16"/>
  <c r="R3773" i="16"/>
  <c r="L3774" i="16"/>
  <c r="C3774" i="16"/>
  <c r="K3774" i="16" s="1"/>
  <c r="E3774" i="16"/>
  <c r="F3774" i="16"/>
  <c r="O3774" i="16" s="1"/>
  <c r="G3774" i="16"/>
  <c r="I3774" i="16"/>
  <c r="B3775" i="16"/>
  <c r="U3718" i="16"/>
  <c r="S3718" i="16"/>
  <c r="T3718" i="16" s="1"/>
  <c r="M3719" i="16"/>
  <c r="D3719" i="16"/>
  <c r="J3719" i="16"/>
  <c r="N3719" i="16" s="1"/>
  <c r="P3719" i="16"/>
  <c r="Q3719" i="16"/>
  <c r="R3719" i="16"/>
  <c r="L3720" i="16"/>
  <c r="C3720" i="16"/>
  <c r="K3720" i="16" s="1"/>
  <c r="E3720" i="16"/>
  <c r="F3720" i="16"/>
  <c r="O3720" i="16" s="1"/>
  <c r="G3720" i="16"/>
  <c r="I3720" i="16"/>
  <c r="B3721" i="16"/>
  <c r="U3664" i="16"/>
  <c r="S3664" i="16"/>
  <c r="T3664" i="16" s="1"/>
  <c r="P3665" i="16"/>
  <c r="Q3665" i="16"/>
  <c r="R3665" i="16"/>
  <c r="D3665" i="16"/>
  <c r="J3665" i="16"/>
  <c r="L3666" i="16"/>
  <c r="G3666" i="16"/>
  <c r="I3666" i="16"/>
  <c r="B3667" i="16"/>
  <c r="C3666" i="16"/>
  <c r="E3666"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U3502" i="16"/>
  <c r="S3502" i="16"/>
  <c r="T3502" i="16" s="1"/>
  <c r="M3503" i="16"/>
  <c r="D3503" i="16"/>
  <c r="J3503" i="16"/>
  <c r="N3503" i="16" s="1"/>
  <c r="P3503" i="16"/>
  <c r="Q3503" i="16"/>
  <c r="R3503" i="16"/>
  <c r="L3504" i="16"/>
  <c r="C3504" i="16"/>
  <c r="K3504" i="16" s="1"/>
  <c r="E3504" i="16"/>
  <c r="F3504" i="16"/>
  <c r="O3504" i="16" s="1"/>
  <c r="G3504" i="16"/>
  <c r="I3504" i="16"/>
  <c r="B3505" i="16"/>
  <c r="S3448" i="16"/>
  <c r="T3448" i="16" s="1"/>
  <c r="U3448" i="16"/>
  <c r="D3449" i="16"/>
  <c r="J3449" i="16"/>
  <c r="P3449" i="16"/>
  <c r="Q3449" i="16"/>
  <c r="R3449" i="16"/>
  <c r="L3450" i="16"/>
  <c r="C3450" i="16"/>
  <c r="E3450" i="16"/>
  <c r="G3450" i="16"/>
  <c r="B3451" i="16"/>
  <c r="I3450" i="16"/>
  <c r="U3394" i="16"/>
  <c r="S3394" i="16"/>
  <c r="T3394" i="16" s="1"/>
  <c r="D3395" i="16"/>
  <c r="J3395" i="16"/>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K3288" i="16" s="1"/>
  <c r="E3288" i="16"/>
  <c r="F3288" i="16"/>
  <c r="O3288" i="16" s="1"/>
  <c r="G3288" i="16"/>
  <c r="I3288" i="16"/>
  <c r="B3289" i="16"/>
  <c r="D3233" i="16"/>
  <c r="M3233" i="16" s="1"/>
  <c r="N3233" i="16" s="1"/>
  <c r="J3233" i="16"/>
  <c r="P3233" i="16"/>
  <c r="Q3233" i="16"/>
  <c r="R3233" i="16"/>
  <c r="L3234" i="16"/>
  <c r="C3234" i="16"/>
  <c r="E3234" i="16"/>
  <c r="G3234" i="16"/>
  <c r="I3234" i="16"/>
  <c r="B3235" i="16"/>
  <c r="D3179" i="16"/>
  <c r="J3179" i="16"/>
  <c r="P3179" i="16"/>
  <c r="Q3179" i="16"/>
  <c r="R3179" i="16"/>
  <c r="L3180" i="16"/>
  <c r="C3180" i="16"/>
  <c r="E3180" i="16"/>
  <c r="G3180" i="16"/>
  <c r="I3180" i="16"/>
  <c r="B3181" i="16"/>
  <c r="U3124" i="16"/>
  <c r="S3124" i="16"/>
  <c r="T3124" i="16" s="1"/>
  <c r="M3125" i="16"/>
  <c r="D3125" i="16"/>
  <c r="J3125" i="16"/>
  <c r="N3125" i="16" s="1"/>
  <c r="P3125" i="16"/>
  <c r="Q3125" i="16"/>
  <c r="R3125" i="16"/>
  <c r="L3126" i="16"/>
  <c r="C3126" i="16"/>
  <c r="E3126" i="16"/>
  <c r="G3126" i="16"/>
  <c r="I3126" i="16"/>
  <c r="B3127" i="16"/>
  <c r="U3070" i="16"/>
  <c r="S3070" i="16"/>
  <c r="T3070" i="16" s="1"/>
  <c r="M3071" i="16"/>
  <c r="J3071" i="16"/>
  <c r="N3071" i="16" s="1"/>
  <c r="D3071" i="16"/>
  <c r="P3071" i="16"/>
  <c r="Q3071" i="16"/>
  <c r="R3071" i="16"/>
  <c r="L3072" i="16"/>
  <c r="B3073" i="16"/>
  <c r="E3072" i="16"/>
  <c r="C3072" i="16"/>
  <c r="G3072" i="16"/>
  <c r="I3072" i="16"/>
  <c r="U3016" i="16"/>
  <c r="S3016" i="16"/>
  <c r="T3016" i="16" s="1"/>
  <c r="M3017" i="16"/>
  <c r="P3017" i="16"/>
  <c r="Q3017" i="16"/>
  <c r="R3017" i="16"/>
  <c r="L3018" i="16"/>
  <c r="E3018" i="16"/>
  <c r="B3019" i="16"/>
  <c r="I3018" i="16"/>
  <c r="C3018" i="16"/>
  <c r="K3018" i="16" s="1"/>
  <c r="F3018" i="16"/>
  <c r="O3018" i="16" s="1"/>
  <c r="G3018" i="16"/>
  <c r="J3017" i="16"/>
  <c r="N3017" i="16" s="1"/>
  <c r="D3017" i="16"/>
  <c r="U2962" i="16"/>
  <c r="S2962" i="16"/>
  <c r="T2962" i="16" s="1"/>
  <c r="D2963" i="16"/>
  <c r="J2963" i="16"/>
  <c r="P2963" i="16"/>
  <c r="Q2963" i="16"/>
  <c r="R2963" i="16"/>
  <c r="L2964" i="16"/>
  <c r="C2964" i="16"/>
  <c r="K2964" i="16" s="1"/>
  <c r="E2964" i="16"/>
  <c r="F2964" i="16"/>
  <c r="O2964" i="16" s="1"/>
  <c r="G2964" i="16"/>
  <c r="I2964" i="16"/>
  <c r="B2965" i="16"/>
  <c r="U2908" i="16"/>
  <c r="S2908" i="16"/>
  <c r="T2908" i="16" s="1"/>
  <c r="M2909" i="16"/>
  <c r="D2909" i="16"/>
  <c r="J2909" i="16"/>
  <c r="N2909" i="16" s="1"/>
  <c r="P2909" i="16"/>
  <c r="Q2909" i="16"/>
  <c r="R2909" i="16"/>
  <c r="L2910" i="16"/>
  <c r="C2910" i="16"/>
  <c r="K2910" i="16" s="1"/>
  <c r="E2910" i="16"/>
  <c r="F2910" i="16"/>
  <c r="O2910" i="16" s="1"/>
  <c r="G2910" i="16"/>
  <c r="I2910" i="16"/>
  <c r="B2911" i="16"/>
  <c r="U2854" i="16"/>
  <c r="S2854" i="16"/>
  <c r="T2854" i="16" s="1"/>
  <c r="L2856" i="16"/>
  <c r="E2856" i="16"/>
  <c r="G2856" i="16"/>
  <c r="C2856" i="16"/>
  <c r="B2857" i="16"/>
  <c r="I2856" i="16"/>
  <c r="D2855" i="16"/>
  <c r="J2855" i="16"/>
  <c r="P2855" i="16"/>
  <c r="Q2855" i="16"/>
  <c r="R2855" i="16"/>
  <c r="M2801" i="16"/>
  <c r="J2801" i="16"/>
  <c r="N2801" i="16" s="1"/>
  <c r="S2801" i="16" s="1"/>
  <c r="T2801" i="16" s="1"/>
  <c r="U2801" i="16" s="1"/>
  <c r="D2801" i="16"/>
  <c r="P2801" i="16"/>
  <c r="Q2801" i="16"/>
  <c r="R2801" i="16"/>
  <c r="L2802" i="16"/>
  <c r="I2802" i="16"/>
  <c r="E2802" i="16"/>
  <c r="C2802" i="16"/>
  <c r="K2802" i="16" s="1"/>
  <c r="F2802" i="16"/>
  <c r="O2802" i="16" s="1"/>
  <c r="G2802" i="16"/>
  <c r="B2803" i="16"/>
  <c r="U2746" i="16"/>
  <c r="S2746" i="16"/>
  <c r="T2746" i="16" s="1"/>
  <c r="M2747" i="16"/>
  <c r="D2747" i="16"/>
  <c r="J2747" i="16"/>
  <c r="N2747" i="16" s="1"/>
  <c r="P2747" i="16"/>
  <c r="Q2747" i="16"/>
  <c r="R2747" i="16"/>
  <c r="L2748" i="16"/>
  <c r="C2748" i="16"/>
  <c r="E2748" i="16"/>
  <c r="G2748" i="16"/>
  <c r="I2748" i="16"/>
  <c r="B2749" i="16"/>
  <c r="P2693" i="16"/>
  <c r="Q2693" i="16"/>
  <c r="R2693" i="16"/>
  <c r="L2694" i="16"/>
  <c r="C2694" i="16"/>
  <c r="E2694" i="16"/>
  <c r="G2694" i="16"/>
  <c r="B2695" i="16"/>
  <c r="I2694" i="16"/>
  <c r="D2693" i="16"/>
  <c r="J2693" i="16"/>
  <c r="P2639" i="16"/>
  <c r="Q2639" i="16"/>
  <c r="R2639" i="16"/>
  <c r="L2640" i="16"/>
  <c r="G2640" i="16"/>
  <c r="B2641" i="16"/>
  <c r="I2640" i="16"/>
  <c r="E2640" i="16"/>
  <c r="C2640" i="16"/>
  <c r="J2639" i="16"/>
  <c r="D2639" i="16"/>
  <c r="U2584" i="16"/>
  <c r="S2584" i="16"/>
  <c r="T2584" i="16" s="1"/>
  <c r="M2585" i="16"/>
  <c r="P2585" i="16"/>
  <c r="Q2585" i="16"/>
  <c r="R2585" i="16"/>
  <c r="J2585" i="16"/>
  <c r="N2585" i="16" s="1"/>
  <c r="D2585" i="16"/>
  <c r="L2586" i="16"/>
  <c r="E2586" i="16"/>
  <c r="C2586" i="16"/>
  <c r="B2587" i="16"/>
  <c r="I2586" i="16"/>
  <c r="G2586"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E2478" i="16"/>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M2369" i="16"/>
  <c r="D2369" i="16"/>
  <c r="J2369" i="16"/>
  <c r="N2369" i="16" s="1"/>
  <c r="P2369" i="16"/>
  <c r="Q2369" i="16"/>
  <c r="R2369" i="16"/>
  <c r="L2370" i="16"/>
  <c r="C2370" i="16"/>
  <c r="K2370" i="16" s="1"/>
  <c r="E2370" i="16"/>
  <c r="F2370" i="16"/>
  <c r="O2370" i="16" s="1"/>
  <c r="G2370" i="16"/>
  <c r="I2370" i="16"/>
  <c r="B2371" i="16"/>
  <c r="U2314" i="16"/>
  <c r="S2314" i="16"/>
  <c r="T2314" i="16" s="1"/>
  <c r="D2315" i="16"/>
  <c r="J2315" i="16"/>
  <c r="P2315" i="16"/>
  <c r="Q2315" i="16"/>
  <c r="R2315" i="16"/>
  <c r="L2316" i="16"/>
  <c r="C2316" i="16"/>
  <c r="K2316" i="16" s="1"/>
  <c r="E2316" i="16"/>
  <c r="F2316" i="16"/>
  <c r="O2316" i="16" s="1"/>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E2208" i="16"/>
  <c r="G2208" i="16"/>
  <c r="I2208" i="16"/>
  <c r="B2209" i="16"/>
  <c r="U2152" i="16"/>
  <c r="S2152" i="16"/>
  <c r="T2152" i="16" s="1"/>
  <c r="M2153" i="16"/>
  <c r="D2153" i="16"/>
  <c r="J2153" i="16"/>
  <c r="N2153" i="16" s="1"/>
  <c r="P2153" i="16"/>
  <c r="Q2153" i="16"/>
  <c r="R2153" i="16"/>
  <c r="L2154" i="16"/>
  <c r="C2154" i="16"/>
  <c r="E2154" i="16"/>
  <c r="G2154" i="16"/>
  <c r="I2154" i="16"/>
  <c r="B2155" i="16"/>
  <c r="U2098" i="16"/>
  <c r="S2098" i="16"/>
  <c r="T2098" i="16" s="1"/>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K1938" i="16" s="1"/>
  <c r="E1938" i="16"/>
  <c r="F1938" i="16"/>
  <c r="O1938" i="16" s="1"/>
  <c r="G1938" i="16"/>
  <c r="I1938" i="16"/>
  <c r="B1939" i="16"/>
  <c r="P1883" i="16"/>
  <c r="Q1883" i="16"/>
  <c r="R1883" i="16"/>
  <c r="L1884" i="16"/>
  <c r="B1885" i="16"/>
  <c r="G1884" i="16"/>
  <c r="I1884" i="16"/>
  <c r="E1884" i="16"/>
  <c r="C1884" i="16"/>
  <c r="D1883" i="16"/>
  <c r="J1883" i="16"/>
  <c r="U1828" i="16"/>
  <c r="S1828" i="16"/>
  <c r="T1828" i="16" s="1"/>
  <c r="D1829" i="16"/>
  <c r="J1829" i="16"/>
  <c r="P1829" i="16"/>
  <c r="Q1829" i="16"/>
  <c r="R1829" i="16"/>
  <c r="L1830" i="16"/>
  <c r="C1830" i="16"/>
  <c r="K1830" i="16" s="1"/>
  <c r="E1830" i="16"/>
  <c r="F1830" i="16"/>
  <c r="O1830" i="16" s="1"/>
  <c r="G1830" i="16"/>
  <c r="I1830" i="16"/>
  <c r="B1831" i="16"/>
  <c r="U1774" i="16"/>
  <c r="S1774" i="16"/>
  <c r="T1774" i="16" s="1"/>
  <c r="D1775" i="16"/>
  <c r="J1775" i="16"/>
  <c r="P1775" i="16"/>
  <c r="Q1775" i="16"/>
  <c r="R1775" i="16"/>
  <c r="L1776" i="16"/>
  <c r="C1776" i="16"/>
  <c r="K1776" i="16" s="1"/>
  <c r="E1776" i="16"/>
  <c r="F1776" i="16"/>
  <c r="O1776" i="16" s="1"/>
  <c r="G1776" i="16"/>
  <c r="I1776" i="16"/>
  <c r="B1777" i="16"/>
  <c r="U1720" i="16"/>
  <c r="S1720" i="16"/>
  <c r="T1720" i="16" s="1"/>
  <c r="D1721" i="16"/>
  <c r="J1721" i="16"/>
  <c r="P1721" i="16"/>
  <c r="Q1721" i="16"/>
  <c r="R1721" i="16"/>
  <c r="L1722" i="16"/>
  <c r="C1722" i="16"/>
  <c r="K1722" i="16" s="1"/>
  <c r="E1722" i="16"/>
  <c r="F1722" i="16"/>
  <c r="O1722" i="16" s="1"/>
  <c r="G1722" i="16"/>
  <c r="I1722" i="16"/>
  <c r="B1723" i="16"/>
  <c r="D1667" i="16"/>
  <c r="J1667" i="16"/>
  <c r="P1667" i="16"/>
  <c r="Q1667" i="16"/>
  <c r="R1667" i="16"/>
  <c r="L1668" i="16"/>
  <c r="C1668" i="16"/>
  <c r="E1668" i="16"/>
  <c r="G1668" i="16"/>
  <c r="I1668" i="16"/>
  <c r="B1669" i="16"/>
  <c r="D1613" i="16"/>
  <c r="J1613" i="16"/>
  <c r="P1613" i="16"/>
  <c r="Q1613" i="16"/>
  <c r="R1613" i="16"/>
  <c r="L1614" i="16"/>
  <c r="C1614" i="16"/>
  <c r="K1614" i="16" s="1"/>
  <c r="E1614" i="16"/>
  <c r="F1614" i="16"/>
  <c r="O1614" i="16" s="1"/>
  <c r="G1614" i="16"/>
  <c r="I1614" i="16"/>
  <c r="B1615" i="16"/>
  <c r="U1558" i="16"/>
  <c r="S1558" i="16"/>
  <c r="T1558" i="16" s="1"/>
  <c r="M1559" i="16"/>
  <c r="D1559" i="16"/>
  <c r="J1559" i="16"/>
  <c r="N1559" i="16" s="1"/>
  <c r="P1559" i="16"/>
  <c r="Q1559" i="16"/>
  <c r="R1559" i="16"/>
  <c r="L1560" i="16"/>
  <c r="C1560" i="16"/>
  <c r="E1560" i="16"/>
  <c r="G1560" i="16"/>
  <c r="I1560" i="16"/>
  <c r="B1561" i="16"/>
  <c r="P1505" i="16"/>
  <c r="Q1505" i="16"/>
  <c r="R1505" i="16"/>
  <c r="L1506" i="16"/>
  <c r="B1507" i="16"/>
  <c r="E1506" i="16"/>
  <c r="G1506" i="16"/>
  <c r="C1506" i="16"/>
  <c r="I1506" i="16"/>
  <c r="D1505" i="16"/>
  <c r="J1505" i="16"/>
  <c r="U1450" i="16"/>
  <c r="S1450" i="16"/>
  <c r="T1450" i="16" s="1"/>
  <c r="J1451" i="16"/>
  <c r="D1451" i="16"/>
  <c r="P1451" i="16"/>
  <c r="Q1451" i="16"/>
  <c r="R1451" i="16"/>
  <c r="L1452" i="16"/>
  <c r="I1452" i="16"/>
  <c r="C1452" i="16"/>
  <c r="K1452" i="16" s="1"/>
  <c r="F1452" i="16"/>
  <c r="O1452" i="16" s="1"/>
  <c r="G1452" i="16"/>
  <c r="E1452" i="16"/>
  <c r="B1453" i="16"/>
  <c r="L1398" i="16"/>
  <c r="C1398" i="16"/>
  <c r="I1398" i="16"/>
  <c r="E1398" i="16"/>
  <c r="G1398" i="16"/>
  <c r="B1399" i="16"/>
  <c r="P1397" i="16"/>
  <c r="Q1397" i="16"/>
  <c r="R1397" i="16"/>
  <c r="J1397" i="16"/>
  <c r="D1397" i="16"/>
  <c r="D1343" i="16"/>
  <c r="J1343" i="16"/>
  <c r="P1343" i="16"/>
  <c r="Q1343" i="16"/>
  <c r="R1343" i="16"/>
  <c r="L1344" i="16"/>
  <c r="I1344" i="16"/>
  <c r="B1345" i="16"/>
  <c r="G1344" i="16"/>
  <c r="C1344" i="16"/>
  <c r="E1344" i="16"/>
  <c r="L1290" i="16"/>
  <c r="B1291" i="16"/>
  <c r="C1290" i="16"/>
  <c r="I1290" i="16"/>
  <c r="E1290" i="16"/>
  <c r="G1290" i="16"/>
  <c r="D1289" i="16"/>
  <c r="J1289" i="16"/>
  <c r="P1289" i="16"/>
  <c r="Q1289" i="16"/>
  <c r="R1289" i="16"/>
  <c r="J1235" i="16"/>
  <c r="D1235" i="16"/>
  <c r="C1236" i="16"/>
  <c r="K1236" i="16"/>
  <c r="G1236" i="16"/>
  <c r="B1237" i="16"/>
  <c r="F1236" i="16"/>
  <c r="O1236" i="16" s="1"/>
  <c r="L1236" i="16"/>
  <c r="I1236" i="16"/>
  <c r="E1236" i="16"/>
  <c r="N1235" i="16"/>
  <c r="M1235" i="16"/>
  <c r="P1235" i="16"/>
  <c r="Q1235" i="16"/>
  <c r="R1235" i="16"/>
  <c r="U1180" i="16"/>
  <c r="S1180" i="16"/>
  <c r="T1180" i="16" s="1"/>
  <c r="M1181" i="16"/>
  <c r="D1181" i="16"/>
  <c r="J1181" i="16"/>
  <c r="N1181" i="16" s="1"/>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U1072" i="16"/>
  <c r="S1072" i="16"/>
  <c r="T1072" i="16" s="1"/>
  <c r="D1073" i="16"/>
  <c r="J1073" i="16"/>
  <c r="P1073" i="16"/>
  <c r="Q1073" i="16"/>
  <c r="R1073" i="16"/>
  <c r="L1074" i="16"/>
  <c r="C1074" i="16"/>
  <c r="K1074" i="16" s="1"/>
  <c r="E1074" i="16"/>
  <c r="F1074" i="16"/>
  <c r="O1074" i="16" s="1"/>
  <c r="G1074" i="16"/>
  <c r="I1074" i="16"/>
  <c r="B1075" i="16"/>
  <c r="U1018" i="16"/>
  <c r="S1018" i="16"/>
  <c r="T1018" i="16" s="1"/>
  <c r="L1020" i="16"/>
  <c r="E1020" i="16"/>
  <c r="B1021" i="16"/>
  <c r="I1020" i="16"/>
  <c r="G1020" i="16"/>
  <c r="C1020" i="16"/>
  <c r="D1019" i="16"/>
  <c r="J1019" i="16"/>
  <c r="P1019" i="16"/>
  <c r="Q1019" i="16"/>
  <c r="R1019" i="16"/>
  <c r="U964" i="16"/>
  <c r="S964" i="16"/>
  <c r="T964" i="16" s="1"/>
  <c r="M965" i="16"/>
  <c r="D965" i="16"/>
  <c r="J965" i="16"/>
  <c r="N965" i="16" s="1"/>
  <c r="P965" i="16"/>
  <c r="Q965" i="16"/>
  <c r="R965" i="16"/>
  <c r="L966" i="16"/>
  <c r="C966" i="16"/>
  <c r="K966" i="16" s="1"/>
  <c r="E966" i="16"/>
  <c r="F966" i="16"/>
  <c r="O966" i="16" s="1"/>
  <c r="G966" i="16"/>
  <c r="I966" i="16"/>
  <c r="B967" i="16"/>
  <c r="U910" i="16"/>
  <c r="S910" i="16"/>
  <c r="T910" i="16" s="1"/>
  <c r="M911" i="16"/>
  <c r="D911" i="16"/>
  <c r="J911" i="16"/>
  <c r="N911" i="16" s="1"/>
  <c r="P911" i="16"/>
  <c r="Q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U802" i="16"/>
  <c r="S802" i="16"/>
  <c r="T802" i="16" s="1"/>
  <c r="M803" i="16"/>
  <c r="D803" i="16"/>
  <c r="J803" i="16"/>
  <c r="N803" i="16" s="1"/>
  <c r="P803" i="16"/>
  <c r="Q803" i="16"/>
  <c r="R803" i="16"/>
  <c r="L804" i="16"/>
  <c r="C804" i="16"/>
  <c r="K804" i="16" s="1"/>
  <c r="E804" i="16"/>
  <c r="F804" i="16"/>
  <c r="O804" i="16" s="1"/>
  <c r="G804" i="16"/>
  <c r="I804" i="16"/>
  <c r="B805" i="16"/>
  <c r="U748" i="16"/>
  <c r="S748" i="16"/>
  <c r="T748" i="16" s="1"/>
  <c r="M749" i="16"/>
  <c r="D749" i="16"/>
  <c r="J749" i="16"/>
  <c r="N749" i="16" s="1"/>
  <c r="P749" i="16"/>
  <c r="Q749" i="16"/>
  <c r="R749" i="16"/>
  <c r="L750" i="16"/>
  <c r="C750" i="16"/>
  <c r="K750" i="16" s="1"/>
  <c r="E750" i="16"/>
  <c r="F750" i="16"/>
  <c r="O750" i="16" s="1"/>
  <c r="G750" i="16"/>
  <c r="I750" i="16"/>
  <c r="B751" i="16"/>
  <c r="M695" i="16"/>
  <c r="D695" i="16"/>
  <c r="J695" i="16"/>
  <c r="N695" i="16" s="1"/>
  <c r="P695" i="16"/>
  <c r="Q695" i="16"/>
  <c r="R695" i="16"/>
  <c r="L696" i="16"/>
  <c r="C696" i="16"/>
  <c r="K696" i="16" s="1"/>
  <c r="E696" i="16"/>
  <c r="F696" i="16"/>
  <c r="O696" i="16" s="1"/>
  <c r="G696" i="16"/>
  <c r="I696" i="16"/>
  <c r="B697" i="16"/>
  <c r="D641" i="16"/>
  <c r="M641" i="16" s="1"/>
  <c r="J641" i="16"/>
  <c r="P641" i="16"/>
  <c r="Q641" i="16"/>
  <c r="R641" i="16"/>
  <c r="L642" i="16"/>
  <c r="C642" i="16"/>
  <c r="K642" i="16" s="1"/>
  <c r="E642" i="16"/>
  <c r="F642" i="16"/>
  <c r="O642" i="16" s="1"/>
  <c r="G642" i="16"/>
  <c r="I642" i="16"/>
  <c r="B643" i="16"/>
  <c r="U586" i="16"/>
  <c r="S586" i="16"/>
  <c r="T586" i="16" s="1"/>
  <c r="M587" i="16"/>
  <c r="D587" i="16"/>
  <c r="J587" i="16"/>
  <c r="N587" i="16" s="1"/>
  <c r="P587" i="16"/>
  <c r="Q587" i="16"/>
  <c r="R587" i="16"/>
  <c r="L588" i="16"/>
  <c r="C588" i="16"/>
  <c r="K588" i="16" s="1"/>
  <c r="E588" i="16"/>
  <c r="F588" i="16"/>
  <c r="O588" i="16" s="1"/>
  <c r="G588" i="16"/>
  <c r="I588" i="16"/>
  <c r="B589" i="16"/>
  <c r="U532" i="16"/>
  <c r="S532" i="16"/>
  <c r="T532" i="16" s="1"/>
  <c r="D533" i="16"/>
  <c r="J533" i="16"/>
  <c r="P533" i="16"/>
  <c r="Q533" i="16"/>
  <c r="R533" i="16"/>
  <c r="L534" i="16"/>
  <c r="C534" i="16"/>
  <c r="E534" i="16"/>
  <c r="G534" i="16"/>
  <c r="I534" i="16"/>
  <c r="B535" i="16"/>
  <c r="M479" i="16"/>
  <c r="D479" i="16"/>
  <c r="J479" i="16"/>
  <c r="N479" i="16" s="1"/>
  <c r="P479" i="16"/>
  <c r="Q479" i="16"/>
  <c r="R479" i="16"/>
  <c r="L480" i="16"/>
  <c r="C480" i="16"/>
  <c r="K480" i="16" s="1"/>
  <c r="E480" i="16"/>
  <c r="F480" i="16"/>
  <c r="O480" i="16" s="1"/>
  <c r="G480" i="16"/>
  <c r="I480" i="16"/>
  <c r="B481" i="16"/>
  <c r="M425" i="16"/>
  <c r="D425" i="16"/>
  <c r="J425" i="16"/>
  <c r="N425" i="16" s="1"/>
  <c r="P425" i="16"/>
  <c r="Q425" i="16"/>
  <c r="R425" i="16"/>
  <c r="L426" i="16"/>
  <c r="C426" i="16"/>
  <c r="K426" i="16" s="1"/>
  <c r="E426" i="16"/>
  <c r="F426" i="16"/>
  <c r="O426" i="16" s="1"/>
  <c r="G426" i="16"/>
  <c r="I426" i="16"/>
  <c r="B427" i="16"/>
  <c r="U370" i="16"/>
  <c r="S370" i="16"/>
  <c r="T370" i="16" s="1"/>
  <c r="D371" i="16"/>
  <c r="J371" i="16"/>
  <c r="P371" i="16"/>
  <c r="Q371" i="16"/>
  <c r="R371" i="16"/>
  <c r="L372" i="16"/>
  <c r="C372" i="16"/>
  <c r="K372" i="16" s="1"/>
  <c r="E372" i="16"/>
  <c r="F372" i="16"/>
  <c r="O372" i="16" s="1"/>
  <c r="G372" i="16"/>
  <c r="I372" i="16"/>
  <c r="B373" i="16"/>
  <c r="U316" i="16"/>
  <c r="S316" i="16"/>
  <c r="T316" i="16" s="1"/>
  <c r="D317" i="16"/>
  <c r="J317" i="16"/>
  <c r="P317" i="16"/>
  <c r="Q317" i="16"/>
  <c r="R317" i="16"/>
  <c r="L318" i="16"/>
  <c r="C318" i="16"/>
  <c r="E318" i="16"/>
  <c r="G318" i="16"/>
  <c r="I318" i="16"/>
  <c r="B319" i="16"/>
  <c r="U262" i="16"/>
  <c r="S262" i="16"/>
  <c r="T262" i="16" s="1"/>
  <c r="M263" i="16"/>
  <c r="D263" i="16"/>
  <c r="J263" i="16"/>
  <c r="N263" i="16" s="1"/>
  <c r="P263" i="16"/>
  <c r="Q263" i="16"/>
  <c r="R263" i="16"/>
  <c r="L264" i="16"/>
  <c r="C264" i="16"/>
  <c r="E264" i="16"/>
  <c r="G264" i="16"/>
  <c r="I264" i="16"/>
  <c r="B265" i="16"/>
  <c r="U208" i="16"/>
  <c r="S208" i="16"/>
  <c r="T208" i="16" s="1"/>
  <c r="L210" i="16"/>
  <c r="C210" i="16"/>
  <c r="E210" i="16"/>
  <c r="G210" i="16"/>
  <c r="I210" i="16"/>
  <c r="B211" i="16"/>
  <c r="J209" i="16"/>
  <c r="D209" i="16"/>
  <c r="P209" i="16"/>
  <c r="Q209" i="16"/>
  <c r="R209" i="16"/>
  <c r="L156" i="16"/>
  <c r="I156" i="16"/>
  <c r="C156" i="16"/>
  <c r="E156" i="16"/>
  <c r="G156" i="16"/>
  <c r="B157" i="16"/>
  <c r="D155" i="16"/>
  <c r="J155" i="16"/>
  <c r="P155" i="16"/>
  <c r="Q155" i="16"/>
  <c r="R155" i="16"/>
  <c r="U100" i="16"/>
  <c r="S100" i="16"/>
  <c r="T100" i="16" s="1"/>
  <c r="M101" i="16"/>
  <c r="D101" i="16"/>
  <c r="J101" i="16"/>
  <c r="N101" i="16" s="1"/>
  <c r="P101" i="16"/>
  <c r="Q101" i="16"/>
  <c r="R101" i="16"/>
  <c r="L102" i="16"/>
  <c r="C102" i="16"/>
  <c r="K102" i="16" s="1"/>
  <c r="E102" i="16"/>
  <c r="F102" i="16"/>
  <c r="O102" i="16" s="1"/>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F39" i="5" s="1"/>
  <c r="Q39" i="4"/>
  <c r="G39" i="5" s="1"/>
  <c r="R39" i="4"/>
  <c r="H39" i="5" s="1"/>
  <c r="V39" i="4"/>
  <c r="L40" i="4"/>
  <c r="C40" i="4"/>
  <c r="K40" i="4" s="1"/>
  <c r="E40" i="4"/>
  <c r="F40" i="4"/>
  <c r="C40" i="5" s="1"/>
  <c r="E40" i="5" s="1"/>
  <c r="G40" i="4"/>
  <c r="AS40" i="4" s="1"/>
  <c r="I40" i="4"/>
  <c r="B41" i="4"/>
  <c r="B40" i="5"/>
  <c r="AT16" i="4"/>
  <c r="B87" i="7"/>
  <c r="I87" i="7" s="1"/>
  <c r="AT15" i="4"/>
  <c r="AS17" i="4"/>
  <c r="AS18" i="4"/>
  <c r="AS19" i="4"/>
  <c r="AS20" i="4"/>
  <c r="AS21" i="4"/>
  <c r="AS22" i="4"/>
  <c r="AS23" i="4"/>
  <c r="AS24" i="4"/>
  <c r="AS25" i="4"/>
  <c r="AS26" i="4"/>
  <c r="AS27" i="4"/>
  <c r="AS28" i="4"/>
  <c r="AS29" i="4"/>
  <c r="AS30" i="4"/>
  <c r="AS31" i="4"/>
  <c r="AS32" i="4"/>
  <c r="AS33" i="4"/>
  <c r="AS34" i="4"/>
  <c r="AS35" i="4"/>
  <c r="AS36" i="4"/>
  <c r="AS37" i="4"/>
  <c r="AS38" i="4"/>
  <c r="AS39" i="4"/>
  <c r="U3771" i="16"/>
  <c r="S3771" i="16"/>
  <c r="T3771" i="16" s="1"/>
  <c r="S3663" i="16"/>
  <c r="T3663" i="16" s="1"/>
  <c r="U3663" i="16"/>
  <c r="S3447" i="16"/>
  <c r="T3447" i="16" s="1"/>
  <c r="U3447" i="16"/>
  <c r="U3123" i="16"/>
  <c r="S3123" i="16"/>
  <c r="T3123" i="16" s="1"/>
  <c r="U3015" i="16"/>
  <c r="S3015" i="16"/>
  <c r="T3015" i="16" s="1"/>
  <c r="U2961" i="16"/>
  <c r="S2961" i="16"/>
  <c r="T2961" i="16" s="1"/>
  <c r="U2853" i="16"/>
  <c r="S2853" i="16"/>
  <c r="T2853" i="16" s="1"/>
  <c r="U2637" i="16"/>
  <c r="S2637" i="16"/>
  <c r="T2637" i="16" s="1"/>
  <c r="U2313" i="16"/>
  <c r="S2313" i="16"/>
  <c r="T2313" i="16" s="1"/>
  <c r="U1881" i="16"/>
  <c r="S1881" i="16"/>
  <c r="T1881" i="16" s="1"/>
  <c r="S1233" i="16"/>
  <c r="T1233" i="16" s="1"/>
  <c r="U1233" i="16"/>
  <c r="U1017" i="16"/>
  <c r="S1017" i="16"/>
  <c r="T1017" i="16" s="1"/>
  <c r="U585" i="16"/>
  <c r="S585" i="16"/>
  <c r="T585" i="16" s="1"/>
  <c r="M4588" i="16"/>
  <c r="N4588" i="16"/>
  <c r="M3232" i="16"/>
  <c r="N3232" i="16"/>
  <c r="M3178" i="16"/>
  <c r="N3178" i="16"/>
  <c r="N2692" i="16"/>
  <c r="M2692" i="16"/>
  <c r="N2638" i="16"/>
  <c r="M2638" i="16"/>
  <c r="M2368" i="16"/>
  <c r="N2368" i="16"/>
  <c r="M1882" i="16"/>
  <c r="N1882" i="16" s="1"/>
  <c r="M1666" i="16"/>
  <c r="N1666" i="16"/>
  <c r="M1612" i="16"/>
  <c r="N1612" i="16"/>
  <c r="M1504" i="16"/>
  <c r="N1504" i="16"/>
  <c r="M1396" i="16"/>
  <c r="N1396" i="16"/>
  <c r="N1342" i="16"/>
  <c r="M1342" i="16"/>
  <c r="M1288" i="16"/>
  <c r="N1288" i="16"/>
  <c r="M1234" i="16"/>
  <c r="N1234" i="16" s="1"/>
  <c r="M694" i="16"/>
  <c r="N694" i="16"/>
  <c r="M640" i="16"/>
  <c r="N640" i="16"/>
  <c r="M478" i="16"/>
  <c r="N478" i="16"/>
  <c r="M424" i="16"/>
  <c r="N424" i="16"/>
  <c r="M154" i="16"/>
  <c r="N154" i="16"/>
  <c r="F4589" i="16"/>
  <c r="K4589" i="16"/>
  <c r="F3773" i="16"/>
  <c r="O3773" i="16" s="1"/>
  <c r="K3773" i="16"/>
  <c r="K3665" i="16"/>
  <c r="F3665" i="16"/>
  <c r="O3665" i="16" s="1"/>
  <c r="F3449" i="16"/>
  <c r="O3449" i="16" s="1"/>
  <c r="K3449" i="16"/>
  <c r="K3395" i="16"/>
  <c r="F3395" i="16"/>
  <c r="O3395" i="16" s="1"/>
  <c r="F3179" i="16"/>
  <c r="O3179" i="16" s="1"/>
  <c r="K3179" i="16"/>
  <c r="F2963" i="16"/>
  <c r="O2963" i="16" s="1"/>
  <c r="K2963" i="16"/>
  <c r="F2855" i="16"/>
  <c r="O2855" i="16" s="1"/>
  <c r="K2855" i="16"/>
  <c r="F2693" i="16"/>
  <c r="O2693" i="16" s="1"/>
  <c r="K2693" i="16"/>
  <c r="K2639" i="16"/>
  <c r="F2639" i="16"/>
  <c r="O2639" i="16" s="1"/>
  <c r="K2315" i="16"/>
  <c r="F2315" i="16"/>
  <c r="O2315" i="16" s="1"/>
  <c r="K1883" i="16"/>
  <c r="F1883" i="16"/>
  <c r="O1883" i="16" s="1"/>
  <c r="F1829" i="16"/>
  <c r="O1829" i="16" s="1"/>
  <c r="K1829" i="16"/>
  <c r="K1775" i="16"/>
  <c r="F1775" i="16"/>
  <c r="O1775" i="16" s="1"/>
  <c r="K1721" i="16"/>
  <c r="F1721" i="16"/>
  <c r="O1721" i="16" s="1"/>
  <c r="K1667" i="16"/>
  <c r="F1667" i="16"/>
  <c r="O1667" i="16" s="1"/>
  <c r="F1613" i="16"/>
  <c r="O1613" i="16" s="1"/>
  <c r="K1613" i="16"/>
  <c r="F1505" i="16"/>
  <c r="O1505" i="16" s="1"/>
  <c r="K1505" i="16"/>
  <c r="K1451" i="16"/>
  <c r="F1451" i="16"/>
  <c r="O1451" i="16" s="1"/>
  <c r="F1397" i="16"/>
  <c r="O1397" i="16" s="1"/>
  <c r="K1397" i="16"/>
  <c r="F1343" i="16"/>
  <c r="O1343" i="16" s="1"/>
  <c r="K1343" i="16"/>
  <c r="F1289" i="16"/>
  <c r="O1289" i="16" s="1"/>
  <c r="K1289" i="16"/>
  <c r="K1073" i="16"/>
  <c r="F1073" i="16"/>
  <c r="O1073" i="16" s="1"/>
  <c r="F1019" i="16"/>
  <c r="O1019" i="16" s="1"/>
  <c r="K1019" i="16"/>
  <c r="K533" i="16"/>
  <c r="F533" i="16"/>
  <c r="O533" i="16" s="1"/>
  <c r="K371" i="16"/>
  <c r="F371" i="16"/>
  <c r="O371" i="16" s="1"/>
  <c r="K317" i="16"/>
  <c r="F317" i="16"/>
  <c r="O317" i="16" s="1"/>
  <c r="K209" i="16"/>
  <c r="F209" i="16"/>
  <c r="O209" i="16" s="1"/>
  <c r="F155" i="16"/>
  <c r="O155" i="16" s="1"/>
  <c r="K155" i="16"/>
  <c r="F38" i="5"/>
  <c r="G38" i="5"/>
  <c r="H38" i="5"/>
  <c r="N1937" i="16" l="1"/>
  <c r="N641" i="16"/>
  <c r="F4536" i="16"/>
  <c r="K4536" i="16"/>
  <c r="K2478" i="16"/>
  <c r="F2478" i="16"/>
  <c r="O2478" i="16" s="1"/>
  <c r="K2208" i="16"/>
  <c r="F2208" i="16"/>
  <c r="O2208" i="16" s="1"/>
  <c r="K2046" i="16"/>
  <c r="F2046" i="16"/>
  <c r="O2046" i="16" s="1"/>
  <c r="K1668" i="16"/>
  <c r="F1668" i="16"/>
  <c r="O1668" i="16" s="1"/>
  <c r="K1506" i="16"/>
  <c r="F1506" i="16"/>
  <c r="O1506" i="16" s="1"/>
  <c r="K1398" i="16"/>
  <c r="F1398" i="16"/>
  <c r="O1398" i="16" s="1"/>
  <c r="K1182" i="16"/>
  <c r="F1182" i="16"/>
  <c r="O1182" i="16" s="1"/>
  <c r="T4696" i="16"/>
  <c r="S4697" i="16"/>
  <c r="T4697" i="16" s="1"/>
  <c r="U4697" i="16"/>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D4590" i="16"/>
  <c r="J4590" i="16"/>
  <c r="P4590" i="16"/>
  <c r="Q4590" i="16"/>
  <c r="R4590" i="16"/>
  <c r="L4591" i="16"/>
  <c r="C4591" i="16"/>
  <c r="E4591" i="16"/>
  <c r="G4591" i="16"/>
  <c r="I4591" i="16"/>
  <c r="B4592" i="16"/>
  <c r="D4536" i="16"/>
  <c r="J4536" i="16"/>
  <c r="N4536" i="16" s="1"/>
  <c r="P4536" i="16"/>
  <c r="Q4536" i="16"/>
  <c r="R4536" i="16"/>
  <c r="M4536" i="16"/>
  <c r="C4537" i="16"/>
  <c r="F4537" i="16" s="1"/>
  <c r="E4537" i="16"/>
  <c r="G4537" i="16"/>
  <c r="K4537" i="16"/>
  <c r="I4537" i="16"/>
  <c r="L4537" i="16"/>
  <c r="B4538" i="16"/>
  <c r="U4235" i="16"/>
  <c r="S4235" i="16"/>
  <c r="T4235" i="16" s="1"/>
  <c r="D4236" i="16"/>
  <c r="J4236" i="16"/>
  <c r="P4236" i="16"/>
  <c r="Q4236" i="16"/>
  <c r="R4236" i="16"/>
  <c r="L4237" i="16"/>
  <c r="C4237" i="16"/>
  <c r="E4237" i="16"/>
  <c r="G4237" i="16"/>
  <c r="I4237" i="16"/>
  <c r="B4238" i="16"/>
  <c r="U4181" i="16"/>
  <c r="S4181" i="16"/>
  <c r="T4181" i="16" s="1"/>
  <c r="J4182" i="16"/>
  <c r="D4182" i="16"/>
  <c r="P4182" i="16"/>
  <c r="Q4182" i="16"/>
  <c r="R4182" i="16"/>
  <c r="L4183" i="16"/>
  <c r="B4184" i="16"/>
  <c r="I4183" i="16"/>
  <c r="C4183" i="16"/>
  <c r="E4183" i="16"/>
  <c r="G4183" i="16"/>
  <c r="U4127" i="16"/>
  <c r="S4127" i="16"/>
  <c r="T4127" i="16" s="1"/>
  <c r="J4128" i="16"/>
  <c r="N4128" i="16" s="1"/>
  <c r="D4128" i="16"/>
  <c r="P4128" i="16"/>
  <c r="Q4128" i="16"/>
  <c r="R4128" i="16"/>
  <c r="M4128" i="16"/>
  <c r="E4129" i="16"/>
  <c r="G4129" i="16"/>
  <c r="B4130" i="16"/>
  <c r="I4129" i="16"/>
  <c r="C4129" i="16"/>
  <c r="K4129" i="16" s="1"/>
  <c r="F4129" i="16"/>
  <c r="O4129" i="16" s="1"/>
  <c r="L4129" i="16"/>
  <c r="U4073" i="16"/>
  <c r="S4073" i="16"/>
  <c r="T4073" i="16" s="1"/>
  <c r="M4074" i="16"/>
  <c r="D4074" i="16"/>
  <c r="J4074" i="16"/>
  <c r="N4074" i="16" s="1"/>
  <c r="P4074" i="16"/>
  <c r="Q4074" i="16"/>
  <c r="R4074" i="16"/>
  <c r="L4075" i="16"/>
  <c r="C4075" i="16"/>
  <c r="E4075" i="16"/>
  <c r="G4075" i="16"/>
  <c r="I4075" i="16"/>
  <c r="B4076" i="16"/>
  <c r="M3774" i="16"/>
  <c r="D3774" i="16"/>
  <c r="J3774" i="16"/>
  <c r="N3774" i="16" s="1"/>
  <c r="P3774" i="16"/>
  <c r="Q3774" i="16"/>
  <c r="R3774" i="16"/>
  <c r="L3775" i="16"/>
  <c r="C3775" i="16"/>
  <c r="E3775" i="16"/>
  <c r="G3775" i="16"/>
  <c r="I3775" i="16"/>
  <c r="B3776" i="16"/>
  <c r="U3719" i="16"/>
  <c r="S3719" i="16"/>
  <c r="T3719" i="16" s="1"/>
  <c r="M3720" i="16"/>
  <c r="D3720" i="16"/>
  <c r="J3720" i="16"/>
  <c r="N3720" i="16" s="1"/>
  <c r="P3720" i="16"/>
  <c r="Q3720" i="16"/>
  <c r="R3720" i="16"/>
  <c r="L3721" i="16"/>
  <c r="C3721" i="16"/>
  <c r="E3721" i="16"/>
  <c r="G3721" i="16"/>
  <c r="I3721" i="16"/>
  <c r="B3722" i="16"/>
  <c r="P3666" i="16"/>
  <c r="Q3666" i="16"/>
  <c r="R3666" i="16"/>
  <c r="L3667" i="16"/>
  <c r="G3667" i="16"/>
  <c r="I3667" i="16"/>
  <c r="B3668" i="16"/>
  <c r="C3667" i="16"/>
  <c r="E3667" i="16"/>
  <c r="J3666" i="16"/>
  <c r="D3666"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E3505" i="16"/>
  <c r="G3505" i="16"/>
  <c r="I3505" i="16"/>
  <c r="B3506" i="16"/>
  <c r="D3450" i="16"/>
  <c r="J3450" i="16"/>
  <c r="P3450" i="16"/>
  <c r="Q3450" i="16"/>
  <c r="R3450" i="16"/>
  <c r="L3451" i="16"/>
  <c r="C3451" i="16"/>
  <c r="K3451" i="16" s="1"/>
  <c r="E3451" i="16"/>
  <c r="F3451" i="16"/>
  <c r="O3451" i="16" s="1"/>
  <c r="G3451" i="16"/>
  <c r="B3452" i="16"/>
  <c r="I3451" i="16"/>
  <c r="D3396" i="16"/>
  <c r="J3396" i="16"/>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M3288" i="16"/>
  <c r="D3288" i="16"/>
  <c r="J3288" i="16"/>
  <c r="N3288" i="16" s="1"/>
  <c r="P3288" i="16"/>
  <c r="Q3288" i="16"/>
  <c r="R3288" i="16"/>
  <c r="L3289" i="16"/>
  <c r="C3289" i="16"/>
  <c r="K3289" i="16" s="1"/>
  <c r="E3289" i="16"/>
  <c r="F3289" i="16"/>
  <c r="O3289" i="16" s="1"/>
  <c r="G3289" i="16"/>
  <c r="I3289" i="16"/>
  <c r="B3290" i="16"/>
  <c r="S3233" i="16"/>
  <c r="T3233" i="16" s="1"/>
  <c r="U3233" i="16"/>
  <c r="D3234" i="16"/>
  <c r="J3234" i="16"/>
  <c r="P3234" i="16"/>
  <c r="Q3234" i="16"/>
  <c r="R3234" i="16"/>
  <c r="L3235" i="16"/>
  <c r="C3235" i="16"/>
  <c r="K3235" i="16" s="1"/>
  <c r="E3235" i="16"/>
  <c r="F3235" i="16"/>
  <c r="O3235" i="16" s="1"/>
  <c r="G3235" i="16"/>
  <c r="I3235" i="16"/>
  <c r="B3236" i="16"/>
  <c r="D3180" i="16"/>
  <c r="J3180" i="16"/>
  <c r="P3180" i="16"/>
  <c r="Q3180" i="16"/>
  <c r="R3180" i="16"/>
  <c r="L3181" i="16"/>
  <c r="C3181" i="16"/>
  <c r="K3181" i="16" s="1"/>
  <c r="E3181" i="16"/>
  <c r="F3181" i="16"/>
  <c r="O3181" i="16" s="1"/>
  <c r="G3181" i="16"/>
  <c r="I3181" i="16"/>
  <c r="B3182" i="16"/>
  <c r="U3125" i="16"/>
  <c r="S3125" i="16"/>
  <c r="T3125" i="16" s="1"/>
  <c r="D3126" i="16"/>
  <c r="J3126" i="16"/>
  <c r="P3126" i="16"/>
  <c r="Q3126" i="16"/>
  <c r="R3126" i="16"/>
  <c r="L3127" i="16"/>
  <c r="C3127" i="16"/>
  <c r="K3127" i="16" s="1"/>
  <c r="E3127" i="16"/>
  <c r="F3127" i="16"/>
  <c r="O3127" i="16" s="1"/>
  <c r="G3127" i="16"/>
  <c r="I3127" i="16"/>
  <c r="B3128" i="16"/>
  <c r="U3071" i="16"/>
  <c r="S3071" i="16"/>
  <c r="T3071" i="16" s="1"/>
  <c r="L3073" i="16"/>
  <c r="I3073" i="16"/>
  <c r="B3074" i="16"/>
  <c r="C3073" i="16"/>
  <c r="K3073" i="16" s="1"/>
  <c r="E3073" i="16"/>
  <c r="F3073" i="16"/>
  <c r="O3073" i="16" s="1"/>
  <c r="G3073" i="16"/>
  <c r="D3072" i="16"/>
  <c r="J3072" i="16"/>
  <c r="P3072" i="16"/>
  <c r="Q3072" i="16"/>
  <c r="R3072" i="16"/>
  <c r="U3017" i="16"/>
  <c r="S3017" i="16"/>
  <c r="T3017" i="16" s="1"/>
  <c r="M3018" i="16"/>
  <c r="L3019" i="16"/>
  <c r="E3019" i="16"/>
  <c r="G3019" i="16"/>
  <c r="C3019" i="16"/>
  <c r="B3020" i="16"/>
  <c r="I3019" i="16"/>
  <c r="D3018" i="16"/>
  <c r="J3018" i="16"/>
  <c r="N3018" i="16" s="1"/>
  <c r="P3018" i="16"/>
  <c r="Q3018" i="16"/>
  <c r="R3018" i="16"/>
  <c r="M2964" i="16"/>
  <c r="D2964" i="16"/>
  <c r="J2964" i="16"/>
  <c r="N2964" i="16" s="1"/>
  <c r="P2964" i="16"/>
  <c r="Q2964" i="16"/>
  <c r="R2964" i="16"/>
  <c r="L2965" i="16"/>
  <c r="C2965" i="16"/>
  <c r="K2965" i="16" s="1"/>
  <c r="E2965" i="16"/>
  <c r="F2965" i="16"/>
  <c r="O2965" i="16" s="1"/>
  <c r="G2965" i="16"/>
  <c r="I2965" i="16"/>
  <c r="B2966" i="16"/>
  <c r="U2909" i="16"/>
  <c r="S2909" i="16"/>
  <c r="T2909" i="16" s="1"/>
  <c r="M2910" i="16"/>
  <c r="D2910" i="16"/>
  <c r="J2910" i="16"/>
  <c r="N2910" i="16" s="1"/>
  <c r="P2910" i="16"/>
  <c r="Q2910" i="16"/>
  <c r="R2910" i="16"/>
  <c r="L2911" i="16"/>
  <c r="C2911" i="16"/>
  <c r="K2911" i="16" s="1"/>
  <c r="E2911" i="16"/>
  <c r="F2911" i="16"/>
  <c r="O2911" i="16" s="1"/>
  <c r="G2911" i="16"/>
  <c r="I2911" i="16"/>
  <c r="B2912" i="16"/>
  <c r="P2856" i="16"/>
  <c r="Q2856" i="16"/>
  <c r="R2856" i="16"/>
  <c r="J2856" i="16"/>
  <c r="D2856" i="16"/>
  <c r="L2857" i="16"/>
  <c r="B2858" i="16"/>
  <c r="E2857" i="16"/>
  <c r="I2857" i="16"/>
  <c r="C2857" i="16"/>
  <c r="G2857" i="16"/>
  <c r="M2802" i="16"/>
  <c r="D2802" i="16"/>
  <c r="J2802" i="16"/>
  <c r="N2802" i="16" s="1"/>
  <c r="S2802" i="16" s="1"/>
  <c r="T2802" i="16" s="1"/>
  <c r="U2802" i="16" s="1"/>
  <c r="P2802" i="16"/>
  <c r="Q2802" i="16"/>
  <c r="R2802" i="16"/>
  <c r="L2803" i="16"/>
  <c r="C2803" i="16"/>
  <c r="B2804" i="16"/>
  <c r="E2803" i="16"/>
  <c r="G2803" i="16"/>
  <c r="I2803" i="16"/>
  <c r="U2747" i="16"/>
  <c r="S2747" i="16"/>
  <c r="T2747" i="16" s="1"/>
  <c r="D2748" i="16"/>
  <c r="J2748" i="16"/>
  <c r="P2748" i="16"/>
  <c r="Q2748" i="16"/>
  <c r="R2748" i="16"/>
  <c r="L2749" i="16"/>
  <c r="C2749" i="16"/>
  <c r="K2749" i="16" s="1"/>
  <c r="E2749" i="16"/>
  <c r="F2749" i="16"/>
  <c r="O2749" i="16" s="1"/>
  <c r="G2749" i="16"/>
  <c r="I2749" i="16"/>
  <c r="B2750" i="16"/>
  <c r="J2694" i="16"/>
  <c r="D2694" i="16"/>
  <c r="P2694" i="16"/>
  <c r="Q2694" i="16"/>
  <c r="R2694" i="16"/>
  <c r="L2695" i="16"/>
  <c r="I2695" i="16"/>
  <c r="G2695" i="16"/>
  <c r="C2695" i="16"/>
  <c r="E2695" i="16"/>
  <c r="B2696" i="16"/>
  <c r="P2640" i="16"/>
  <c r="Q2640" i="16"/>
  <c r="R2640" i="16"/>
  <c r="L2641" i="16"/>
  <c r="E2641" i="16"/>
  <c r="B2642" i="16"/>
  <c r="G2641" i="16"/>
  <c r="I2641" i="16"/>
  <c r="C2641" i="16"/>
  <c r="D2640" i="16"/>
  <c r="J2640" i="16"/>
  <c r="U2585" i="16"/>
  <c r="S2585" i="16"/>
  <c r="T2585" i="16" s="1"/>
  <c r="D2586" i="16"/>
  <c r="J2586" i="16"/>
  <c r="L2587" i="16"/>
  <c r="C2587" i="16"/>
  <c r="K2587" i="16" s="1"/>
  <c r="G2587" i="16"/>
  <c r="I2587" i="16"/>
  <c r="E2587" i="16"/>
  <c r="B2588" i="16"/>
  <c r="F2587" i="16"/>
  <c r="O2587" i="16" s="1"/>
  <c r="P2586" i="16"/>
  <c r="Q2586" i="16"/>
  <c r="R2586"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K2425" i="16" s="1"/>
  <c r="E2425" i="16"/>
  <c r="F2425" i="16"/>
  <c r="O2425" i="16" s="1"/>
  <c r="G2425" i="16"/>
  <c r="I2425" i="16"/>
  <c r="B2426" i="16"/>
  <c r="U2369" i="16"/>
  <c r="S2369" i="16"/>
  <c r="T2369" i="16" s="1"/>
  <c r="M2370" i="16"/>
  <c r="D2370" i="16"/>
  <c r="J2370" i="16"/>
  <c r="N2370" i="16" s="1"/>
  <c r="P2370" i="16"/>
  <c r="Q2370" i="16"/>
  <c r="R2370" i="16"/>
  <c r="L2371" i="16"/>
  <c r="C2371" i="16"/>
  <c r="E2371" i="16"/>
  <c r="G2371" i="16"/>
  <c r="I2371" i="16"/>
  <c r="B2372" i="16"/>
  <c r="M2316" i="16"/>
  <c r="D2316" i="16"/>
  <c r="J2316" i="16"/>
  <c r="N2316" i="16" s="1"/>
  <c r="P2316" i="16"/>
  <c r="Q2316" i="16"/>
  <c r="R2316" i="16"/>
  <c r="L2317" i="16"/>
  <c r="C2317" i="16"/>
  <c r="E2317" i="16"/>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U2153" i="16"/>
  <c r="S2153" i="16"/>
  <c r="T2153" i="16" s="1"/>
  <c r="D2154" i="16"/>
  <c r="J2154" i="16"/>
  <c r="P2154" i="16"/>
  <c r="Q2154" i="16"/>
  <c r="R2154" i="16"/>
  <c r="L2155" i="16"/>
  <c r="C2155" i="16"/>
  <c r="K2155" i="16" s="1"/>
  <c r="E2155" i="16"/>
  <c r="F2155" i="16"/>
  <c r="O2155" i="16" s="1"/>
  <c r="G2155" i="16"/>
  <c r="I2155" i="16"/>
  <c r="B2156" i="16"/>
  <c r="U2099" i="16"/>
  <c r="S2099" i="16"/>
  <c r="T2099" i="16" s="1"/>
  <c r="M2100" i="16"/>
  <c r="D2100" i="16"/>
  <c r="J2100" i="16"/>
  <c r="N2100" i="16" s="1"/>
  <c r="P2100" i="16"/>
  <c r="Q2100" i="16"/>
  <c r="R2100" i="16"/>
  <c r="L2101" i="16"/>
  <c r="C2101" i="16"/>
  <c r="E2101" i="16"/>
  <c r="G2101" i="16"/>
  <c r="I2101" i="16"/>
  <c r="B2102" i="16"/>
  <c r="U2045" i="16"/>
  <c r="S2045" i="16"/>
  <c r="T2045" i="16" s="1"/>
  <c r="M2046" i="16"/>
  <c r="D2046" i="16"/>
  <c r="J2046" i="16"/>
  <c r="N2046" i="16" s="1"/>
  <c r="P2046" i="16"/>
  <c r="Q2046" i="16"/>
  <c r="R2046" i="16"/>
  <c r="L2047" i="16"/>
  <c r="C2047" i="16"/>
  <c r="E2047" i="16"/>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L1885" i="16"/>
  <c r="C1885" i="16"/>
  <c r="K1885" i="16" s="1"/>
  <c r="B1886" i="16"/>
  <c r="E1885" i="16"/>
  <c r="G1885" i="16"/>
  <c r="I1885" i="16"/>
  <c r="F1885" i="16"/>
  <c r="O1885" i="16" s="1"/>
  <c r="P1884" i="16"/>
  <c r="Q1884" i="16"/>
  <c r="R1884" i="16"/>
  <c r="D1884" i="16"/>
  <c r="J1884" i="16"/>
  <c r="M1830" i="16"/>
  <c r="D1830" i="16"/>
  <c r="J1830" i="16"/>
  <c r="N1830" i="16" s="1"/>
  <c r="P1830" i="16"/>
  <c r="Q1830" i="16"/>
  <c r="R1830" i="16"/>
  <c r="L1831" i="16"/>
  <c r="C1831" i="16"/>
  <c r="E1831" i="16"/>
  <c r="G1831" i="16"/>
  <c r="I1831" i="16"/>
  <c r="B1832" i="16"/>
  <c r="M1776" i="16"/>
  <c r="D1776" i="16"/>
  <c r="J1776" i="16"/>
  <c r="N1776" i="16" s="1"/>
  <c r="P1776" i="16"/>
  <c r="Q1776" i="16"/>
  <c r="R1776" i="16"/>
  <c r="L1777" i="16"/>
  <c r="C1777" i="16"/>
  <c r="E1777" i="16"/>
  <c r="G1777" i="16"/>
  <c r="I1777" i="16"/>
  <c r="B1778" i="16"/>
  <c r="M1722" i="16"/>
  <c r="D1722" i="16"/>
  <c r="J1722" i="16"/>
  <c r="N1722" i="16" s="1"/>
  <c r="P1722" i="16"/>
  <c r="Q1722" i="16"/>
  <c r="R1722" i="16"/>
  <c r="L1723" i="16"/>
  <c r="C1723" i="16"/>
  <c r="K1723" i="16" s="1"/>
  <c r="E1723" i="16"/>
  <c r="F1723" i="16"/>
  <c r="O1723" i="16" s="1"/>
  <c r="G1723" i="16"/>
  <c r="I1723" i="16"/>
  <c r="B1724" i="16"/>
  <c r="M1668" i="16"/>
  <c r="D1668" i="16"/>
  <c r="J1668" i="16"/>
  <c r="N1668" i="16" s="1"/>
  <c r="P1668" i="16"/>
  <c r="Q1668" i="16"/>
  <c r="R1668" i="16"/>
  <c r="L1669" i="16"/>
  <c r="C1669" i="16"/>
  <c r="K1669" i="16" s="1"/>
  <c r="E1669" i="16"/>
  <c r="F1669" i="16"/>
  <c r="O1669" i="16" s="1"/>
  <c r="G1669" i="16"/>
  <c r="I1669" i="16"/>
  <c r="B1670" i="16"/>
  <c r="M1614" i="16"/>
  <c r="D1614" i="16"/>
  <c r="J1614" i="16"/>
  <c r="N1614" i="16" s="1"/>
  <c r="P1614" i="16"/>
  <c r="Q1614" i="16"/>
  <c r="R1614" i="16"/>
  <c r="L1615" i="16"/>
  <c r="C1615" i="16"/>
  <c r="K1615" i="16" s="1"/>
  <c r="E1615" i="16"/>
  <c r="F1615" i="16"/>
  <c r="O1615" i="16" s="1"/>
  <c r="G1615" i="16"/>
  <c r="I1615" i="16"/>
  <c r="B1616" i="16"/>
  <c r="U1559" i="16"/>
  <c r="S1559" i="16"/>
  <c r="T1559" i="16" s="1"/>
  <c r="D1560" i="16"/>
  <c r="J1560" i="16"/>
  <c r="P1560" i="16"/>
  <c r="Q1560" i="16"/>
  <c r="R1560" i="16"/>
  <c r="L1561" i="16"/>
  <c r="C1561" i="16"/>
  <c r="E1561" i="16"/>
  <c r="G1561" i="16"/>
  <c r="I1561" i="16"/>
  <c r="B1562" i="16"/>
  <c r="M1506" i="16"/>
  <c r="L1507" i="16"/>
  <c r="C1507" i="16"/>
  <c r="K1507" i="16" s="1"/>
  <c r="G1507" i="16"/>
  <c r="F1507" i="16"/>
  <c r="O1507" i="16" s="1"/>
  <c r="E1507" i="16"/>
  <c r="I1507" i="16"/>
  <c r="B1508" i="16"/>
  <c r="P1506" i="16"/>
  <c r="Q1506" i="16"/>
  <c r="R1506" i="16"/>
  <c r="D1506" i="16"/>
  <c r="J1506" i="16"/>
  <c r="N1506" i="16" s="1"/>
  <c r="M1452" i="16"/>
  <c r="J1452" i="16"/>
  <c r="N1452" i="16" s="1"/>
  <c r="D1452" i="16"/>
  <c r="P1452" i="16"/>
  <c r="Q1452" i="16"/>
  <c r="R1452" i="16"/>
  <c r="L1453" i="16"/>
  <c r="G1453" i="16"/>
  <c r="E1453" i="16"/>
  <c r="B1454" i="16"/>
  <c r="C1453" i="16"/>
  <c r="K1453" i="16" s="1"/>
  <c r="F1453" i="16"/>
  <c r="O1453" i="16" s="1"/>
  <c r="I1453" i="16"/>
  <c r="M1398" i="16"/>
  <c r="D1398" i="16"/>
  <c r="J1398" i="16"/>
  <c r="N1398" i="16" s="1"/>
  <c r="P1398" i="16"/>
  <c r="Q1398" i="16"/>
  <c r="R1398" i="16"/>
  <c r="L1399" i="16"/>
  <c r="G1399" i="16"/>
  <c r="C1399" i="16"/>
  <c r="K1399" i="16" s="1"/>
  <c r="E1399" i="16"/>
  <c r="I1399" i="16"/>
  <c r="F1399" i="16"/>
  <c r="O1399" i="16" s="1"/>
  <c r="B1400" i="16"/>
  <c r="L1345" i="16"/>
  <c r="E1345" i="16"/>
  <c r="C1345" i="16"/>
  <c r="G1345" i="16"/>
  <c r="B1346" i="16"/>
  <c r="I1345" i="16"/>
  <c r="P1344" i="16"/>
  <c r="Q1344" i="16"/>
  <c r="R1344" i="16"/>
  <c r="J1344" i="16"/>
  <c r="D1344" i="16"/>
  <c r="L1291" i="16"/>
  <c r="G1291" i="16"/>
  <c r="I1291" i="16"/>
  <c r="C1291" i="16"/>
  <c r="B1292" i="16"/>
  <c r="E1291" i="16"/>
  <c r="J1290" i="16"/>
  <c r="D1290" i="16"/>
  <c r="P1290" i="16"/>
  <c r="Q1290" i="16"/>
  <c r="R1290" i="16"/>
  <c r="D1236" i="16"/>
  <c r="J1236" i="16"/>
  <c r="N1236" i="16" s="1"/>
  <c r="M1236" i="16"/>
  <c r="P1236" i="16"/>
  <c r="Q1236" i="16"/>
  <c r="R1236" i="16"/>
  <c r="B1238" i="16"/>
  <c r="C1237" i="16"/>
  <c r="F1237" i="16" s="1"/>
  <c r="O1237" i="16" s="1"/>
  <c r="I1237" i="16"/>
  <c r="K1237" i="16"/>
  <c r="L1237" i="16"/>
  <c r="G1237" i="16"/>
  <c r="E1237" i="16"/>
  <c r="U1235" i="16"/>
  <c r="S1235" i="16"/>
  <c r="T1235" i="16" s="1"/>
  <c r="U1181" i="16"/>
  <c r="S1181" i="16"/>
  <c r="T1181" i="16" s="1"/>
  <c r="M1182" i="16"/>
  <c r="D1182" i="16"/>
  <c r="J1182" i="16"/>
  <c r="N1182" i="16" s="1"/>
  <c r="P1182" i="16"/>
  <c r="Q1182" i="16"/>
  <c r="R1182" i="16"/>
  <c r="L1183" i="16"/>
  <c r="C1183" i="16"/>
  <c r="E1183" i="16"/>
  <c r="G1183" i="16"/>
  <c r="I1183" i="16"/>
  <c r="B1184" i="16"/>
  <c r="U1127" i="16"/>
  <c r="S1127" i="16"/>
  <c r="T1127" i="16" s="1"/>
  <c r="M1128" i="16"/>
  <c r="D1128" i="16"/>
  <c r="J1128" i="16"/>
  <c r="N1128" i="16" s="1"/>
  <c r="P1128" i="16"/>
  <c r="Q1128" i="16"/>
  <c r="R1128" i="16"/>
  <c r="L1129" i="16"/>
  <c r="C1129" i="16"/>
  <c r="K1129" i="16" s="1"/>
  <c r="E1129" i="16"/>
  <c r="F1129" i="16"/>
  <c r="O1129" i="16" s="1"/>
  <c r="G1129" i="16"/>
  <c r="I1129" i="16"/>
  <c r="B1130" i="16"/>
  <c r="M1074" i="16"/>
  <c r="D1074" i="16"/>
  <c r="J1074" i="16"/>
  <c r="N1074" i="16" s="1"/>
  <c r="P1074" i="16"/>
  <c r="Q1074" i="16"/>
  <c r="R1074" i="16"/>
  <c r="L1075" i="16"/>
  <c r="C1075" i="16"/>
  <c r="K1075" i="16" s="1"/>
  <c r="E1075" i="16"/>
  <c r="F1075" i="16"/>
  <c r="O1075" i="16" s="1"/>
  <c r="G1075" i="16"/>
  <c r="I1075" i="16"/>
  <c r="B1076" i="16"/>
  <c r="L1021" i="16"/>
  <c r="I1021" i="16"/>
  <c r="C1021" i="16"/>
  <c r="K1021" i="16" s="1"/>
  <c r="E1021" i="16"/>
  <c r="G1021" i="16"/>
  <c r="F1021" i="16"/>
  <c r="O1021" i="16" s="1"/>
  <c r="B1022" i="16"/>
  <c r="P1020" i="16"/>
  <c r="Q1020" i="16"/>
  <c r="R1020" i="16"/>
  <c r="J1020" i="16"/>
  <c r="D1020" i="16"/>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U803" i="16"/>
  <c r="S803" i="16"/>
  <c r="T803" i="16" s="1"/>
  <c r="M804" i="16"/>
  <c r="D804" i="16"/>
  <c r="J804" i="16"/>
  <c r="N804" i="16" s="1"/>
  <c r="P804" i="16"/>
  <c r="Q804" i="16"/>
  <c r="R804" i="16"/>
  <c r="L805" i="16"/>
  <c r="C805" i="16"/>
  <c r="K805" i="16" s="1"/>
  <c r="E805" i="16"/>
  <c r="F805" i="16"/>
  <c r="O805" i="16" s="1"/>
  <c r="G805" i="16"/>
  <c r="I805" i="16"/>
  <c r="B806" i="16"/>
  <c r="U749" i="16"/>
  <c r="S749" i="16"/>
  <c r="T749" i="16" s="1"/>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E697" i="16"/>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D534" i="16"/>
  <c r="J534" i="16"/>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E481" i="16"/>
  <c r="G481" i="16"/>
  <c r="I481" i="16"/>
  <c r="B482" i="16"/>
  <c r="U425" i="16"/>
  <c r="S425" i="16"/>
  <c r="T425" i="16" s="1"/>
  <c r="M426" i="16"/>
  <c r="D426" i="16"/>
  <c r="J426" i="16"/>
  <c r="N426" i="16" s="1"/>
  <c r="P426" i="16"/>
  <c r="Q426" i="16"/>
  <c r="R426" i="16"/>
  <c r="L427" i="16"/>
  <c r="C427" i="16"/>
  <c r="E427" i="16"/>
  <c r="G427" i="16"/>
  <c r="I427" i="16"/>
  <c r="B428" i="16"/>
  <c r="M372" i="16"/>
  <c r="D372" i="16"/>
  <c r="J372" i="16"/>
  <c r="N372" i="16" s="1"/>
  <c r="P372" i="16"/>
  <c r="Q372" i="16"/>
  <c r="R372" i="16"/>
  <c r="L373" i="16"/>
  <c r="C373" i="16"/>
  <c r="E373" i="16"/>
  <c r="G373" i="16"/>
  <c r="I373" i="16"/>
  <c r="B374" i="16"/>
  <c r="D318" i="16"/>
  <c r="J318" i="16"/>
  <c r="P318" i="16"/>
  <c r="Q318" i="16"/>
  <c r="R318" i="16"/>
  <c r="L319" i="16"/>
  <c r="C319" i="16"/>
  <c r="E319" i="16"/>
  <c r="G319" i="16"/>
  <c r="I319" i="16"/>
  <c r="B320" i="16"/>
  <c r="U263" i="16"/>
  <c r="S263" i="16"/>
  <c r="T263" i="16" s="1"/>
  <c r="D264" i="16"/>
  <c r="J264" i="16"/>
  <c r="P264" i="16"/>
  <c r="Q264" i="16"/>
  <c r="R264" i="16"/>
  <c r="L265" i="16"/>
  <c r="C265" i="16"/>
  <c r="K265" i="16" s="1"/>
  <c r="E265" i="16"/>
  <c r="F265" i="16"/>
  <c r="O265" i="16" s="1"/>
  <c r="G265" i="16"/>
  <c r="I265" i="16"/>
  <c r="B266" i="16"/>
  <c r="J210" i="16"/>
  <c r="D210" i="16"/>
  <c r="P210" i="16"/>
  <c r="Q210" i="16"/>
  <c r="R210" i="16"/>
  <c r="L211" i="16"/>
  <c r="C211" i="16"/>
  <c r="E211" i="16"/>
  <c r="G211" i="16"/>
  <c r="I211" i="16"/>
  <c r="B212" i="16"/>
  <c r="D156" i="16"/>
  <c r="J156" i="16"/>
  <c r="P156" i="16"/>
  <c r="Q156" i="16"/>
  <c r="R156" i="16"/>
  <c r="L157" i="16"/>
  <c r="E157" i="16"/>
  <c r="B158" i="16"/>
  <c r="C157" i="16"/>
  <c r="K157" i="16" s="1"/>
  <c r="F157" i="16"/>
  <c r="O157" i="16" s="1"/>
  <c r="G157" i="16"/>
  <c r="I157" i="16"/>
  <c r="U101" i="16"/>
  <c r="S101" i="16"/>
  <c r="T101" i="16" s="1"/>
  <c r="M102" i="16"/>
  <c r="D102" i="16"/>
  <c r="J102" i="16"/>
  <c r="N102" i="16" s="1"/>
  <c r="P102" i="16"/>
  <c r="Q102" i="16"/>
  <c r="R102" i="16"/>
  <c r="L103" i="16"/>
  <c r="G103" i="16"/>
  <c r="C103" i="16"/>
  <c r="E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K41" i="4" s="1"/>
  <c r="E41" i="4"/>
  <c r="F41" i="4"/>
  <c r="C41" i="5" s="1"/>
  <c r="E41" i="5" s="1"/>
  <c r="G41" i="4"/>
  <c r="AT41" i="4" s="1"/>
  <c r="I41" i="4"/>
  <c r="B42" i="4"/>
  <c r="B41" i="5"/>
  <c r="AU16" i="4"/>
  <c r="B88" i="7"/>
  <c r="I88"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S3232" i="16"/>
  <c r="T3232" i="16" s="1"/>
  <c r="U3232" i="16"/>
  <c r="U3178" i="16"/>
  <c r="S3178" i="16"/>
  <c r="T3178" i="16" s="1"/>
  <c r="U2692" i="16"/>
  <c r="S2692" i="16"/>
  <c r="T2692" i="16" s="1"/>
  <c r="U2638" i="16"/>
  <c r="S2638" i="16"/>
  <c r="T2638" i="16" s="1"/>
  <c r="U2368" i="16"/>
  <c r="S2368" i="16"/>
  <c r="T2368" i="16" s="1"/>
  <c r="U1882" i="16"/>
  <c r="S1882" i="16"/>
  <c r="T1882" i="16" s="1"/>
  <c r="S1666" i="16"/>
  <c r="T1666" i="16" s="1"/>
  <c r="U1666" i="16"/>
  <c r="U1612" i="16"/>
  <c r="S1612" i="16"/>
  <c r="T1612" i="16" s="1"/>
  <c r="U1504" i="16"/>
  <c r="S1504" i="16"/>
  <c r="T1504" i="16" s="1"/>
  <c r="U1396" i="16"/>
  <c r="S1396" i="16"/>
  <c r="T1396" i="16" s="1"/>
  <c r="U1342" i="16"/>
  <c r="S1342" i="16"/>
  <c r="T1342" i="16" s="1"/>
  <c r="U1288" i="16"/>
  <c r="S1288" i="16"/>
  <c r="T1288" i="16" s="1"/>
  <c r="U1234" i="16"/>
  <c r="S1234" i="16"/>
  <c r="T1234" i="16" s="1"/>
  <c r="U694" i="16"/>
  <c r="S694" i="16"/>
  <c r="T694" i="16" s="1"/>
  <c r="U640" i="16"/>
  <c r="S640" i="16"/>
  <c r="T640" i="16" s="1"/>
  <c r="U478" i="16"/>
  <c r="S478" i="16"/>
  <c r="T478" i="16" s="1"/>
  <c r="U424" i="16"/>
  <c r="S424" i="16"/>
  <c r="T424" i="16" s="1"/>
  <c r="U154" i="16"/>
  <c r="S154" i="16"/>
  <c r="T154" i="16" s="1"/>
  <c r="M4589" i="16"/>
  <c r="N4589" i="16"/>
  <c r="M3773" i="16"/>
  <c r="N3773" i="16"/>
  <c r="M3665" i="16"/>
  <c r="N3665" i="16"/>
  <c r="M3449" i="16"/>
  <c r="N3449" i="16"/>
  <c r="M3395" i="16"/>
  <c r="N3395" i="16"/>
  <c r="M3179" i="16"/>
  <c r="N3179" i="16"/>
  <c r="M2963" i="16"/>
  <c r="N2963" i="16"/>
  <c r="M2855" i="16"/>
  <c r="N2855" i="16"/>
  <c r="M2693" i="16"/>
  <c r="N2693" i="16"/>
  <c r="M2639" i="16"/>
  <c r="N2639" i="16"/>
  <c r="M2315" i="16"/>
  <c r="N2315" i="16"/>
  <c r="M1883" i="16"/>
  <c r="N1883" i="16"/>
  <c r="M1829" i="16"/>
  <c r="N1829" i="16"/>
  <c r="M1775" i="16"/>
  <c r="N1775" i="16"/>
  <c r="M1721" i="16"/>
  <c r="N1721" i="16"/>
  <c r="M1667" i="16"/>
  <c r="N1667" i="16"/>
  <c r="M1613" i="16"/>
  <c r="N1613" i="16"/>
  <c r="N1505" i="16"/>
  <c r="M1505" i="16"/>
  <c r="N1451" i="16"/>
  <c r="M1451" i="16"/>
  <c r="N1397" i="16"/>
  <c r="M1397" i="16"/>
  <c r="M1343" i="16"/>
  <c r="N1343" i="16"/>
  <c r="M1289" i="16"/>
  <c r="N1289" i="16"/>
  <c r="M1073" i="16"/>
  <c r="N1073" i="16"/>
  <c r="M1019" i="16"/>
  <c r="N1019" i="16"/>
  <c r="M533" i="16"/>
  <c r="N533" i="16"/>
  <c r="M371" i="16"/>
  <c r="N371" i="16"/>
  <c r="M317" i="16"/>
  <c r="N317" i="16"/>
  <c r="M209" i="16"/>
  <c r="N209" i="16"/>
  <c r="N155" i="16"/>
  <c r="M155" i="16"/>
  <c r="F4590" i="16"/>
  <c r="K4590" i="16"/>
  <c r="K4236" i="16"/>
  <c r="F4236" i="16"/>
  <c r="O4236" i="16" s="1"/>
  <c r="F4182" i="16"/>
  <c r="O4182" i="16" s="1"/>
  <c r="K4182" i="16"/>
  <c r="K3666" i="16"/>
  <c r="F3666" i="16"/>
  <c r="O3666" i="16" s="1"/>
  <c r="K3450" i="16"/>
  <c r="F3450" i="16"/>
  <c r="O3450" i="16" s="1"/>
  <c r="F3396" i="16"/>
  <c r="O3396" i="16" s="1"/>
  <c r="K3396" i="16"/>
  <c r="F3234" i="16"/>
  <c r="O3234" i="16" s="1"/>
  <c r="K3234" i="16"/>
  <c r="F3180" i="16"/>
  <c r="O3180" i="16" s="1"/>
  <c r="K3180" i="16"/>
  <c r="F3126" i="16"/>
  <c r="O3126" i="16" s="1"/>
  <c r="K3126" i="16"/>
  <c r="F3072" i="16"/>
  <c r="O3072" i="16" s="1"/>
  <c r="K3072" i="16"/>
  <c r="K2856" i="16"/>
  <c r="F2856" i="16"/>
  <c r="O2856" i="16" s="1"/>
  <c r="K2748" i="16"/>
  <c r="F2748" i="16"/>
  <c r="O2748" i="16" s="1"/>
  <c r="F2694" i="16"/>
  <c r="O2694" i="16" s="1"/>
  <c r="K2694" i="16"/>
  <c r="K2640" i="16"/>
  <c r="F2640" i="16"/>
  <c r="O2640" i="16" s="1"/>
  <c r="K2586" i="16"/>
  <c r="F2586" i="16"/>
  <c r="O2586" i="16" s="1"/>
  <c r="F2154" i="16"/>
  <c r="O2154" i="16" s="1"/>
  <c r="K2154" i="16"/>
  <c r="F1884" i="16"/>
  <c r="O1884" i="16" s="1"/>
  <c r="K1884" i="16"/>
  <c r="F1560" i="16"/>
  <c r="O1560" i="16" s="1"/>
  <c r="K1560" i="16"/>
  <c r="K1344" i="16"/>
  <c r="F1344" i="16"/>
  <c r="O1344" i="16" s="1"/>
  <c r="K1290" i="16"/>
  <c r="F1290" i="16"/>
  <c r="O1290" i="16" s="1"/>
  <c r="F1020" i="16"/>
  <c r="O1020" i="16" s="1"/>
  <c r="K1020" i="16"/>
  <c r="K534" i="16"/>
  <c r="F534" i="16"/>
  <c r="O534" i="16" s="1"/>
  <c r="K318" i="16"/>
  <c r="F318" i="16"/>
  <c r="O318" i="16" s="1"/>
  <c r="F264" i="16"/>
  <c r="O264" i="16" s="1"/>
  <c r="K264" i="16"/>
  <c r="F210" i="16"/>
  <c r="O210" i="16" s="1"/>
  <c r="K210" i="16"/>
  <c r="K156" i="16"/>
  <c r="F156" i="16"/>
  <c r="O156" i="16" s="1"/>
  <c r="K3019" i="16" l="1"/>
  <c r="F3019" i="16"/>
  <c r="O3019" i="16" s="1"/>
  <c r="K2371" i="16"/>
  <c r="F2371" i="16"/>
  <c r="O2371" i="16" s="1"/>
  <c r="K1561" i="16"/>
  <c r="F1561" i="16"/>
  <c r="O1561" i="16" s="1"/>
  <c r="K1345" i="16"/>
  <c r="F1345" i="16"/>
  <c r="O1345" i="16" s="1"/>
  <c r="K1291" i="16"/>
  <c r="F1291" i="16"/>
  <c r="O1291" i="16" s="1"/>
  <c r="K697" i="16"/>
  <c r="F697" i="16"/>
  <c r="O697" i="16" s="1"/>
  <c r="K427" i="16"/>
  <c r="F427" i="16"/>
  <c r="O427" i="16" s="1"/>
  <c r="K373" i="16"/>
  <c r="F373" i="16"/>
  <c r="O373" i="16" s="1"/>
  <c r="K319" i="16"/>
  <c r="F319" i="16"/>
  <c r="O319" i="16" s="1"/>
  <c r="S4698" i="16"/>
  <c r="U4698" i="16"/>
  <c r="M4699" i="16"/>
  <c r="D4699" i="16"/>
  <c r="J4699" i="16"/>
  <c r="N4699" i="16" s="1"/>
  <c r="P4699" i="16"/>
  <c r="Q4699" i="16"/>
  <c r="R4699" i="16"/>
  <c r="L4700" i="16"/>
  <c r="C4700" i="16"/>
  <c r="K4700" i="16" s="1"/>
  <c r="E4700" i="16"/>
  <c r="F4700" i="16"/>
  <c r="G4700" i="16"/>
  <c r="I4700" i="16"/>
  <c r="B4701" i="16"/>
  <c r="P4645" i="16"/>
  <c r="Q4645" i="16"/>
  <c r="R4645" i="16"/>
  <c r="C4646" i="16"/>
  <c r="E4646" i="16"/>
  <c r="G4646" i="16"/>
  <c r="B4647" i="16"/>
  <c r="D4591" i="16"/>
  <c r="J4591" i="16"/>
  <c r="P4591" i="16"/>
  <c r="Q4591" i="16"/>
  <c r="R4591" i="16"/>
  <c r="L4592" i="16"/>
  <c r="C4592" i="16"/>
  <c r="E4592" i="16"/>
  <c r="G4592" i="16"/>
  <c r="I4592" i="16"/>
  <c r="B4593" i="16"/>
  <c r="D4537" i="16"/>
  <c r="J4537" i="16"/>
  <c r="N4537" i="16" s="1"/>
  <c r="P4537" i="16"/>
  <c r="Q4537" i="16"/>
  <c r="R4537" i="16"/>
  <c r="M4537" i="16"/>
  <c r="C4538" i="16"/>
  <c r="E4538" i="16"/>
  <c r="G4538" i="16"/>
  <c r="I4538" i="16"/>
  <c r="L4538" i="16"/>
  <c r="B4539" i="16"/>
  <c r="D4237" i="16"/>
  <c r="J4237" i="16"/>
  <c r="P4237" i="16"/>
  <c r="Q4237" i="16"/>
  <c r="R4237" i="16"/>
  <c r="T4237" i="16"/>
  <c r="L4238" i="16"/>
  <c r="C4238" i="16"/>
  <c r="K4238" i="16" s="1"/>
  <c r="E4238" i="16"/>
  <c r="F4238" i="16"/>
  <c r="O4238" i="16" s="1"/>
  <c r="G4238" i="16"/>
  <c r="I4238" i="16"/>
  <c r="B4239" i="16"/>
  <c r="E4184" i="16"/>
  <c r="G4184" i="16"/>
  <c r="I4184" i="16"/>
  <c r="L4184" i="16"/>
  <c r="B4185" i="16"/>
  <c r="C4184" i="16"/>
  <c r="D4183" i="16"/>
  <c r="J4183" i="16"/>
  <c r="Q4183" i="16"/>
  <c r="P4183" i="16"/>
  <c r="R4183" i="16"/>
  <c r="T4183" i="16"/>
  <c r="U4128" i="16"/>
  <c r="S4128" i="16"/>
  <c r="T4128" i="16" s="1"/>
  <c r="P4129" i="16"/>
  <c r="Q4129" i="16"/>
  <c r="R4129" i="16"/>
  <c r="T4129" i="16"/>
  <c r="M4129" i="16"/>
  <c r="E4130" i="16"/>
  <c r="G4130" i="16"/>
  <c r="I4130" i="16"/>
  <c r="L4130" i="16"/>
  <c r="B4131" i="16"/>
  <c r="C4130" i="16"/>
  <c r="D4129" i="16"/>
  <c r="J4129" i="16"/>
  <c r="N4129" i="16" s="1"/>
  <c r="U4074" i="16"/>
  <c r="S4074" i="16"/>
  <c r="T4074" i="16" s="1"/>
  <c r="D4075" i="16"/>
  <c r="J4075" i="16"/>
  <c r="P4075" i="16"/>
  <c r="Q4075" i="16"/>
  <c r="R4075" i="16"/>
  <c r="T4075" i="16"/>
  <c r="L4076" i="16"/>
  <c r="C4076" i="16"/>
  <c r="K4076" i="16" s="1"/>
  <c r="E4076" i="16"/>
  <c r="F4076" i="16"/>
  <c r="O4076" i="16" s="1"/>
  <c r="G4076" i="16"/>
  <c r="I4076" i="16"/>
  <c r="B4077" i="16"/>
  <c r="U3774" i="16"/>
  <c r="S3774" i="16"/>
  <c r="T3774" i="16" s="1"/>
  <c r="D3775" i="16"/>
  <c r="J3775" i="16"/>
  <c r="P3775" i="16"/>
  <c r="Q3775" i="16"/>
  <c r="R3775" i="16"/>
  <c r="T3775" i="16"/>
  <c r="L3776" i="16"/>
  <c r="C3776" i="16"/>
  <c r="K3776" i="16" s="1"/>
  <c r="E3776" i="16"/>
  <c r="F3776" i="16"/>
  <c r="O3776" i="16" s="1"/>
  <c r="G3776" i="16"/>
  <c r="I3776" i="16"/>
  <c r="B3777" i="16"/>
  <c r="U3720" i="16"/>
  <c r="S3720" i="16"/>
  <c r="T3720" i="16" s="1"/>
  <c r="D3721" i="16"/>
  <c r="J3721" i="16"/>
  <c r="P3721" i="16"/>
  <c r="Q3721" i="16"/>
  <c r="R3721" i="16"/>
  <c r="T3721" i="16"/>
  <c r="L3722" i="16"/>
  <c r="C3722" i="16"/>
  <c r="K3722" i="16" s="1"/>
  <c r="E3722" i="16"/>
  <c r="F3722" i="16"/>
  <c r="O3722" i="16" s="1"/>
  <c r="G3722" i="16"/>
  <c r="I3722" i="16"/>
  <c r="B3723" i="16"/>
  <c r="P3667" i="16"/>
  <c r="Q3667" i="16"/>
  <c r="R3667" i="16"/>
  <c r="T3667" i="16"/>
  <c r="L3668" i="16"/>
  <c r="G3668" i="16"/>
  <c r="C3668" i="16"/>
  <c r="E3668" i="16"/>
  <c r="I3668" i="16"/>
  <c r="B3669" i="16"/>
  <c r="J3667" i="16"/>
  <c r="D3667" i="16"/>
  <c r="U3612" i="16"/>
  <c r="S3612" i="16"/>
  <c r="T3612" i="16" s="1"/>
  <c r="M3613" i="16"/>
  <c r="D3613" i="16"/>
  <c r="J3613" i="16"/>
  <c r="N3613" i="16" s="1"/>
  <c r="P3613" i="16"/>
  <c r="Q3613" i="16"/>
  <c r="R3613" i="16"/>
  <c r="T3613" i="16"/>
  <c r="L3614" i="16"/>
  <c r="C3614" i="16"/>
  <c r="E3614" i="16"/>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D3505" i="16"/>
  <c r="J3505" i="16"/>
  <c r="P3505" i="16"/>
  <c r="Q3505" i="16"/>
  <c r="R3505" i="16"/>
  <c r="T3505" i="16"/>
  <c r="L3506" i="16"/>
  <c r="C3506" i="16"/>
  <c r="K3506" i="16" s="1"/>
  <c r="E3506" i="16"/>
  <c r="F3506" i="16"/>
  <c r="O3506" i="16" s="1"/>
  <c r="G3506" i="16"/>
  <c r="B3507" i="16"/>
  <c r="I3506" i="16"/>
  <c r="M3451" i="16"/>
  <c r="D3451" i="16"/>
  <c r="J3451" i="16"/>
  <c r="N3451" i="16" s="1"/>
  <c r="P3451" i="16"/>
  <c r="Q3451" i="16"/>
  <c r="R3451" i="16"/>
  <c r="T3451" i="16"/>
  <c r="L3452" i="16"/>
  <c r="C3452" i="16"/>
  <c r="K3452" i="16" s="1"/>
  <c r="E3452" i="16"/>
  <c r="F3452" i="16"/>
  <c r="O3452" i="16" s="1"/>
  <c r="G3452" i="16"/>
  <c r="I3452" i="16"/>
  <c r="B3453" i="16"/>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E3344" i="16"/>
  <c r="G3344" i="16"/>
  <c r="I3344" i="16"/>
  <c r="B3345" i="16"/>
  <c r="U3288" i="16"/>
  <c r="S3288" i="16"/>
  <c r="T3288" i="16" s="1"/>
  <c r="M3289" i="16"/>
  <c r="D3289" i="16"/>
  <c r="J3289" i="16"/>
  <c r="N3289" i="16" s="1"/>
  <c r="P3289" i="16"/>
  <c r="Q3289" i="16"/>
  <c r="R3289" i="16"/>
  <c r="T3289" i="16"/>
  <c r="L3290" i="16"/>
  <c r="C3290" i="16"/>
  <c r="K3290" i="16" s="1"/>
  <c r="E3290" i="16"/>
  <c r="F3290" i="16"/>
  <c r="O3290" i="16" s="1"/>
  <c r="G3290" i="16"/>
  <c r="I3290" i="16"/>
  <c r="B3291" i="16"/>
  <c r="M3235" i="16"/>
  <c r="D3235" i="16"/>
  <c r="J3235" i="16"/>
  <c r="N3235" i="16" s="1"/>
  <c r="P3235" i="16"/>
  <c r="Q3235" i="16"/>
  <c r="R3235" i="16"/>
  <c r="T3235" i="16"/>
  <c r="L3236" i="16"/>
  <c r="C3236" i="16"/>
  <c r="K3236" i="16" s="1"/>
  <c r="E3236" i="16"/>
  <c r="F3236" i="16"/>
  <c r="O3236" i="16" s="1"/>
  <c r="G3236" i="16"/>
  <c r="I3236" i="16"/>
  <c r="B3237" i="16"/>
  <c r="M3181" i="16"/>
  <c r="D3181" i="16"/>
  <c r="J3181" i="16"/>
  <c r="N3181" i="16" s="1"/>
  <c r="P3181" i="16"/>
  <c r="Q3181" i="16"/>
  <c r="R3181" i="16"/>
  <c r="T3181" i="16"/>
  <c r="L3182" i="16"/>
  <c r="C3182" i="16"/>
  <c r="E3182" i="16"/>
  <c r="G3182" i="16"/>
  <c r="I3182" i="16"/>
  <c r="B3183" i="16"/>
  <c r="M3127" i="16"/>
  <c r="D3127" i="16"/>
  <c r="J3127" i="16"/>
  <c r="N3127" i="16" s="1"/>
  <c r="P3127" i="16"/>
  <c r="Q3127" i="16"/>
  <c r="R3127" i="16"/>
  <c r="T3127" i="16"/>
  <c r="L3128" i="16"/>
  <c r="C3128" i="16"/>
  <c r="K3128" i="16" s="1"/>
  <c r="E3128" i="16"/>
  <c r="F3128" i="16"/>
  <c r="O3128" i="16" s="1"/>
  <c r="G3128" i="16"/>
  <c r="I3128" i="16"/>
  <c r="B3129" i="16"/>
  <c r="M3073" i="16"/>
  <c r="L3074" i="16"/>
  <c r="E3074" i="16"/>
  <c r="G3074" i="16"/>
  <c r="I3074" i="16"/>
  <c r="B3075" i="16"/>
  <c r="C3074" i="16"/>
  <c r="K3074" i="16" s="1"/>
  <c r="F3074" i="16"/>
  <c r="O3074" i="16" s="1"/>
  <c r="D3073" i="16"/>
  <c r="J3073" i="16"/>
  <c r="N3073" i="16" s="1"/>
  <c r="P3073" i="16"/>
  <c r="Q3073" i="16"/>
  <c r="R3073" i="16"/>
  <c r="T3073" i="16"/>
  <c r="U3018" i="16"/>
  <c r="S3018" i="16"/>
  <c r="T3018" i="16" s="1"/>
  <c r="M3019" i="16"/>
  <c r="P3019" i="16"/>
  <c r="Q3019" i="16"/>
  <c r="R3019" i="16"/>
  <c r="T3019" i="16"/>
  <c r="J3019" i="16"/>
  <c r="N3019" i="16" s="1"/>
  <c r="D3019" i="16"/>
  <c r="L3020" i="16"/>
  <c r="E3020" i="16"/>
  <c r="G3020" i="16"/>
  <c r="C3020" i="16"/>
  <c r="K3020" i="16" s="1"/>
  <c r="B3021" i="16"/>
  <c r="F3020" i="16"/>
  <c r="O3020" i="16" s="1"/>
  <c r="I3020" i="16"/>
  <c r="U2964" i="16"/>
  <c r="S2964" i="16"/>
  <c r="T2964" i="16" s="1"/>
  <c r="M2965" i="16"/>
  <c r="D2965" i="16"/>
  <c r="J2965" i="16"/>
  <c r="N2965" i="16" s="1"/>
  <c r="P2965" i="16"/>
  <c r="Q2965" i="16"/>
  <c r="R2965" i="16"/>
  <c r="T2965" i="16"/>
  <c r="L2966" i="16"/>
  <c r="C2966" i="16"/>
  <c r="K2966" i="16" s="1"/>
  <c r="E2966" i="16"/>
  <c r="F2966" i="16"/>
  <c r="O2966" i="16" s="1"/>
  <c r="G2966" i="16"/>
  <c r="I2966" i="16"/>
  <c r="B2967" i="16"/>
  <c r="U2910" i="16"/>
  <c r="S2910" i="16"/>
  <c r="T2910" i="16" s="1"/>
  <c r="M2911" i="16"/>
  <c r="D2911" i="16"/>
  <c r="J2911" i="16"/>
  <c r="N2911" i="16" s="1"/>
  <c r="P2911" i="16"/>
  <c r="Q2911" i="16"/>
  <c r="R2911" i="16"/>
  <c r="T2911" i="16"/>
  <c r="L2912" i="16"/>
  <c r="C2912" i="16"/>
  <c r="K2912" i="16" s="1"/>
  <c r="E2912" i="16"/>
  <c r="F2912" i="16"/>
  <c r="O2912" i="16" s="1"/>
  <c r="G2912" i="16"/>
  <c r="I2912" i="16"/>
  <c r="B2913" i="16"/>
  <c r="L2858" i="16"/>
  <c r="E2858" i="16"/>
  <c r="B2859" i="16"/>
  <c r="I2858" i="16"/>
  <c r="C2858" i="16"/>
  <c r="G2858" i="16"/>
  <c r="J2857" i="16"/>
  <c r="D2857" i="16"/>
  <c r="P2857" i="16"/>
  <c r="Q2857" i="16"/>
  <c r="R2857" i="16"/>
  <c r="T2857" i="16"/>
  <c r="D2803" i="16"/>
  <c r="J2803" i="16"/>
  <c r="L2804" i="16"/>
  <c r="G2804" i="16"/>
  <c r="C2804" i="16"/>
  <c r="E2804" i="16"/>
  <c r="I2804" i="16"/>
  <c r="B2805" i="16"/>
  <c r="P2803" i="16"/>
  <c r="Q2803" i="16"/>
  <c r="R2803" i="16"/>
  <c r="T2803" i="16"/>
  <c r="U2803" i="16" s="1"/>
  <c r="M2749" i="16"/>
  <c r="D2749" i="16"/>
  <c r="J2749" i="16"/>
  <c r="N2749" i="16" s="1"/>
  <c r="P2749" i="16"/>
  <c r="Q2749" i="16"/>
  <c r="R2749" i="16"/>
  <c r="T2749" i="16"/>
  <c r="L2750" i="16"/>
  <c r="C2750" i="16"/>
  <c r="E2750" i="16"/>
  <c r="G2750" i="16"/>
  <c r="I2750" i="16"/>
  <c r="B2751" i="16"/>
  <c r="P2695" i="16"/>
  <c r="Q2695" i="16"/>
  <c r="R2695" i="16"/>
  <c r="T2695" i="16"/>
  <c r="D2695" i="16"/>
  <c r="J2695" i="16"/>
  <c r="L2696" i="16"/>
  <c r="G2696" i="16"/>
  <c r="B2697" i="16"/>
  <c r="I2696" i="16"/>
  <c r="C2696" i="16"/>
  <c r="K2696" i="16" s="1"/>
  <c r="E2696" i="16"/>
  <c r="F2696" i="16"/>
  <c r="O2696" i="16" s="1"/>
  <c r="L2642" i="16"/>
  <c r="C2642" i="16"/>
  <c r="B2643" i="16"/>
  <c r="E2642" i="16"/>
  <c r="G2642" i="16"/>
  <c r="I2642" i="16"/>
  <c r="P2641" i="16"/>
  <c r="Q2641" i="16"/>
  <c r="R2641" i="16"/>
  <c r="T2641" i="16"/>
  <c r="D2641" i="16"/>
  <c r="J2641" i="16"/>
  <c r="M2587" i="16"/>
  <c r="J2587" i="16"/>
  <c r="N2587" i="16" s="1"/>
  <c r="D2587" i="16"/>
  <c r="P2587" i="16"/>
  <c r="Q2587" i="16"/>
  <c r="R2587" i="16"/>
  <c r="T2587" i="16"/>
  <c r="L2588" i="16"/>
  <c r="B2589" i="16"/>
  <c r="E2588" i="16"/>
  <c r="I2588" i="16"/>
  <c r="G2588" i="16"/>
  <c r="C2588"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C2426" i="16"/>
  <c r="K2426" i="16" s="1"/>
  <c r="E2426" i="16"/>
  <c r="F2426" i="16"/>
  <c r="O2426" i="16" s="1"/>
  <c r="G2426" i="16"/>
  <c r="I2426" i="16"/>
  <c r="B2427" i="16"/>
  <c r="U2370" i="16"/>
  <c r="S2370" i="16"/>
  <c r="T2370" i="16" s="1"/>
  <c r="M2371" i="16"/>
  <c r="D2371" i="16"/>
  <c r="J2371" i="16"/>
  <c r="N2371" i="16" s="1"/>
  <c r="P2371" i="16"/>
  <c r="Q2371" i="16"/>
  <c r="R2371" i="16"/>
  <c r="T2371" i="16"/>
  <c r="L2372" i="16"/>
  <c r="C2372" i="16"/>
  <c r="K2372" i="16" s="1"/>
  <c r="E2372" i="16"/>
  <c r="F2372" i="16"/>
  <c r="O2372" i="16" s="1"/>
  <c r="G2372" i="16"/>
  <c r="I2372" i="16"/>
  <c r="B2373" i="16"/>
  <c r="U2316" i="16"/>
  <c r="S2316" i="16"/>
  <c r="T2316" i="16" s="1"/>
  <c r="D2317" i="16"/>
  <c r="J2317" i="16"/>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E2264" i="16"/>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M2155" i="16"/>
  <c r="D2155" i="16"/>
  <c r="J2155" i="16"/>
  <c r="N2155" i="16" s="1"/>
  <c r="P2155" i="16"/>
  <c r="Q2155" i="16"/>
  <c r="R2155" i="16"/>
  <c r="T2155" i="16"/>
  <c r="L2156" i="16"/>
  <c r="C2156" i="16"/>
  <c r="E2156" i="16"/>
  <c r="G2156" i="16"/>
  <c r="I2156" i="16"/>
  <c r="B2157" i="16"/>
  <c r="U2100" i="16"/>
  <c r="S2100" i="16"/>
  <c r="T2100" i="16" s="1"/>
  <c r="D2101" i="16"/>
  <c r="J2101" i="16"/>
  <c r="P2101" i="16"/>
  <c r="Q2101" i="16"/>
  <c r="R2101" i="16"/>
  <c r="T2101" i="16"/>
  <c r="L2102" i="16"/>
  <c r="G2102" i="16"/>
  <c r="B2103" i="16"/>
  <c r="C2102" i="16"/>
  <c r="E2102" i="16"/>
  <c r="I2102" i="16"/>
  <c r="U2046" i="16"/>
  <c r="S2046" i="16"/>
  <c r="T2046" i="16" s="1"/>
  <c r="D2047" i="16"/>
  <c r="J2047" i="16"/>
  <c r="P2047" i="16"/>
  <c r="Q2047" i="16"/>
  <c r="R2047" i="16"/>
  <c r="T2047" i="16"/>
  <c r="L2048" i="16"/>
  <c r="C2048" i="16"/>
  <c r="K2048" i="16" s="1"/>
  <c r="E2048" i="16"/>
  <c r="F2048" i="16"/>
  <c r="O2048" i="16" s="1"/>
  <c r="G2048" i="16"/>
  <c r="I2048" i="16"/>
  <c r="B2049" i="16"/>
  <c r="U1992" i="16"/>
  <c r="S1992" i="16"/>
  <c r="T1992" i="16" s="1"/>
  <c r="M1993" i="16"/>
  <c r="D1993" i="16"/>
  <c r="J1993" i="16"/>
  <c r="N1993" i="16" s="1"/>
  <c r="P1993" i="16"/>
  <c r="Q1993" i="16"/>
  <c r="R1993" i="16"/>
  <c r="T1993" i="16"/>
  <c r="L1994" i="16"/>
  <c r="C1994" i="16"/>
  <c r="E1994" i="16"/>
  <c r="G1994" i="16"/>
  <c r="I1994" i="16"/>
  <c r="B1995" i="16"/>
  <c r="U1938" i="16"/>
  <c r="S1938" i="16"/>
  <c r="T1938" i="16" s="1"/>
  <c r="M1939" i="16"/>
  <c r="D1939" i="16"/>
  <c r="J1939" i="16"/>
  <c r="N1939" i="16" s="1"/>
  <c r="P1939" i="16"/>
  <c r="Q1939" i="16"/>
  <c r="R1939" i="16"/>
  <c r="T1939" i="16"/>
  <c r="L1940" i="16"/>
  <c r="C1940" i="16"/>
  <c r="E1940" i="16"/>
  <c r="G1940" i="16"/>
  <c r="I1940" i="16"/>
  <c r="B1941" i="16"/>
  <c r="M1885" i="16"/>
  <c r="J1885" i="16"/>
  <c r="N1885" i="16" s="1"/>
  <c r="D1885" i="16"/>
  <c r="L1886" i="16"/>
  <c r="C1886" i="16"/>
  <c r="E1886" i="16"/>
  <c r="G1886" i="16"/>
  <c r="I1886" i="16"/>
  <c r="B1887" i="16"/>
  <c r="P1885" i="16"/>
  <c r="Q1885" i="16"/>
  <c r="R1885" i="16"/>
  <c r="T1885" i="16"/>
  <c r="U1830" i="16"/>
  <c r="S1830" i="16"/>
  <c r="T1830" i="16" s="1"/>
  <c r="D1831" i="16"/>
  <c r="J1831" i="16"/>
  <c r="P1831" i="16"/>
  <c r="Q1831" i="16"/>
  <c r="R1831" i="16"/>
  <c r="T1831" i="16"/>
  <c r="L1832" i="16"/>
  <c r="C1832" i="16"/>
  <c r="K1832" i="16" s="1"/>
  <c r="E1832" i="16"/>
  <c r="F1832" i="16"/>
  <c r="O1832" i="16" s="1"/>
  <c r="G1832" i="16"/>
  <c r="I1832" i="16"/>
  <c r="B1833" i="16"/>
  <c r="U1776" i="16"/>
  <c r="S1776" i="16"/>
  <c r="T1776" i="16" s="1"/>
  <c r="D1777" i="16"/>
  <c r="J1777" i="16"/>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E1724" i="16"/>
  <c r="G1724" i="16"/>
  <c r="I1724" i="16"/>
  <c r="B1725" i="16"/>
  <c r="S1668" i="16"/>
  <c r="T1668" i="16" s="1"/>
  <c r="U1668" i="16"/>
  <c r="M1669" i="16"/>
  <c r="D1669" i="16"/>
  <c r="J1669" i="16"/>
  <c r="N1669" i="16" s="1"/>
  <c r="P1669" i="16"/>
  <c r="Q1669" i="16"/>
  <c r="R1669" i="16"/>
  <c r="T1669" i="16"/>
  <c r="L1670" i="16"/>
  <c r="C1670" i="16"/>
  <c r="K1670" i="16" s="1"/>
  <c r="E1670" i="16"/>
  <c r="F1670" i="16"/>
  <c r="O1670" i="16" s="1"/>
  <c r="G1670" i="16"/>
  <c r="I1670" i="16"/>
  <c r="B1671"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M1561" i="16"/>
  <c r="D1561" i="16"/>
  <c r="J1561" i="16"/>
  <c r="N1561" i="16" s="1"/>
  <c r="P1561" i="16"/>
  <c r="Q1561" i="16"/>
  <c r="R1561" i="16"/>
  <c r="T1561" i="16"/>
  <c r="L1562" i="16"/>
  <c r="C1562" i="16"/>
  <c r="K1562" i="16" s="1"/>
  <c r="E1562" i="16"/>
  <c r="F1562" i="16"/>
  <c r="O1562" i="16" s="1"/>
  <c r="G1562" i="16"/>
  <c r="I1562" i="16"/>
  <c r="B1563" i="16"/>
  <c r="U1506" i="16"/>
  <c r="S1506" i="16"/>
  <c r="T1506" i="16" s="1"/>
  <c r="M1507" i="16"/>
  <c r="D1507" i="16"/>
  <c r="J1507" i="16"/>
  <c r="N1507" i="16" s="1"/>
  <c r="P1507" i="16"/>
  <c r="Q1507" i="16"/>
  <c r="R1507" i="16"/>
  <c r="T1507" i="16"/>
  <c r="L1508" i="16"/>
  <c r="C1508" i="16"/>
  <c r="E1508" i="16"/>
  <c r="G1508" i="16"/>
  <c r="I1508" i="16"/>
  <c r="B1509" i="16"/>
  <c r="U1452" i="16"/>
  <c r="S1452" i="16"/>
  <c r="T1452" i="16" s="1"/>
  <c r="M1453" i="16"/>
  <c r="P1453" i="16"/>
  <c r="Q1453" i="16"/>
  <c r="R1453" i="16"/>
  <c r="T1453" i="16"/>
  <c r="L1454" i="16"/>
  <c r="I1454" i="16"/>
  <c r="C1454" i="16"/>
  <c r="G1454" i="16"/>
  <c r="E1454" i="16"/>
  <c r="B1455" i="16"/>
  <c r="J1453" i="16"/>
  <c r="N1453" i="16" s="1"/>
  <c r="D1453" i="16"/>
  <c r="U1398" i="16"/>
  <c r="S1398" i="16"/>
  <c r="T1398" i="16" s="1"/>
  <c r="M1399" i="16"/>
  <c r="P1399" i="16"/>
  <c r="R1399" i="16"/>
  <c r="Q1399" i="16"/>
  <c r="T1399" i="16"/>
  <c r="J1399" i="16"/>
  <c r="N1399" i="16" s="1"/>
  <c r="D1399" i="16"/>
  <c r="L1400" i="16"/>
  <c r="B1401" i="16"/>
  <c r="G1400" i="16"/>
  <c r="I1400" i="16"/>
  <c r="E1400" i="16"/>
  <c r="C1400" i="16"/>
  <c r="M1345" i="16"/>
  <c r="J1345" i="16"/>
  <c r="N1345" i="16" s="1"/>
  <c r="D1345" i="16"/>
  <c r="P1345" i="16"/>
  <c r="Q1345" i="16"/>
  <c r="R1345" i="16"/>
  <c r="T1345" i="16"/>
  <c r="L1346" i="16"/>
  <c r="E1346" i="16"/>
  <c r="G1346" i="16"/>
  <c r="B1347" i="16"/>
  <c r="C1346" i="16"/>
  <c r="K1346" i="16" s="1"/>
  <c r="F1346" i="16"/>
  <c r="O1346" i="16" s="1"/>
  <c r="I1346" i="16"/>
  <c r="M1291" i="16"/>
  <c r="P1291" i="16"/>
  <c r="Q1291" i="16"/>
  <c r="R1291" i="16"/>
  <c r="T1291" i="16"/>
  <c r="D1291" i="16"/>
  <c r="J1291" i="16"/>
  <c r="N1291" i="16" s="1"/>
  <c r="L1292" i="16"/>
  <c r="G1292" i="16"/>
  <c r="B1293" i="16"/>
  <c r="E1292" i="16"/>
  <c r="I1292" i="16"/>
  <c r="C1292" i="16"/>
  <c r="U1236" i="16"/>
  <c r="S1236" i="16"/>
  <c r="T1236" i="16" s="1"/>
  <c r="I1238" i="16"/>
  <c r="C1238" i="16"/>
  <c r="L1238" i="16"/>
  <c r="B1239" i="16"/>
  <c r="G1238" i="16"/>
  <c r="F1238" i="16"/>
  <c r="O1238" i="16" s="1"/>
  <c r="K1238" i="16"/>
  <c r="E1238" i="16"/>
  <c r="D1237" i="16"/>
  <c r="J1237" i="16"/>
  <c r="N1237" i="16"/>
  <c r="M1237" i="16"/>
  <c r="Q1237" i="16"/>
  <c r="P1237" i="16"/>
  <c r="R1237" i="16"/>
  <c r="T1237" i="16"/>
  <c r="U1182" i="16"/>
  <c r="S1182" i="16"/>
  <c r="T1182" i="16" s="1"/>
  <c r="D1183" i="16"/>
  <c r="J1183" i="16"/>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E1130" i="16"/>
  <c r="G1130" i="16"/>
  <c r="I1130" i="16"/>
  <c r="B1131" i="16"/>
  <c r="U1074" i="16"/>
  <c r="S1074" i="16"/>
  <c r="T1074" i="16" s="1"/>
  <c r="M1075" i="16"/>
  <c r="D1075" i="16"/>
  <c r="J1075" i="16"/>
  <c r="N1075" i="16" s="1"/>
  <c r="P1075" i="16"/>
  <c r="Q1075" i="16"/>
  <c r="R1075" i="16"/>
  <c r="T1075" i="16"/>
  <c r="L1076" i="16"/>
  <c r="C1076" i="16"/>
  <c r="K1076" i="16" s="1"/>
  <c r="E1076" i="16"/>
  <c r="F1076" i="16"/>
  <c r="O1076" i="16" s="1"/>
  <c r="G1076" i="16"/>
  <c r="I1076" i="16"/>
  <c r="B1077" i="16"/>
  <c r="M1021" i="16"/>
  <c r="D1021" i="16"/>
  <c r="J1021" i="16"/>
  <c r="N1021" i="16" s="1"/>
  <c r="P1021" i="16"/>
  <c r="Q1021" i="16"/>
  <c r="R1021" i="16"/>
  <c r="T1021" i="16"/>
  <c r="L1022" i="16"/>
  <c r="B1023" i="16"/>
  <c r="I1022" i="16"/>
  <c r="E1022" i="16"/>
  <c r="G1022" i="16"/>
  <c r="C1022" i="16"/>
  <c r="U966" i="16"/>
  <c r="S966" i="16"/>
  <c r="T966" i="16" s="1"/>
  <c r="D967" i="16"/>
  <c r="J967" i="16"/>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E914" i="16"/>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U804" i="16"/>
  <c r="S804" i="16"/>
  <c r="T804" i="16" s="1"/>
  <c r="M805" i="16"/>
  <c r="D805" i="16"/>
  <c r="J805" i="16"/>
  <c r="N805" i="16" s="1"/>
  <c r="P805" i="16"/>
  <c r="Q805" i="16"/>
  <c r="R805" i="16"/>
  <c r="T805" i="16"/>
  <c r="L806" i="16"/>
  <c r="C806" i="16"/>
  <c r="K806" i="16" s="1"/>
  <c r="E806" i="16"/>
  <c r="F806" i="16"/>
  <c r="O806" i="16" s="1"/>
  <c r="G806" i="16"/>
  <c r="I806" i="16"/>
  <c r="B807" i="16"/>
  <c r="U750" i="16"/>
  <c r="S750" i="16"/>
  <c r="T750" i="16" s="1"/>
  <c r="D751" i="16"/>
  <c r="J751" i="16"/>
  <c r="P751" i="16"/>
  <c r="Q751" i="16"/>
  <c r="R751" i="16"/>
  <c r="T751" i="16"/>
  <c r="L752" i="16"/>
  <c r="C752" i="16"/>
  <c r="K752" i="16" s="1"/>
  <c r="E752" i="16"/>
  <c r="F752" i="16"/>
  <c r="O752" i="16" s="1"/>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E644" i="16"/>
  <c r="G644" i="16"/>
  <c r="I644" i="16"/>
  <c r="B645" i="16"/>
  <c r="U588" i="16"/>
  <c r="S588" i="16"/>
  <c r="T588" i="16" s="1"/>
  <c r="M589" i="16"/>
  <c r="D589" i="16"/>
  <c r="J589" i="16"/>
  <c r="N589" i="16" s="1"/>
  <c r="P589" i="16"/>
  <c r="Q589" i="16"/>
  <c r="R589" i="16"/>
  <c r="T589" i="16"/>
  <c r="L590" i="16"/>
  <c r="C590" i="16"/>
  <c r="K590" i="16" s="1"/>
  <c r="E590" i="16"/>
  <c r="F590" i="16"/>
  <c r="O590" i="16" s="1"/>
  <c r="G590" i="16"/>
  <c r="I590" i="16"/>
  <c r="B591" i="16"/>
  <c r="M535" i="16"/>
  <c r="D535" i="16"/>
  <c r="J535" i="16"/>
  <c r="N535" i="16" s="1"/>
  <c r="P535" i="16"/>
  <c r="Q535" i="16"/>
  <c r="R535" i="16"/>
  <c r="T535" i="16"/>
  <c r="L536" i="16"/>
  <c r="C536" i="16"/>
  <c r="K536" i="16" s="1"/>
  <c r="E536" i="16"/>
  <c r="F536" i="16"/>
  <c r="O536" i="16" s="1"/>
  <c r="G536" i="16"/>
  <c r="I536" i="16"/>
  <c r="B537" i="16"/>
  <c r="U480" i="16"/>
  <c r="S480" i="16"/>
  <c r="T480" i="16" s="1"/>
  <c r="D481" i="16"/>
  <c r="J481" i="16"/>
  <c r="P481" i="16"/>
  <c r="Q481" i="16"/>
  <c r="R481" i="16"/>
  <c r="T481" i="16"/>
  <c r="L482" i="16"/>
  <c r="C482" i="16"/>
  <c r="E482" i="16"/>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M319" i="16"/>
  <c r="D319" i="16"/>
  <c r="J319" i="16"/>
  <c r="N319" i="16" s="1"/>
  <c r="P319" i="16"/>
  <c r="Q319" i="16"/>
  <c r="R319" i="16"/>
  <c r="T319" i="16"/>
  <c r="L320" i="16"/>
  <c r="C320" i="16"/>
  <c r="E320" i="16"/>
  <c r="G320" i="16"/>
  <c r="I320" i="16"/>
  <c r="B321" i="16"/>
  <c r="M265" i="16"/>
  <c r="D265" i="16"/>
  <c r="J265" i="16"/>
  <c r="N265" i="16" s="1"/>
  <c r="P265" i="16"/>
  <c r="Q265" i="16"/>
  <c r="R265" i="16"/>
  <c r="T265" i="16"/>
  <c r="L266" i="16"/>
  <c r="C266" i="16"/>
  <c r="K266" i="16" s="1"/>
  <c r="E266" i="16"/>
  <c r="F266" i="16"/>
  <c r="O266" i="16" s="1"/>
  <c r="G266" i="16"/>
  <c r="I266" i="16"/>
  <c r="B267" i="16"/>
  <c r="D211" i="16"/>
  <c r="J211" i="16"/>
  <c r="P211" i="16"/>
  <c r="Q211" i="16"/>
  <c r="R211" i="16"/>
  <c r="T211" i="16"/>
  <c r="L212" i="16"/>
  <c r="C212" i="16"/>
  <c r="K212" i="16" s="1"/>
  <c r="E212" i="16"/>
  <c r="F212" i="16"/>
  <c r="O212" i="16" s="1"/>
  <c r="G212" i="16"/>
  <c r="I212" i="16"/>
  <c r="B213" i="16"/>
  <c r="M157" i="16"/>
  <c r="L158" i="16"/>
  <c r="G158" i="16"/>
  <c r="C158" i="16"/>
  <c r="E158" i="16"/>
  <c r="I158" i="16"/>
  <c r="B159" i="16"/>
  <c r="D157" i="16"/>
  <c r="J157" i="16"/>
  <c r="N157" i="16" s="1"/>
  <c r="P157" i="16"/>
  <c r="Q157" i="16"/>
  <c r="R157" i="16"/>
  <c r="T157" i="16"/>
  <c r="S102" i="16"/>
  <c r="T102" i="16" s="1"/>
  <c r="U102" i="16"/>
  <c r="P103" i="16"/>
  <c r="Q103" i="16"/>
  <c r="R103" i="16"/>
  <c r="T103" i="16"/>
  <c r="J103" i="16"/>
  <c r="D103" i="16"/>
  <c r="L104" i="16"/>
  <c r="G104" i="16"/>
  <c r="B105" i="16"/>
  <c r="C104" i="16"/>
  <c r="E104" i="16"/>
  <c r="I104" i="16"/>
  <c r="C74" i="7"/>
  <c r="G74" i="7" s="1"/>
  <c r="U40" i="4"/>
  <c r="S40" i="4"/>
  <c r="T40" i="4" s="1"/>
  <c r="F40" i="5"/>
  <c r="G40" i="5"/>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V16" i="4"/>
  <c r="B89" i="7"/>
  <c r="I89"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3773" i="16"/>
  <c r="S3773" i="16"/>
  <c r="T3773" i="16" s="1"/>
  <c r="U3665" i="16"/>
  <c r="S3665" i="16"/>
  <c r="T3665" i="16" s="1"/>
  <c r="S3449" i="16"/>
  <c r="T3449" i="16" s="1"/>
  <c r="U3449" i="16"/>
  <c r="U3395" i="16"/>
  <c r="S3395" i="16"/>
  <c r="T3395" i="16" s="1"/>
  <c r="U3179" i="16"/>
  <c r="S3179" i="16"/>
  <c r="T3179" i="16" s="1"/>
  <c r="U2963" i="16"/>
  <c r="S2963" i="16"/>
  <c r="T2963" i="16" s="1"/>
  <c r="U2855" i="16"/>
  <c r="S2855" i="16"/>
  <c r="T2855" i="16" s="1"/>
  <c r="U2693" i="16"/>
  <c r="S2693" i="16"/>
  <c r="T2693" i="16" s="1"/>
  <c r="U2639" i="16"/>
  <c r="S2639" i="16"/>
  <c r="T2639" i="16" s="1"/>
  <c r="U2315" i="16"/>
  <c r="S2315" i="16"/>
  <c r="T2315" i="16" s="1"/>
  <c r="U1883" i="16"/>
  <c r="S1883" i="16"/>
  <c r="T1883" i="16" s="1"/>
  <c r="U1829" i="16"/>
  <c r="S1829" i="16"/>
  <c r="T1829" i="16" s="1"/>
  <c r="U1775" i="16"/>
  <c r="S1775" i="16"/>
  <c r="T1775" i="16" s="1"/>
  <c r="U1721" i="16"/>
  <c r="S1721" i="16"/>
  <c r="T1721" i="16" s="1"/>
  <c r="S1667" i="16"/>
  <c r="T1667" i="16" s="1"/>
  <c r="U1667" i="16"/>
  <c r="U1613" i="16"/>
  <c r="S1613" i="16"/>
  <c r="T1613" i="16" s="1"/>
  <c r="U1505" i="16"/>
  <c r="S1505" i="16"/>
  <c r="T1505" i="16" s="1"/>
  <c r="S1451" i="16"/>
  <c r="T1451" i="16" s="1"/>
  <c r="U1451" i="16"/>
  <c r="U1397" i="16"/>
  <c r="S1397" i="16"/>
  <c r="T1397" i="16" s="1"/>
  <c r="U1343" i="16"/>
  <c r="S1343" i="16"/>
  <c r="T1343" i="16" s="1"/>
  <c r="U1289" i="16"/>
  <c r="S1289" i="16"/>
  <c r="T1289" i="16" s="1"/>
  <c r="U1073" i="16"/>
  <c r="S1073" i="16"/>
  <c r="T1073" i="16" s="1"/>
  <c r="U1019" i="16"/>
  <c r="S1019" i="16"/>
  <c r="T1019" i="16" s="1"/>
  <c r="U533" i="16"/>
  <c r="S533" i="16"/>
  <c r="T533" i="16" s="1"/>
  <c r="U371" i="16"/>
  <c r="S371" i="16"/>
  <c r="T371" i="16" s="1"/>
  <c r="U317" i="16"/>
  <c r="S317" i="16"/>
  <c r="T317" i="16" s="1"/>
  <c r="U209" i="16"/>
  <c r="S209" i="16"/>
  <c r="T209" i="16" s="1"/>
  <c r="U155" i="16"/>
  <c r="S155" i="16"/>
  <c r="T155" i="16" s="1"/>
  <c r="M4590" i="16"/>
  <c r="N4590" i="16"/>
  <c r="M4236" i="16"/>
  <c r="N4236" i="16"/>
  <c r="M4182" i="16"/>
  <c r="N4182" i="16"/>
  <c r="M3666" i="16"/>
  <c r="N3666" i="16"/>
  <c r="M3450" i="16"/>
  <c r="N3450" i="16"/>
  <c r="M3396" i="16"/>
  <c r="N3396" i="16"/>
  <c r="M3234" i="16"/>
  <c r="N3234" i="16"/>
  <c r="M3180" i="16"/>
  <c r="N3180" i="16"/>
  <c r="M3126" i="16"/>
  <c r="N3126" i="16"/>
  <c r="M3072" i="16"/>
  <c r="N3072" i="16"/>
  <c r="M2856" i="16"/>
  <c r="N2856" i="16"/>
  <c r="M2748" i="16"/>
  <c r="N2748" i="16"/>
  <c r="M2694" i="16"/>
  <c r="N2694" i="16"/>
  <c r="N2640" i="16"/>
  <c r="M2640" i="16"/>
  <c r="M2586" i="16"/>
  <c r="N2586" i="16"/>
  <c r="M2154" i="16"/>
  <c r="N2154" i="16"/>
  <c r="N1884" i="16"/>
  <c r="M1884" i="16"/>
  <c r="M1560" i="16"/>
  <c r="N1560" i="16"/>
  <c r="M1344" i="16"/>
  <c r="N1344" i="16"/>
  <c r="M1290" i="16"/>
  <c r="N1290" i="16"/>
  <c r="M1020" i="16"/>
  <c r="N1020" i="16"/>
  <c r="M534" i="16"/>
  <c r="N534" i="16"/>
  <c r="M318" i="16"/>
  <c r="N318" i="16"/>
  <c r="M264" i="16"/>
  <c r="N264" i="16"/>
  <c r="M210" i="16"/>
  <c r="N210" i="16"/>
  <c r="M156" i="16"/>
  <c r="N156" i="16"/>
  <c r="K4591" i="16"/>
  <c r="F4591" i="16"/>
  <c r="F4237" i="16"/>
  <c r="O4237" i="16" s="1"/>
  <c r="K4237" i="16"/>
  <c r="K4183" i="16"/>
  <c r="F4183" i="16"/>
  <c r="O4183" i="16" s="1"/>
  <c r="K4075" i="16"/>
  <c r="F4075" i="16"/>
  <c r="O4075" i="16" s="1"/>
  <c r="K3775" i="16"/>
  <c r="F3775" i="16"/>
  <c r="O3775" i="16" s="1"/>
  <c r="K3721" i="16"/>
  <c r="F3721" i="16"/>
  <c r="O3721" i="16" s="1"/>
  <c r="F3667" i="16"/>
  <c r="O3667" i="16" s="1"/>
  <c r="K3667" i="16"/>
  <c r="F3505" i="16"/>
  <c r="O3505" i="16" s="1"/>
  <c r="K3505" i="16"/>
  <c r="F2857" i="16"/>
  <c r="O2857" i="16" s="1"/>
  <c r="K2857" i="16"/>
  <c r="F2803" i="16"/>
  <c r="O2803" i="16" s="1"/>
  <c r="K2803" i="16"/>
  <c r="K2695" i="16"/>
  <c r="F2695" i="16"/>
  <c r="O2695" i="16" s="1"/>
  <c r="F2641" i="16"/>
  <c r="O2641" i="16" s="1"/>
  <c r="K2641" i="16"/>
  <c r="K2317" i="16"/>
  <c r="F2317" i="16"/>
  <c r="O2317" i="16" s="1"/>
  <c r="F2101" i="16"/>
  <c r="O2101" i="16" s="1"/>
  <c r="K2101" i="16"/>
  <c r="K2047" i="16"/>
  <c r="F2047" i="16"/>
  <c r="O2047" i="16" s="1"/>
  <c r="F1831" i="16"/>
  <c r="O1831" i="16" s="1"/>
  <c r="K1831" i="16"/>
  <c r="F1777" i="16"/>
  <c r="O1777" i="16" s="1"/>
  <c r="K1777" i="16"/>
  <c r="F1183" i="16"/>
  <c r="O1183" i="16" s="1"/>
  <c r="K1183" i="16"/>
  <c r="K967" i="16"/>
  <c r="F967" i="16"/>
  <c r="O967" i="16" s="1"/>
  <c r="F751" i="16"/>
  <c r="O751" i="16" s="1"/>
  <c r="K751" i="16"/>
  <c r="K481" i="16"/>
  <c r="F481" i="16"/>
  <c r="O481" i="16" s="1"/>
  <c r="K211" i="16"/>
  <c r="F211" i="16"/>
  <c r="O211" i="16" s="1"/>
  <c r="F103" i="16"/>
  <c r="O103" i="16" s="1"/>
  <c r="K103" i="16"/>
  <c r="D4646" i="16" l="1"/>
  <c r="F4646" i="16"/>
  <c r="O4646" i="16" s="1"/>
  <c r="K3182" i="16"/>
  <c r="F3182" i="16"/>
  <c r="O3182" i="16" s="1"/>
  <c r="K2750" i="16"/>
  <c r="F2750" i="16"/>
  <c r="O2750" i="16" s="1"/>
  <c r="K2156" i="16"/>
  <c r="F2156" i="16"/>
  <c r="O2156" i="16" s="1"/>
  <c r="K1886" i="16"/>
  <c r="F1886" i="16"/>
  <c r="O1886" i="16" s="1"/>
  <c r="K1292" i="16"/>
  <c r="F1292" i="16"/>
  <c r="O1292" i="16" s="1"/>
  <c r="K1130" i="16"/>
  <c r="F1130" i="16"/>
  <c r="O1130" i="16" s="1"/>
  <c r="K482" i="16"/>
  <c r="F482" i="16"/>
  <c r="O482" i="16" s="1"/>
  <c r="K320" i="16"/>
  <c r="F320" i="16"/>
  <c r="O320" i="16" s="1"/>
  <c r="T4698" i="16"/>
  <c r="D29" i="11" s="1"/>
  <c r="S4699" i="16"/>
  <c r="T4699" i="16" s="1"/>
  <c r="D30" i="11" s="1"/>
  <c r="U4699" i="16"/>
  <c r="M4700" i="16"/>
  <c r="D4700" i="16"/>
  <c r="J4700" i="16"/>
  <c r="N4700" i="16" s="1"/>
  <c r="P4700" i="16"/>
  <c r="Q4700" i="16"/>
  <c r="R4700" i="16"/>
  <c r="L4701" i="16"/>
  <c r="C4701" i="16"/>
  <c r="K4701" i="16" s="1"/>
  <c r="E4701" i="16"/>
  <c r="F4701" i="16"/>
  <c r="G4701" i="16"/>
  <c r="I4701" i="16"/>
  <c r="B4702" i="16"/>
  <c r="P4646" i="16"/>
  <c r="Q4646" i="16"/>
  <c r="R4646" i="16"/>
  <c r="C4647" i="16"/>
  <c r="E4647" i="16"/>
  <c r="G4647" i="16"/>
  <c r="B4648" i="16"/>
  <c r="D4592" i="16"/>
  <c r="J4592" i="16"/>
  <c r="P4592" i="16"/>
  <c r="Q4592" i="16"/>
  <c r="R4592" i="16"/>
  <c r="L4593" i="16"/>
  <c r="C4593" i="16"/>
  <c r="E4593" i="16"/>
  <c r="G4593" i="16"/>
  <c r="I4593" i="16"/>
  <c r="B4594" i="16"/>
  <c r="D4538" i="16"/>
  <c r="J4538" i="16"/>
  <c r="P4538" i="16"/>
  <c r="Q4538" i="16"/>
  <c r="R4538" i="16"/>
  <c r="C4539" i="16"/>
  <c r="F4539" i="16" s="1"/>
  <c r="E4539" i="16"/>
  <c r="G4539" i="16"/>
  <c r="L4539" i="16"/>
  <c r="B4540" i="16"/>
  <c r="I4539" i="16"/>
  <c r="K4539" i="16"/>
  <c r="M4238" i="16"/>
  <c r="D4238" i="16"/>
  <c r="J4238" i="16"/>
  <c r="N4238" i="16" s="1"/>
  <c r="P4238" i="16"/>
  <c r="Q4238" i="16"/>
  <c r="R4238" i="16"/>
  <c r="T4238" i="16"/>
  <c r="L4239" i="16"/>
  <c r="C4239" i="16"/>
  <c r="K4239" i="16" s="1"/>
  <c r="E4239" i="16"/>
  <c r="F4239" i="16"/>
  <c r="O4239" i="16" s="1"/>
  <c r="G4239" i="16"/>
  <c r="I4239" i="16"/>
  <c r="B4240" i="16"/>
  <c r="P4184" i="16"/>
  <c r="R4184" i="16"/>
  <c r="Q4184" i="16"/>
  <c r="T4184" i="16"/>
  <c r="G4185" i="16"/>
  <c r="I4185" i="16"/>
  <c r="B4186" i="16"/>
  <c r="C4185" i="16"/>
  <c r="E4185" i="16"/>
  <c r="L4185" i="16"/>
  <c r="D4184" i="16"/>
  <c r="J4184" i="16"/>
  <c r="U4129" i="16"/>
  <c r="S4129" i="16"/>
  <c r="Q4130" i="16"/>
  <c r="P4130" i="16"/>
  <c r="R4130" i="16"/>
  <c r="T4130" i="16"/>
  <c r="G4131" i="16"/>
  <c r="I4131" i="16"/>
  <c r="B4132" i="16"/>
  <c r="C4131" i="16"/>
  <c r="E4131" i="16"/>
  <c r="L4131" i="16"/>
  <c r="D4130" i="16"/>
  <c r="J4130" i="16"/>
  <c r="M4076" i="16"/>
  <c r="D4076" i="16"/>
  <c r="J4076" i="16"/>
  <c r="N4076" i="16" s="1"/>
  <c r="P4076" i="16"/>
  <c r="Q4076" i="16"/>
  <c r="R4076" i="16"/>
  <c r="T4076" i="16"/>
  <c r="L4077" i="16"/>
  <c r="C4077" i="16"/>
  <c r="K4077" i="16" s="1"/>
  <c r="E4077" i="16"/>
  <c r="F4077" i="16"/>
  <c r="O4077" i="16" s="1"/>
  <c r="G4077" i="16"/>
  <c r="I4077" i="16"/>
  <c r="B4078" i="16"/>
  <c r="M3776" i="16"/>
  <c r="D3776" i="16"/>
  <c r="J3776" i="16"/>
  <c r="N3776" i="16" s="1"/>
  <c r="P3776" i="16"/>
  <c r="Q3776" i="16"/>
  <c r="R3776" i="16"/>
  <c r="T3776" i="16"/>
  <c r="L3777" i="16"/>
  <c r="C3777" i="16"/>
  <c r="E3777" i="16"/>
  <c r="G3777" i="16"/>
  <c r="I3777" i="16"/>
  <c r="B3778" i="16"/>
  <c r="M3722" i="16"/>
  <c r="D3722" i="16"/>
  <c r="J3722" i="16"/>
  <c r="N3722" i="16" s="1"/>
  <c r="P3722" i="16"/>
  <c r="Q3722" i="16"/>
  <c r="R3722" i="16"/>
  <c r="T3722" i="16"/>
  <c r="L3723" i="16"/>
  <c r="C3723" i="16"/>
  <c r="K3723" i="16" s="1"/>
  <c r="E3723" i="16"/>
  <c r="F3723" i="16"/>
  <c r="O3723" i="16" s="1"/>
  <c r="G3723" i="16"/>
  <c r="I3723" i="16"/>
  <c r="B3724" i="16"/>
  <c r="P3668" i="16"/>
  <c r="Q3668" i="16"/>
  <c r="R3668" i="16"/>
  <c r="T3668" i="16"/>
  <c r="D3668" i="16"/>
  <c r="J3668" i="16"/>
  <c r="L3669" i="16"/>
  <c r="I3669" i="16"/>
  <c r="B3670" i="16"/>
  <c r="C3669" i="16"/>
  <c r="E3669" i="16"/>
  <c r="G3669" i="16"/>
  <c r="U3613" i="16"/>
  <c r="S3613" i="16"/>
  <c r="D3614" i="16"/>
  <c r="J3614" i="16"/>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M3506" i="16"/>
  <c r="D3506" i="16"/>
  <c r="J3506" i="16"/>
  <c r="N3506" i="16" s="1"/>
  <c r="P3506" i="16"/>
  <c r="Q3506" i="16"/>
  <c r="R3506" i="16"/>
  <c r="T3506" i="16"/>
  <c r="L3507" i="16"/>
  <c r="B3508" i="16"/>
  <c r="C3507" i="16"/>
  <c r="K3507" i="16" s="1"/>
  <c r="E3507" i="16"/>
  <c r="F3507" i="16"/>
  <c r="O3507" i="16" s="1"/>
  <c r="G3507" i="16"/>
  <c r="I3507" i="16"/>
  <c r="S3451" i="16"/>
  <c r="U3451" i="16"/>
  <c r="M3452" i="16"/>
  <c r="D3452" i="16"/>
  <c r="J3452" i="16"/>
  <c r="N3452" i="16" s="1"/>
  <c r="P3452" i="16"/>
  <c r="Q3452" i="16"/>
  <c r="R3452" i="16"/>
  <c r="T3452" i="16"/>
  <c r="L3453" i="16"/>
  <c r="C3453" i="16"/>
  <c r="K3453" i="16" s="1"/>
  <c r="E3453" i="16"/>
  <c r="F3453" i="16"/>
  <c r="O3453" i="16" s="1"/>
  <c r="G3453" i="16"/>
  <c r="B3454" i="16"/>
  <c r="I3453" i="16"/>
  <c r="U3397" i="16"/>
  <c r="S3397" i="16"/>
  <c r="D3398" i="16"/>
  <c r="M3398" i="16" s="1"/>
  <c r="N3398" i="16" s="1"/>
  <c r="J3398" i="16"/>
  <c r="P3398" i="16"/>
  <c r="Q3398" i="16"/>
  <c r="R3398" i="16"/>
  <c r="T3398" i="16"/>
  <c r="L3399" i="16"/>
  <c r="C3399" i="16"/>
  <c r="K3399" i="16" s="1"/>
  <c r="E3399" i="16"/>
  <c r="F3399" i="16"/>
  <c r="O3399" i="16" s="1"/>
  <c r="G3399" i="16"/>
  <c r="I3399" i="16"/>
  <c r="B3400" i="16"/>
  <c r="U3343" i="16"/>
  <c r="S3343" i="16"/>
  <c r="D3344" i="16"/>
  <c r="J3344" i="16"/>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E3291" i="16"/>
  <c r="G3291" i="16"/>
  <c r="I3291" i="16"/>
  <c r="B3292" i="16"/>
  <c r="S3235" i="16"/>
  <c r="U3235" i="16"/>
  <c r="M3236" i="16"/>
  <c r="D3236" i="16"/>
  <c r="J3236" i="16"/>
  <c r="N3236" i="16" s="1"/>
  <c r="P3236" i="16"/>
  <c r="Q3236" i="16"/>
  <c r="R3236" i="16"/>
  <c r="T3236" i="16"/>
  <c r="L3237" i="16"/>
  <c r="C3237" i="16"/>
  <c r="K3237" i="16" s="1"/>
  <c r="E3237" i="16"/>
  <c r="F3237" i="16"/>
  <c r="O3237" i="16" s="1"/>
  <c r="G3237" i="16"/>
  <c r="I3237" i="16"/>
  <c r="B3238" i="16"/>
  <c r="U3181" i="16"/>
  <c r="S3181" i="16"/>
  <c r="M3182" i="16"/>
  <c r="D3182" i="16"/>
  <c r="J3182" i="16"/>
  <c r="N3182" i="16" s="1"/>
  <c r="P3182" i="16"/>
  <c r="Q3182" i="16"/>
  <c r="R3182" i="16"/>
  <c r="T3182" i="16"/>
  <c r="L3183" i="16"/>
  <c r="C3183" i="16"/>
  <c r="E3183" i="16"/>
  <c r="G3183" i="16"/>
  <c r="I3183" i="16"/>
  <c r="B3184" i="16"/>
  <c r="U3127" i="16"/>
  <c r="S3127" i="16"/>
  <c r="M3128" i="16"/>
  <c r="D3128" i="16"/>
  <c r="J3128" i="16"/>
  <c r="N3128" i="16" s="1"/>
  <c r="P3128" i="16"/>
  <c r="Q3128" i="16"/>
  <c r="R3128" i="16"/>
  <c r="T3128" i="16"/>
  <c r="L3129" i="16"/>
  <c r="C3129" i="16"/>
  <c r="E3129" i="16"/>
  <c r="G3129" i="16"/>
  <c r="I3129" i="16"/>
  <c r="B3130" i="16"/>
  <c r="U3073" i="16"/>
  <c r="S3073" i="16"/>
  <c r="M3074" i="16"/>
  <c r="P3074" i="16"/>
  <c r="Q3074" i="16"/>
  <c r="R3074" i="16"/>
  <c r="T3074" i="16"/>
  <c r="L3075" i="16"/>
  <c r="I3075" i="16"/>
  <c r="B3076" i="16"/>
  <c r="E3075" i="16"/>
  <c r="G3075" i="16"/>
  <c r="C3075" i="16"/>
  <c r="D3074" i="16"/>
  <c r="J3074" i="16"/>
  <c r="N3074" i="16" s="1"/>
  <c r="U3019" i="16"/>
  <c r="S3019" i="16"/>
  <c r="M3020" i="16"/>
  <c r="P3020" i="16"/>
  <c r="Q3020" i="16"/>
  <c r="R3020" i="16"/>
  <c r="T3020" i="16"/>
  <c r="D3020" i="16"/>
  <c r="J3020" i="16"/>
  <c r="N3020" i="16" s="1"/>
  <c r="L3021" i="16"/>
  <c r="G3021" i="16"/>
  <c r="B3022" i="16"/>
  <c r="I3021" i="16"/>
  <c r="C3021" i="16"/>
  <c r="E3021" i="16"/>
  <c r="U2965" i="16"/>
  <c r="S2965" i="16"/>
  <c r="M2966" i="16"/>
  <c r="D2966" i="16"/>
  <c r="J2966" i="16"/>
  <c r="N2966" i="16" s="1"/>
  <c r="P2966" i="16"/>
  <c r="Q2966" i="16"/>
  <c r="R2966" i="16"/>
  <c r="T2966" i="16"/>
  <c r="L2967" i="16"/>
  <c r="C2967" i="16"/>
  <c r="K2967" i="16" s="1"/>
  <c r="E2967" i="16"/>
  <c r="F2967" i="16"/>
  <c r="O2967" i="16" s="1"/>
  <c r="G2967" i="16"/>
  <c r="I2967" i="16"/>
  <c r="B2968" i="16"/>
  <c r="U2911" i="16"/>
  <c r="S2911" i="16"/>
  <c r="M2912" i="16"/>
  <c r="D2912" i="16"/>
  <c r="J2912" i="16"/>
  <c r="N2912" i="16" s="1"/>
  <c r="P2912" i="16"/>
  <c r="Q2912" i="16"/>
  <c r="R2912" i="16"/>
  <c r="T2912" i="16"/>
  <c r="L2913" i="16"/>
  <c r="C2913" i="16"/>
  <c r="K2913" i="16" s="1"/>
  <c r="E2913" i="16"/>
  <c r="F2913" i="16"/>
  <c r="O2913" i="16" s="1"/>
  <c r="G2913" i="16"/>
  <c r="I2913" i="16"/>
  <c r="B2914" i="16"/>
  <c r="L2859" i="16"/>
  <c r="G2859" i="16"/>
  <c r="B2860" i="16"/>
  <c r="I2859" i="16"/>
  <c r="C2859" i="16"/>
  <c r="E2859" i="16"/>
  <c r="D2858" i="16"/>
  <c r="J2858" i="16"/>
  <c r="P2858" i="16"/>
  <c r="Q2858" i="16"/>
  <c r="R2858" i="16"/>
  <c r="T2858" i="16"/>
  <c r="P2804" i="16"/>
  <c r="Q2804" i="16"/>
  <c r="R2804" i="16"/>
  <c r="T2804" i="16"/>
  <c r="U2804" i="16" s="1"/>
  <c r="D2804" i="16"/>
  <c r="J2804" i="16"/>
  <c r="L2805" i="16"/>
  <c r="E2805" i="16"/>
  <c r="C2805" i="16"/>
  <c r="K2805" i="16" s="1"/>
  <c r="G2805" i="16"/>
  <c r="B2806" i="16"/>
  <c r="I2805" i="16"/>
  <c r="F2805" i="16"/>
  <c r="O2805" i="16" s="1"/>
  <c r="U2749" i="16"/>
  <c r="S2749" i="16"/>
  <c r="M2750" i="16"/>
  <c r="D2750" i="16"/>
  <c r="J2750" i="16"/>
  <c r="N2750" i="16" s="1"/>
  <c r="P2750" i="16"/>
  <c r="Q2750" i="16"/>
  <c r="R2750" i="16"/>
  <c r="T2750" i="16"/>
  <c r="L2751" i="16"/>
  <c r="C2751" i="16"/>
  <c r="K2751" i="16" s="1"/>
  <c r="E2751" i="16"/>
  <c r="F2751" i="16"/>
  <c r="O2751" i="16" s="1"/>
  <c r="G2751" i="16"/>
  <c r="I2751" i="16"/>
  <c r="B2752" i="16"/>
  <c r="M2696" i="16"/>
  <c r="P2696" i="16"/>
  <c r="Q2696" i="16"/>
  <c r="R2696" i="16"/>
  <c r="T2696" i="16"/>
  <c r="L2697" i="16"/>
  <c r="B2698" i="16"/>
  <c r="I2697" i="16"/>
  <c r="C2697" i="16"/>
  <c r="G2697" i="16"/>
  <c r="E2697" i="16"/>
  <c r="D2696" i="16"/>
  <c r="J2696" i="16"/>
  <c r="N2696" i="16" s="1"/>
  <c r="D2642" i="16"/>
  <c r="J2642" i="16"/>
  <c r="L2643" i="16"/>
  <c r="C2643" i="16"/>
  <c r="G2643" i="16"/>
  <c r="E2643" i="16"/>
  <c r="B2644" i="16"/>
  <c r="I2643" i="16"/>
  <c r="P2642" i="16"/>
  <c r="Q2642" i="16"/>
  <c r="R2642" i="16"/>
  <c r="T2642" i="16"/>
  <c r="U2587" i="16"/>
  <c r="S2587" i="16"/>
  <c r="L2589" i="16"/>
  <c r="C2589" i="16"/>
  <c r="G2589" i="16"/>
  <c r="E2589" i="16"/>
  <c r="B2590" i="16"/>
  <c r="I2589" i="16"/>
  <c r="P2588" i="16"/>
  <c r="Q2588" i="16"/>
  <c r="R2588" i="16"/>
  <c r="T2588" i="16"/>
  <c r="J2588" i="16"/>
  <c r="D2588"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U2371" i="16"/>
  <c r="S2371" i="16"/>
  <c r="M2372" i="16"/>
  <c r="D2372" i="16"/>
  <c r="J2372" i="16"/>
  <c r="N2372" i="16" s="1"/>
  <c r="P2372" i="16"/>
  <c r="Q2372" i="16"/>
  <c r="R2372" i="16"/>
  <c r="T2372" i="16"/>
  <c r="L2373" i="16"/>
  <c r="C2373" i="16"/>
  <c r="E2373" i="16"/>
  <c r="G2373" i="16"/>
  <c r="I2373" i="16"/>
  <c r="B2374" i="16"/>
  <c r="D2318" i="16"/>
  <c r="M2318" i="16" s="1"/>
  <c r="N2318" i="16" s="1"/>
  <c r="J2318" i="16"/>
  <c r="P2318" i="16"/>
  <c r="Q2318" i="16"/>
  <c r="R2318" i="16"/>
  <c r="T2318" i="16"/>
  <c r="L2319" i="16"/>
  <c r="C2319" i="16"/>
  <c r="K2319" i="16" s="1"/>
  <c r="E2319" i="16"/>
  <c r="F2319" i="16"/>
  <c r="O2319" i="16" s="1"/>
  <c r="G2319" i="16"/>
  <c r="I2319" i="16"/>
  <c r="B2320" i="16"/>
  <c r="U2263" i="16"/>
  <c r="S2263" i="16"/>
  <c r="D2264" i="16"/>
  <c r="J2264" i="16"/>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P2102" i="16"/>
  <c r="Q2102" i="16"/>
  <c r="R2102" i="16"/>
  <c r="T2102" i="16"/>
  <c r="L2103" i="16"/>
  <c r="I2103" i="16"/>
  <c r="B2104" i="16"/>
  <c r="E2103" i="16"/>
  <c r="G2103" i="16"/>
  <c r="C2103" i="16"/>
  <c r="J2102" i="16"/>
  <c r="D2102" i="16"/>
  <c r="M2048" i="16"/>
  <c r="D2048" i="16"/>
  <c r="J2048" i="16"/>
  <c r="N2048" i="16" s="1"/>
  <c r="P2048" i="16"/>
  <c r="Q2048" i="16"/>
  <c r="R2048" i="16"/>
  <c r="T2048" i="16"/>
  <c r="L2049" i="16"/>
  <c r="C2049" i="16"/>
  <c r="K2049" i="16" s="1"/>
  <c r="E2049" i="16"/>
  <c r="F2049" i="16"/>
  <c r="O2049" i="16" s="1"/>
  <c r="G2049" i="16"/>
  <c r="I2049" i="16"/>
  <c r="B2050" i="16"/>
  <c r="U1993" i="16"/>
  <c r="S1993" i="16"/>
  <c r="D1994" i="16"/>
  <c r="J1994" i="16"/>
  <c r="P1994" i="16"/>
  <c r="Q1994" i="16"/>
  <c r="R1994" i="16"/>
  <c r="T1994" i="16"/>
  <c r="L1995" i="16"/>
  <c r="C1995" i="16"/>
  <c r="K1995" i="16" s="1"/>
  <c r="E1995" i="16"/>
  <c r="F1995" i="16"/>
  <c r="O1995" i="16" s="1"/>
  <c r="G1995" i="16"/>
  <c r="I1995" i="16"/>
  <c r="B1996" i="16"/>
  <c r="U1939" i="16"/>
  <c r="S1939" i="16"/>
  <c r="D1940" i="16"/>
  <c r="J1940" i="16"/>
  <c r="P1940" i="16"/>
  <c r="Q1940" i="16"/>
  <c r="R1940" i="16"/>
  <c r="T1940" i="16"/>
  <c r="L1941" i="16"/>
  <c r="C1941" i="16"/>
  <c r="K1941" i="16" s="1"/>
  <c r="E1941" i="16"/>
  <c r="F1941" i="16"/>
  <c r="O1941" i="16" s="1"/>
  <c r="G1941" i="16"/>
  <c r="I1941" i="16"/>
  <c r="B1942" i="16"/>
  <c r="S1885" i="16"/>
  <c r="U1885" i="16"/>
  <c r="M1886" i="16"/>
  <c r="D1886" i="16"/>
  <c r="J1886" i="16"/>
  <c r="N1886" i="16" s="1"/>
  <c r="P1886" i="16"/>
  <c r="Q1886" i="16"/>
  <c r="R1886" i="16"/>
  <c r="T1886" i="16"/>
  <c r="L1887" i="16"/>
  <c r="C1887" i="16"/>
  <c r="K1887" i="16" s="1"/>
  <c r="B1888" i="16"/>
  <c r="I1887" i="16"/>
  <c r="G1887" i="16"/>
  <c r="E1887" i="16"/>
  <c r="F1887" i="16"/>
  <c r="O1887" i="16" s="1"/>
  <c r="M1832" i="16"/>
  <c r="D1832" i="16"/>
  <c r="J1832" i="16"/>
  <c r="N1832" i="16" s="1"/>
  <c r="P1832" i="16"/>
  <c r="Q1832" i="16"/>
  <c r="R1832" i="16"/>
  <c r="T1832" i="16"/>
  <c r="L1833" i="16"/>
  <c r="C1833" i="16"/>
  <c r="K1833" i="16" s="1"/>
  <c r="E1833" i="16"/>
  <c r="F1833" i="16"/>
  <c r="O1833" i="16" s="1"/>
  <c r="G1833" i="16"/>
  <c r="I1833" i="16"/>
  <c r="B1834" i="16"/>
  <c r="M1778" i="16"/>
  <c r="D1778" i="16"/>
  <c r="J1778" i="16"/>
  <c r="N1778" i="16" s="1"/>
  <c r="P1778" i="16"/>
  <c r="Q1778" i="16"/>
  <c r="R1778" i="16"/>
  <c r="T1778" i="16"/>
  <c r="L1779" i="16"/>
  <c r="C1779" i="16"/>
  <c r="E1779" i="16"/>
  <c r="G1779" i="16"/>
  <c r="I1779" i="16"/>
  <c r="B1780" i="16"/>
  <c r="U1723" i="16"/>
  <c r="S1723" i="16"/>
  <c r="D1724" i="16"/>
  <c r="J1724" i="16"/>
  <c r="P1724" i="16"/>
  <c r="Q1724" i="16"/>
  <c r="R1724" i="16"/>
  <c r="T1724" i="16"/>
  <c r="L1725" i="16"/>
  <c r="C1725" i="16"/>
  <c r="K1725" i="16" s="1"/>
  <c r="E1725" i="16"/>
  <c r="F1725" i="16"/>
  <c r="O1725" i="16" s="1"/>
  <c r="G1725" i="16"/>
  <c r="I1725" i="16"/>
  <c r="B1726" i="16"/>
  <c r="S1669" i="16"/>
  <c r="U1669" i="16"/>
  <c r="M1670" i="16"/>
  <c r="D1670" i="16"/>
  <c r="J1670" i="16"/>
  <c r="N1670" i="16" s="1"/>
  <c r="P1670" i="16"/>
  <c r="Q1670" i="16"/>
  <c r="R1670" i="16"/>
  <c r="T1670" i="16"/>
  <c r="L1671" i="16"/>
  <c r="C1671" i="16"/>
  <c r="K1671" i="16" s="1"/>
  <c r="E1671" i="16"/>
  <c r="F1671" i="16"/>
  <c r="O1671" i="16" s="1"/>
  <c r="G1671" i="16"/>
  <c r="I1671" i="16"/>
  <c r="B1672" i="16"/>
  <c r="U1615" i="16"/>
  <c r="S1615" i="16"/>
  <c r="M1616" i="16"/>
  <c r="D1616" i="16"/>
  <c r="J1616" i="16"/>
  <c r="N1616" i="16" s="1"/>
  <c r="P1616" i="16"/>
  <c r="Q1616" i="16"/>
  <c r="R1616" i="16"/>
  <c r="T1616" i="16"/>
  <c r="L1617" i="16"/>
  <c r="C1617" i="16"/>
  <c r="K1617" i="16" s="1"/>
  <c r="E1617" i="16"/>
  <c r="F1617" i="16"/>
  <c r="O1617" i="16" s="1"/>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D1508" i="16"/>
  <c r="J1508" i="16"/>
  <c r="P1508" i="16"/>
  <c r="Q1508" i="16"/>
  <c r="R1508" i="16"/>
  <c r="T1508" i="16"/>
  <c r="K1509" i="16"/>
  <c r="L1509" i="16"/>
  <c r="C1509" i="16"/>
  <c r="E1509" i="16"/>
  <c r="F1509" i="16"/>
  <c r="O1509" i="16" s="1"/>
  <c r="G1509" i="16"/>
  <c r="I1509" i="16"/>
  <c r="B1510" i="16"/>
  <c r="S1453" i="16"/>
  <c r="U1453" i="16"/>
  <c r="J1454" i="16"/>
  <c r="D1454" i="16"/>
  <c r="P1454" i="16"/>
  <c r="Q1454" i="16"/>
  <c r="R1454" i="16"/>
  <c r="T1454" i="16"/>
  <c r="L1455" i="16"/>
  <c r="I1455" i="16"/>
  <c r="E1455" i="16"/>
  <c r="B1456" i="16"/>
  <c r="C1455" i="16"/>
  <c r="G1455" i="16"/>
  <c r="U1399" i="16"/>
  <c r="S1399" i="16"/>
  <c r="L1401" i="16"/>
  <c r="E1401" i="16"/>
  <c r="I1401" i="16"/>
  <c r="B1402" i="16"/>
  <c r="C1401" i="16"/>
  <c r="G1401" i="16"/>
  <c r="P1400" i="16"/>
  <c r="Q1400" i="16"/>
  <c r="R1400" i="16"/>
  <c r="T1400" i="16"/>
  <c r="D1400" i="16"/>
  <c r="J1400" i="16"/>
  <c r="U1345" i="16"/>
  <c r="S1345" i="16"/>
  <c r="M1346" i="16"/>
  <c r="P1346" i="16"/>
  <c r="Q1346" i="16"/>
  <c r="R1346" i="16"/>
  <c r="T1346" i="16"/>
  <c r="L1347" i="16"/>
  <c r="G1347" i="16"/>
  <c r="C1347" i="16"/>
  <c r="K1347" i="16" s="1"/>
  <c r="B1348" i="16"/>
  <c r="E1347" i="16"/>
  <c r="I1347" i="16"/>
  <c r="F1347" i="16"/>
  <c r="O1347" i="16" s="1"/>
  <c r="J1346" i="16"/>
  <c r="N1346" i="16" s="1"/>
  <c r="D1346" i="16"/>
  <c r="U1291" i="16"/>
  <c r="S1291" i="16"/>
  <c r="M1292" i="16"/>
  <c r="P1292" i="16"/>
  <c r="Q1292" i="16"/>
  <c r="R1292" i="16"/>
  <c r="T1292" i="16"/>
  <c r="L1293" i="16"/>
  <c r="G1293" i="16"/>
  <c r="C1293" i="16"/>
  <c r="I1293" i="16"/>
  <c r="B1294" i="16"/>
  <c r="E1293" i="16"/>
  <c r="D1292" i="16"/>
  <c r="J1292" i="16"/>
  <c r="N1292" i="16" s="1"/>
  <c r="J1238" i="16"/>
  <c r="D1238" i="16"/>
  <c r="M1238" i="16" s="1"/>
  <c r="N1238" i="16" s="1"/>
  <c r="I1239" i="16"/>
  <c r="E1239" i="16"/>
  <c r="L1239" i="16"/>
  <c r="B1240" i="16"/>
  <c r="G1239" i="16"/>
  <c r="C1239" i="16"/>
  <c r="F1239" i="16"/>
  <c r="O1239" i="16" s="1"/>
  <c r="K1239" i="16"/>
  <c r="P1238" i="16"/>
  <c r="Q1238" i="16"/>
  <c r="R1238" i="16"/>
  <c r="T1238" i="16"/>
  <c r="U1237" i="16"/>
  <c r="S1237"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M1076" i="16"/>
  <c r="D1076" i="16"/>
  <c r="J1076" i="16"/>
  <c r="N1076" i="16" s="1"/>
  <c r="P1076" i="16"/>
  <c r="Q1076" i="16"/>
  <c r="R1076" i="16"/>
  <c r="T1076" i="16"/>
  <c r="L1077" i="16"/>
  <c r="C1077" i="16"/>
  <c r="K1077" i="16" s="1"/>
  <c r="E1077" i="16"/>
  <c r="F1077" i="16"/>
  <c r="O1077" i="16" s="1"/>
  <c r="G1077" i="16"/>
  <c r="I1077" i="16"/>
  <c r="B1078" i="16"/>
  <c r="U1021" i="16"/>
  <c r="S1021" i="16"/>
  <c r="L1023" i="16"/>
  <c r="B1024" i="16"/>
  <c r="G1023" i="16"/>
  <c r="C1023" i="16"/>
  <c r="K1023" i="16" s="1"/>
  <c r="E1023" i="16"/>
  <c r="F1023" i="16"/>
  <c r="O1023" i="16" s="1"/>
  <c r="I1023" i="16"/>
  <c r="P1022" i="16"/>
  <c r="Q1022" i="16"/>
  <c r="R1022" i="16"/>
  <c r="T1022" i="16"/>
  <c r="J1022" i="16"/>
  <c r="D1022" i="16"/>
  <c r="M968" i="16"/>
  <c r="D968" i="16"/>
  <c r="J968" i="16"/>
  <c r="N968" i="16" s="1"/>
  <c r="P968" i="16"/>
  <c r="Q968" i="16"/>
  <c r="R968" i="16"/>
  <c r="T968" i="16"/>
  <c r="L969" i="16"/>
  <c r="C969" i="16"/>
  <c r="K969" i="16" s="1"/>
  <c r="E969" i="16"/>
  <c r="F969" i="16"/>
  <c r="O969" i="16" s="1"/>
  <c r="G969" i="16"/>
  <c r="I969" i="16"/>
  <c r="B970" i="16"/>
  <c r="U913" i="16"/>
  <c r="S913" i="16"/>
  <c r="D914" i="16"/>
  <c r="J914" i="16"/>
  <c r="P914" i="16"/>
  <c r="Q914" i="16"/>
  <c r="R914" i="16"/>
  <c r="T914" i="16"/>
  <c r="L915" i="16"/>
  <c r="C915" i="16"/>
  <c r="K915" i="16" s="1"/>
  <c r="E915" i="16"/>
  <c r="F915" i="16"/>
  <c r="O915" i="16" s="1"/>
  <c r="G915" i="16"/>
  <c r="I915" i="16"/>
  <c r="B916" i="16"/>
  <c r="U859" i="16"/>
  <c r="S859" i="16"/>
  <c r="M860" i="16"/>
  <c r="D860" i="16"/>
  <c r="J860" i="16"/>
  <c r="N860" i="16" s="1"/>
  <c r="P860" i="16"/>
  <c r="Q860" i="16"/>
  <c r="R860" i="16"/>
  <c r="T860" i="16"/>
  <c r="L861" i="16"/>
  <c r="C861" i="16"/>
  <c r="K861" i="16" s="1"/>
  <c r="E861" i="16"/>
  <c r="F861" i="16"/>
  <c r="O861" i="16" s="1"/>
  <c r="G861" i="16"/>
  <c r="I861" i="16"/>
  <c r="B862" i="16"/>
  <c r="U805" i="16"/>
  <c r="S805" i="16"/>
  <c r="M806" i="16"/>
  <c r="D806" i="16"/>
  <c r="J806" i="16"/>
  <c r="N806" i="16" s="1"/>
  <c r="P806" i="16"/>
  <c r="Q806" i="16"/>
  <c r="R806" i="16"/>
  <c r="T806" i="16"/>
  <c r="L807" i="16"/>
  <c r="C807" i="16"/>
  <c r="E807" i="16"/>
  <c r="G807" i="16"/>
  <c r="I807" i="16"/>
  <c r="B808" i="16"/>
  <c r="M752" i="16"/>
  <c r="D752" i="16"/>
  <c r="J752" i="16"/>
  <c r="N752" i="16" s="1"/>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E699" i="16"/>
  <c r="G699" i="16"/>
  <c r="I699" i="16"/>
  <c r="B700" i="16"/>
  <c r="U643" i="16"/>
  <c r="S643" i="16"/>
  <c r="D644" i="16"/>
  <c r="J644" i="16"/>
  <c r="P644" i="16"/>
  <c r="Q644" i="16"/>
  <c r="R644" i="16"/>
  <c r="T644" i="16"/>
  <c r="L645" i="16"/>
  <c r="C645" i="16"/>
  <c r="K645" i="16" s="1"/>
  <c r="E645" i="16"/>
  <c r="F645" i="16"/>
  <c r="O645" i="16" s="1"/>
  <c r="G645" i="16"/>
  <c r="I645" i="16"/>
  <c r="B646" i="16"/>
  <c r="U589" i="16"/>
  <c r="S589" i="16"/>
  <c r="M590" i="16"/>
  <c r="D590" i="16"/>
  <c r="J590" i="16"/>
  <c r="N590" i="16" s="1"/>
  <c r="P590" i="16"/>
  <c r="Q590" i="16"/>
  <c r="R590" i="16"/>
  <c r="T590" i="16"/>
  <c r="L591" i="16"/>
  <c r="C591" i="16"/>
  <c r="K591" i="16" s="1"/>
  <c r="E591" i="16"/>
  <c r="F591" i="16"/>
  <c r="O591" i="16" s="1"/>
  <c r="G591" i="16"/>
  <c r="I591" i="16"/>
  <c r="B592" i="16"/>
  <c r="U535" i="16"/>
  <c r="S535" i="16"/>
  <c r="M536" i="16"/>
  <c r="D536" i="16"/>
  <c r="J536" i="16"/>
  <c r="N536" i="16" s="1"/>
  <c r="P536" i="16"/>
  <c r="Q536" i="16"/>
  <c r="R536" i="16"/>
  <c r="T536" i="16"/>
  <c r="L537" i="16"/>
  <c r="C537" i="16"/>
  <c r="K537" i="16" s="1"/>
  <c r="E537" i="16"/>
  <c r="F537" i="16"/>
  <c r="O537" i="16" s="1"/>
  <c r="G537" i="16"/>
  <c r="I537" i="16"/>
  <c r="B538" i="16"/>
  <c r="M482" i="16"/>
  <c r="D482" i="16"/>
  <c r="J482" i="16"/>
  <c r="N482" i="16" s="1"/>
  <c r="P482" i="16"/>
  <c r="Q482" i="16"/>
  <c r="R482" i="16"/>
  <c r="T482" i="16"/>
  <c r="L483" i="16"/>
  <c r="C483" i="16"/>
  <c r="E483" i="16"/>
  <c r="G483" i="16"/>
  <c r="I483" i="16"/>
  <c r="B484" i="16"/>
  <c r="U427" i="16"/>
  <c r="S427" i="16"/>
  <c r="M428" i="16"/>
  <c r="D428" i="16"/>
  <c r="J428" i="16"/>
  <c r="N428" i="16" s="1"/>
  <c r="P428" i="16"/>
  <c r="Q428" i="16"/>
  <c r="R428" i="16"/>
  <c r="T428" i="16"/>
  <c r="L429" i="16"/>
  <c r="C429" i="16"/>
  <c r="K429" i="16" s="1"/>
  <c r="E429" i="16"/>
  <c r="F429" i="16"/>
  <c r="O429" i="16" s="1"/>
  <c r="G429" i="16"/>
  <c r="I429" i="16"/>
  <c r="B430" i="16"/>
  <c r="U373" i="16"/>
  <c r="S373" i="16"/>
  <c r="M374" i="16"/>
  <c r="D374" i="16"/>
  <c r="J374" i="16"/>
  <c r="N374" i="16" s="1"/>
  <c r="P374" i="16"/>
  <c r="Q374" i="16"/>
  <c r="R374" i="16"/>
  <c r="T374" i="16"/>
  <c r="L375" i="16"/>
  <c r="C375" i="16"/>
  <c r="K375" i="16" s="1"/>
  <c r="E375" i="16"/>
  <c r="F375" i="16"/>
  <c r="O375" i="16" s="1"/>
  <c r="G375" i="16"/>
  <c r="I375" i="16"/>
  <c r="B376" i="16"/>
  <c r="U319" i="16"/>
  <c r="S319" i="16"/>
  <c r="M320" i="16"/>
  <c r="D320" i="16"/>
  <c r="J320" i="16"/>
  <c r="N320" i="16" s="1"/>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M212" i="16"/>
  <c r="D212" i="16"/>
  <c r="J212" i="16"/>
  <c r="N212" i="16" s="1"/>
  <c r="P212" i="16"/>
  <c r="Q212" i="16"/>
  <c r="R212" i="16"/>
  <c r="T212" i="16"/>
  <c r="L213" i="16"/>
  <c r="I213" i="16"/>
  <c r="B214" i="16"/>
  <c r="C213" i="16"/>
  <c r="K213" i="16" s="1"/>
  <c r="E213" i="16"/>
  <c r="F213" i="16"/>
  <c r="O213" i="16" s="1"/>
  <c r="G213" i="16"/>
  <c r="U157" i="16"/>
  <c r="S157" i="16"/>
  <c r="P158" i="16"/>
  <c r="Q158" i="16"/>
  <c r="R158" i="16"/>
  <c r="T158" i="16"/>
  <c r="D158" i="16"/>
  <c r="J158" i="16"/>
  <c r="L159" i="16"/>
  <c r="G159" i="16"/>
  <c r="B160" i="16"/>
  <c r="C159" i="16"/>
  <c r="E159" i="16"/>
  <c r="I159" i="16"/>
  <c r="P104" i="16"/>
  <c r="Q104" i="16"/>
  <c r="R104" i="16"/>
  <c r="T104" i="16"/>
  <c r="L105" i="16"/>
  <c r="C105" i="16"/>
  <c r="K105" i="16" s="1"/>
  <c r="E105" i="16"/>
  <c r="F105" i="16"/>
  <c r="O105" i="16" s="1"/>
  <c r="G105" i="16"/>
  <c r="I105" i="16"/>
  <c r="B106" i="16"/>
  <c r="D104" i="16"/>
  <c r="J104"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V42" i="4"/>
  <c r="T42" i="4"/>
  <c r="L43" i="4"/>
  <c r="C43" i="4"/>
  <c r="E43" i="4"/>
  <c r="G43" i="4"/>
  <c r="AV43" i="4" s="1"/>
  <c r="I43" i="4"/>
  <c r="B44" i="4"/>
  <c r="B43" i="5"/>
  <c r="AW16" i="4"/>
  <c r="B90" i="7"/>
  <c r="I90"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U4182" i="16"/>
  <c r="S4182" i="16"/>
  <c r="T4182" i="16" s="1"/>
  <c r="U3666" i="16"/>
  <c r="S3666" i="16"/>
  <c r="T3666" i="16" s="1"/>
  <c r="S3450" i="16"/>
  <c r="T3450" i="16" s="1"/>
  <c r="U3450" i="16"/>
  <c r="U3396" i="16"/>
  <c r="S3396" i="16"/>
  <c r="T3396" i="16" s="1"/>
  <c r="S3234" i="16"/>
  <c r="T3234" i="16" s="1"/>
  <c r="U3234" i="16"/>
  <c r="U3180" i="16"/>
  <c r="S3180" i="16"/>
  <c r="T3180" i="16" s="1"/>
  <c r="U3126" i="16"/>
  <c r="S3126" i="16"/>
  <c r="T3126" i="16" s="1"/>
  <c r="U3072" i="16"/>
  <c r="S3072" i="16"/>
  <c r="T3072" i="16" s="1"/>
  <c r="U2856" i="16"/>
  <c r="S2856" i="16"/>
  <c r="T2856" i="16" s="1"/>
  <c r="U2748" i="16"/>
  <c r="S2748" i="16"/>
  <c r="T2748" i="16" s="1"/>
  <c r="U2694" i="16"/>
  <c r="S2694" i="16"/>
  <c r="T2694" i="16" s="1"/>
  <c r="U2640" i="16"/>
  <c r="S2640" i="16"/>
  <c r="T2640" i="16" s="1"/>
  <c r="U2586" i="16"/>
  <c r="S2586" i="16"/>
  <c r="T2586" i="16" s="1"/>
  <c r="U2154" i="16"/>
  <c r="S2154" i="16"/>
  <c r="T2154" i="16" s="1"/>
  <c r="U1884" i="16"/>
  <c r="S1884" i="16"/>
  <c r="T1884" i="16" s="1"/>
  <c r="U1560" i="16"/>
  <c r="S1560" i="16"/>
  <c r="T1560" i="16" s="1"/>
  <c r="U1344" i="16"/>
  <c r="S1344" i="16"/>
  <c r="T1344" i="16" s="1"/>
  <c r="U1290" i="16"/>
  <c r="S1290" i="16"/>
  <c r="T1290" i="16" s="1"/>
  <c r="U1020" i="16"/>
  <c r="S1020" i="16"/>
  <c r="T1020" i="16" s="1"/>
  <c r="U534" i="16"/>
  <c r="S534" i="16"/>
  <c r="T534" i="16" s="1"/>
  <c r="U318" i="16"/>
  <c r="S318" i="16"/>
  <c r="T318" i="16" s="1"/>
  <c r="U264" i="16"/>
  <c r="S264" i="16"/>
  <c r="T264" i="16" s="1"/>
  <c r="U210" i="16"/>
  <c r="S210" i="16"/>
  <c r="T210" i="16" s="1"/>
  <c r="U156" i="16"/>
  <c r="S156" i="16"/>
  <c r="T156" i="16" s="1"/>
  <c r="M4591" i="16"/>
  <c r="N4591" i="16"/>
  <c r="M4237" i="16"/>
  <c r="N4237" i="16"/>
  <c r="N4183" i="16"/>
  <c r="M4183" i="16"/>
  <c r="M4075" i="16"/>
  <c r="N4075" i="16"/>
  <c r="M3775" i="16"/>
  <c r="N3775" i="16"/>
  <c r="M3721" i="16"/>
  <c r="N3721" i="16"/>
  <c r="M3667" i="16"/>
  <c r="N3667" i="16"/>
  <c r="M3505" i="16"/>
  <c r="N3505" i="16"/>
  <c r="M2857" i="16"/>
  <c r="N2857" i="16"/>
  <c r="M2803" i="16"/>
  <c r="N2803" i="16"/>
  <c r="S2803" i="16" s="1"/>
  <c r="M2695" i="16"/>
  <c r="N2695" i="16"/>
  <c r="M2641" i="16"/>
  <c r="N2641" i="16"/>
  <c r="M2317" i="16"/>
  <c r="N2317" i="16"/>
  <c r="M2101" i="16"/>
  <c r="N2101" i="16"/>
  <c r="M2047" i="16"/>
  <c r="N2047" i="16"/>
  <c r="M1831" i="16"/>
  <c r="N1831" i="16"/>
  <c r="M1777" i="16"/>
  <c r="N1777" i="16"/>
  <c r="M1183" i="16"/>
  <c r="N1183" i="16"/>
  <c r="M967" i="16"/>
  <c r="N967" i="16"/>
  <c r="M751" i="16"/>
  <c r="N751" i="16"/>
  <c r="M481" i="16"/>
  <c r="N481" i="16"/>
  <c r="M211" i="16"/>
  <c r="N211" i="16"/>
  <c r="M103" i="16"/>
  <c r="N103" i="16"/>
  <c r="K4592" i="16"/>
  <c r="F4592" i="16"/>
  <c r="F4538" i="16"/>
  <c r="K4538" i="16"/>
  <c r="F4184" i="16"/>
  <c r="O4184" i="16" s="1"/>
  <c r="K4184" i="16"/>
  <c r="F4130" i="16"/>
  <c r="O4130" i="16" s="1"/>
  <c r="K4130" i="16"/>
  <c r="K3668" i="16"/>
  <c r="F3668" i="16"/>
  <c r="O3668" i="16" s="1"/>
  <c r="F3614" i="16"/>
  <c r="O3614" i="16" s="1"/>
  <c r="K3614" i="16"/>
  <c r="F3344" i="16"/>
  <c r="O3344" i="16" s="1"/>
  <c r="K3344" i="16"/>
  <c r="F2858" i="16"/>
  <c r="O2858" i="16" s="1"/>
  <c r="K2858" i="16"/>
  <c r="F2804" i="16"/>
  <c r="O2804" i="16" s="1"/>
  <c r="K2804" i="16"/>
  <c r="K2642" i="16"/>
  <c r="F2642" i="16"/>
  <c r="O2642" i="16" s="1"/>
  <c r="F2588" i="16"/>
  <c r="O2588" i="16" s="1"/>
  <c r="K2588" i="16"/>
  <c r="F2264" i="16"/>
  <c r="O2264" i="16" s="1"/>
  <c r="K2264" i="16"/>
  <c r="K2102" i="16"/>
  <c r="F2102" i="16"/>
  <c r="O2102" i="16" s="1"/>
  <c r="K1994" i="16"/>
  <c r="F1994" i="16"/>
  <c r="O1994" i="16" s="1"/>
  <c r="F1940" i="16"/>
  <c r="O1940" i="16" s="1"/>
  <c r="K1940" i="16"/>
  <c r="F1724" i="16"/>
  <c r="O1724" i="16" s="1"/>
  <c r="K1724" i="16"/>
  <c r="F1508" i="16"/>
  <c r="O1508" i="16" s="1"/>
  <c r="K1508" i="16"/>
  <c r="K1454" i="16"/>
  <c r="F1454" i="16"/>
  <c r="O1454" i="16" s="1"/>
  <c r="F1400" i="16"/>
  <c r="O1400" i="16" s="1"/>
  <c r="K1400" i="16"/>
  <c r="K1022" i="16"/>
  <c r="F1022" i="16"/>
  <c r="O1022" i="16" s="1"/>
  <c r="K914" i="16"/>
  <c r="F914" i="16"/>
  <c r="O914" i="16" s="1"/>
  <c r="K644" i="16"/>
  <c r="F644" i="16"/>
  <c r="O644" i="16" s="1"/>
  <c r="K158" i="16"/>
  <c r="F158" i="16"/>
  <c r="O158" i="16" s="1"/>
  <c r="K104" i="16"/>
  <c r="F104" i="16"/>
  <c r="O104" i="16" s="1"/>
  <c r="F41" i="5"/>
  <c r="G41" i="5"/>
  <c r="H41" i="5"/>
  <c r="D4647" i="16" l="1"/>
  <c r="F4647" i="16"/>
  <c r="O4647" i="16" s="1"/>
  <c r="K4593" i="16"/>
  <c r="F4593" i="16"/>
  <c r="K4185" i="16"/>
  <c r="F4185" i="16"/>
  <c r="O4185" i="16" s="1"/>
  <c r="K3291" i="16"/>
  <c r="F3291" i="16"/>
  <c r="O3291" i="16" s="1"/>
  <c r="K699" i="16"/>
  <c r="F699" i="16"/>
  <c r="O699" i="16" s="1"/>
  <c r="K483" i="16"/>
  <c r="F483" i="16"/>
  <c r="O483" i="16" s="1"/>
  <c r="S4700" i="16"/>
  <c r="U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M4593" i="16"/>
  <c r="D4593" i="16"/>
  <c r="J4593" i="16"/>
  <c r="N4593" i="16" s="1"/>
  <c r="P4593" i="16"/>
  <c r="Q4593" i="16"/>
  <c r="R4593" i="16"/>
  <c r="L4594" i="16"/>
  <c r="C4594" i="16"/>
  <c r="K4594" i="16" s="1"/>
  <c r="E4594" i="16"/>
  <c r="F4594" i="16"/>
  <c r="G4594" i="16"/>
  <c r="I4594" i="16"/>
  <c r="B4595" i="16"/>
  <c r="D4539" i="16"/>
  <c r="J4539" i="16"/>
  <c r="N4539" i="16" s="1"/>
  <c r="P4539" i="16"/>
  <c r="Q4539" i="16"/>
  <c r="R4539" i="16"/>
  <c r="I4540" i="16"/>
  <c r="B4541" i="16"/>
  <c r="C4540" i="16"/>
  <c r="E4540" i="16"/>
  <c r="G4540" i="16"/>
  <c r="L4540" i="16"/>
  <c r="M4539" i="16"/>
  <c r="U4238" i="16"/>
  <c r="S4238" i="16"/>
  <c r="M4239" i="16"/>
  <c r="D4239" i="16"/>
  <c r="J4239" i="16"/>
  <c r="N4239" i="16" s="1"/>
  <c r="P4239" i="16"/>
  <c r="Q4239" i="16"/>
  <c r="R4239" i="16"/>
  <c r="T4239" i="16"/>
  <c r="L4240" i="16"/>
  <c r="C4240" i="16"/>
  <c r="E4240" i="16"/>
  <c r="G4240" i="16"/>
  <c r="I4240" i="16"/>
  <c r="B4241" i="16"/>
  <c r="P4185" i="16"/>
  <c r="Q4185" i="16"/>
  <c r="R4185" i="16"/>
  <c r="T4185" i="16"/>
  <c r="M4185" i="16"/>
  <c r="I4186" i="16"/>
  <c r="L4186" i="16"/>
  <c r="B4187" i="16"/>
  <c r="C4186" i="16"/>
  <c r="E4186" i="16"/>
  <c r="G4186" i="16"/>
  <c r="D4185" i="16"/>
  <c r="J4185" i="16"/>
  <c r="N4185" i="16" s="1"/>
  <c r="P4131" i="16"/>
  <c r="Q4131" i="16"/>
  <c r="R4131" i="16"/>
  <c r="T4131" i="16"/>
  <c r="E4132" i="16"/>
  <c r="C4132" i="16"/>
  <c r="F4132" i="16"/>
  <c r="O4132" i="16" s="1"/>
  <c r="G4132" i="16"/>
  <c r="K4132" i="16"/>
  <c r="L4132" i="16"/>
  <c r="B4133" i="16"/>
  <c r="I4132" i="16"/>
  <c r="D4131" i="16"/>
  <c r="J4131" i="16"/>
  <c r="U4076" i="16"/>
  <c r="S4076" i="16"/>
  <c r="M4077" i="16"/>
  <c r="D4077" i="16"/>
  <c r="J4077" i="16"/>
  <c r="N4077" i="16" s="1"/>
  <c r="P4077" i="16"/>
  <c r="Q4077" i="16"/>
  <c r="R4077" i="16"/>
  <c r="T4077" i="16"/>
  <c r="L4078" i="16"/>
  <c r="C4078" i="16"/>
  <c r="K4078" i="16" s="1"/>
  <c r="E4078" i="16"/>
  <c r="F4078" i="16"/>
  <c r="O4078" i="16" s="1"/>
  <c r="G4078" i="16"/>
  <c r="I4078" i="16"/>
  <c r="B4079" i="16"/>
  <c r="U3776" i="16"/>
  <c r="S3776" i="16"/>
  <c r="D3777" i="16"/>
  <c r="J3777" i="16"/>
  <c r="P3777" i="16"/>
  <c r="Q3777" i="16"/>
  <c r="R3777" i="16"/>
  <c r="T3777" i="16"/>
  <c r="L3778" i="16"/>
  <c r="C3778" i="16"/>
  <c r="K3778" i="16" s="1"/>
  <c r="E3778" i="16"/>
  <c r="F3778" i="16"/>
  <c r="O3778" i="16" s="1"/>
  <c r="G3778" i="16"/>
  <c r="I3778" i="16"/>
  <c r="B3779" i="16"/>
  <c r="U3722" i="16"/>
  <c r="S3722" i="16"/>
  <c r="M3723" i="16"/>
  <c r="D3723" i="16"/>
  <c r="J3723" i="16"/>
  <c r="N3723" i="16" s="1"/>
  <c r="P3723" i="16"/>
  <c r="Q3723" i="16"/>
  <c r="R3723" i="16"/>
  <c r="T3723" i="16"/>
  <c r="L3724" i="16"/>
  <c r="C3724" i="16"/>
  <c r="K3724" i="16" s="1"/>
  <c r="E3724" i="16"/>
  <c r="F3724" i="16"/>
  <c r="O3724" i="16" s="1"/>
  <c r="G3724" i="16"/>
  <c r="I3724" i="16"/>
  <c r="B3725" i="16"/>
  <c r="L3670" i="16"/>
  <c r="G3670" i="16"/>
  <c r="B3671" i="16"/>
  <c r="C3670" i="16"/>
  <c r="E3670" i="16"/>
  <c r="I3670" i="16"/>
  <c r="J3669" i="16"/>
  <c r="D3669" i="16"/>
  <c r="P3669" i="16"/>
  <c r="Q3669" i="16"/>
  <c r="R3669" i="16"/>
  <c r="T3669"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M3507" i="16"/>
  <c r="L3508" i="16"/>
  <c r="C3508" i="16"/>
  <c r="K3508" i="16" s="1"/>
  <c r="E3508" i="16"/>
  <c r="F3508" i="16"/>
  <c r="O3508" i="16" s="1"/>
  <c r="G3508" i="16"/>
  <c r="I3508" i="16"/>
  <c r="B3509" i="16"/>
  <c r="D3507" i="16"/>
  <c r="J3507" i="16"/>
  <c r="N3507" i="16" s="1"/>
  <c r="P3507" i="16"/>
  <c r="Q3507" i="16"/>
  <c r="R3507" i="16"/>
  <c r="T3507" i="16"/>
  <c r="S3452" i="16"/>
  <c r="U3452" i="16"/>
  <c r="M3453" i="16"/>
  <c r="D3453" i="16"/>
  <c r="J3453" i="16"/>
  <c r="N3453" i="16" s="1"/>
  <c r="P3453" i="16"/>
  <c r="Q3453" i="16"/>
  <c r="R3453" i="16"/>
  <c r="T3453" i="16"/>
  <c r="L3454" i="16"/>
  <c r="C3454" i="16"/>
  <c r="K3454" i="16" s="1"/>
  <c r="E3454" i="16"/>
  <c r="F3454" i="16"/>
  <c r="O3454" i="16" s="1"/>
  <c r="G3454" i="16"/>
  <c r="B3455" i="16"/>
  <c r="I3454" i="16"/>
  <c r="U3398" i="16"/>
  <c r="S3398" i="16"/>
  <c r="M3399" i="16"/>
  <c r="D3399" i="16"/>
  <c r="J3399" i="16"/>
  <c r="N3399" i="16" s="1"/>
  <c r="P3399" i="16"/>
  <c r="Q3399" i="16"/>
  <c r="R3399" i="16"/>
  <c r="T3399" i="16"/>
  <c r="L3400" i="16"/>
  <c r="C3400" i="16"/>
  <c r="E3400" i="16"/>
  <c r="G3400" i="16"/>
  <c r="I3400" i="16"/>
  <c r="B3401" i="16"/>
  <c r="M3345" i="16"/>
  <c r="D3345" i="16"/>
  <c r="J3345" i="16"/>
  <c r="N3345" i="16" s="1"/>
  <c r="P3345" i="16"/>
  <c r="Q3345" i="16"/>
  <c r="R3345" i="16"/>
  <c r="T3345" i="16"/>
  <c r="L3346" i="16"/>
  <c r="C3346" i="16"/>
  <c r="K3346" i="16" s="1"/>
  <c r="E3346" i="16"/>
  <c r="F3346" i="16"/>
  <c r="O3346" i="16" s="1"/>
  <c r="G3346" i="16"/>
  <c r="I3346" i="16"/>
  <c r="B3347" i="16"/>
  <c r="U3290" i="16"/>
  <c r="S3290" i="16"/>
  <c r="M3291" i="16"/>
  <c r="D3291" i="16"/>
  <c r="J3291" i="16"/>
  <c r="N3291" i="16" s="1"/>
  <c r="P3291" i="16"/>
  <c r="Q3291" i="16"/>
  <c r="R3291" i="16"/>
  <c r="T3291" i="16"/>
  <c r="L3292" i="16"/>
  <c r="C3292" i="16"/>
  <c r="K3292" i="16" s="1"/>
  <c r="E3292" i="16"/>
  <c r="F3292" i="16"/>
  <c r="O3292" i="16" s="1"/>
  <c r="G3292" i="16"/>
  <c r="I3292" i="16"/>
  <c r="B3293" i="16"/>
  <c r="S3236" i="16"/>
  <c r="U3236" i="16"/>
  <c r="M3237" i="16"/>
  <c r="D3237" i="16"/>
  <c r="J3237" i="16"/>
  <c r="N3237" i="16" s="1"/>
  <c r="P3237" i="16"/>
  <c r="Q3237" i="16"/>
  <c r="R3237" i="16"/>
  <c r="T3237" i="16"/>
  <c r="L3238" i="16"/>
  <c r="C3238" i="16"/>
  <c r="K3238" i="16" s="1"/>
  <c r="E3238" i="16"/>
  <c r="F3238" i="16"/>
  <c r="O3238" i="16" s="1"/>
  <c r="G3238" i="16"/>
  <c r="I3238" i="16"/>
  <c r="B3239" i="16"/>
  <c r="U3182" i="16"/>
  <c r="S3182" i="16"/>
  <c r="D3183" i="16"/>
  <c r="J3183" i="16"/>
  <c r="P3183" i="16"/>
  <c r="Q3183" i="16"/>
  <c r="R3183" i="16"/>
  <c r="T3183" i="16"/>
  <c r="L3184" i="16"/>
  <c r="C3184" i="16"/>
  <c r="K3184" i="16" s="1"/>
  <c r="E3184" i="16"/>
  <c r="F3184" i="16"/>
  <c r="O3184" i="16" s="1"/>
  <c r="G3184" i="16"/>
  <c r="I3184" i="16"/>
  <c r="B3185" i="16"/>
  <c r="U3128" i="16"/>
  <c r="S3128" i="16"/>
  <c r="D3129" i="16"/>
  <c r="J3129" i="16"/>
  <c r="P3129" i="16"/>
  <c r="Q3129" i="16"/>
  <c r="R3129" i="16"/>
  <c r="T3129" i="16"/>
  <c r="L3130" i="16"/>
  <c r="C3130" i="16"/>
  <c r="E3130" i="16"/>
  <c r="G3130" i="16"/>
  <c r="I3130" i="16"/>
  <c r="B3131" i="16"/>
  <c r="U3074" i="16"/>
  <c r="S3074" i="16"/>
  <c r="L3076" i="16"/>
  <c r="G3076" i="16"/>
  <c r="I3076" i="16"/>
  <c r="B3077" i="16"/>
  <c r="C3076" i="16"/>
  <c r="E3076" i="16"/>
  <c r="P3075" i="16"/>
  <c r="Q3075" i="16"/>
  <c r="R3075" i="16"/>
  <c r="T3075" i="16"/>
  <c r="J3075" i="16"/>
  <c r="D3075" i="16"/>
  <c r="U3020" i="16"/>
  <c r="S3020" i="16"/>
  <c r="P3021" i="16"/>
  <c r="Q3021" i="16"/>
  <c r="R3021" i="16"/>
  <c r="T3021" i="16"/>
  <c r="L3022" i="16"/>
  <c r="E3022" i="16"/>
  <c r="G3022" i="16"/>
  <c r="B3023" i="16"/>
  <c r="I3022" i="16"/>
  <c r="C3022" i="16"/>
  <c r="D3021" i="16"/>
  <c r="J3021" i="16"/>
  <c r="U2966" i="16"/>
  <c r="S2966" i="16"/>
  <c r="M2967" i="16"/>
  <c r="D2967" i="16"/>
  <c r="J2967" i="16"/>
  <c r="N2967" i="16" s="1"/>
  <c r="P2967" i="16"/>
  <c r="Q2967" i="16"/>
  <c r="R2967" i="16"/>
  <c r="T2967" i="16"/>
  <c r="L2968" i="16"/>
  <c r="C2968" i="16"/>
  <c r="E2968" i="16"/>
  <c r="G2968" i="16"/>
  <c r="I2968" i="16"/>
  <c r="B2969" i="16"/>
  <c r="U2912" i="16"/>
  <c r="S2912" i="16"/>
  <c r="M2913" i="16"/>
  <c r="D2913" i="16"/>
  <c r="J2913" i="16"/>
  <c r="N2913" i="16" s="1"/>
  <c r="P2913" i="16"/>
  <c r="Q2913" i="16"/>
  <c r="R2913" i="16"/>
  <c r="T2913" i="16"/>
  <c r="L2914" i="16"/>
  <c r="C2914" i="16"/>
  <c r="E2914" i="16"/>
  <c r="G2914" i="16"/>
  <c r="I2914" i="16"/>
  <c r="B2915" i="16"/>
  <c r="P2859" i="16"/>
  <c r="Q2859" i="16"/>
  <c r="R2859" i="16"/>
  <c r="T2859" i="16"/>
  <c r="L2860" i="16"/>
  <c r="E2860" i="16"/>
  <c r="G2860" i="16"/>
  <c r="B2861" i="16"/>
  <c r="I2860" i="16"/>
  <c r="C2860" i="16"/>
  <c r="D2859" i="16"/>
  <c r="J2859" i="16"/>
  <c r="M2805" i="16"/>
  <c r="J2805" i="16"/>
  <c r="N2805" i="16" s="1"/>
  <c r="S2805" i="16" s="1"/>
  <c r="D2805" i="16"/>
  <c r="P2805" i="16"/>
  <c r="Q2805" i="16"/>
  <c r="R2805" i="16"/>
  <c r="T2805" i="16"/>
  <c r="U2805" i="16" s="1"/>
  <c r="L2806" i="16"/>
  <c r="G2806" i="16"/>
  <c r="I2806" i="16"/>
  <c r="C2806" i="16"/>
  <c r="K2806" i="16" s="1"/>
  <c r="F2806" i="16"/>
  <c r="O2806" i="16" s="1"/>
  <c r="B2807" i="16"/>
  <c r="E2806"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L2698" i="16"/>
  <c r="G2698" i="16"/>
  <c r="B2699" i="16"/>
  <c r="C2698" i="16"/>
  <c r="E2698" i="16"/>
  <c r="I2698" i="16"/>
  <c r="D2697" i="16"/>
  <c r="J2697" i="16"/>
  <c r="P2697" i="16"/>
  <c r="Q2697" i="16"/>
  <c r="R2697" i="16"/>
  <c r="T2697" i="16"/>
  <c r="D2643" i="16"/>
  <c r="J2643" i="16"/>
  <c r="P2643" i="16"/>
  <c r="Q2643" i="16"/>
  <c r="R2643" i="16"/>
  <c r="T2643" i="16"/>
  <c r="L2644" i="16"/>
  <c r="B2645" i="16"/>
  <c r="E2644" i="16"/>
  <c r="G2644" i="16"/>
  <c r="I2644" i="16"/>
  <c r="C2644" i="16"/>
  <c r="D2589" i="16"/>
  <c r="J2589" i="16"/>
  <c r="P2589" i="16"/>
  <c r="Q2589" i="16"/>
  <c r="R2589" i="16"/>
  <c r="T2589" i="16"/>
  <c r="L2590" i="16"/>
  <c r="K2590" i="16"/>
  <c r="G2590" i="16"/>
  <c r="F2590" i="16"/>
  <c r="O2590" i="16" s="1"/>
  <c r="B2591" i="16"/>
  <c r="I2590" i="16"/>
  <c r="C2590" i="16"/>
  <c r="E2590"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E2428" i="16"/>
  <c r="G2428" i="16"/>
  <c r="I2428" i="16"/>
  <c r="B2429" i="16"/>
  <c r="U2372" i="16"/>
  <c r="S2372" i="16"/>
  <c r="D2373" i="16"/>
  <c r="J2373" i="16"/>
  <c r="P2373" i="16"/>
  <c r="Q2373" i="16"/>
  <c r="R2373" i="16"/>
  <c r="T2373" i="16"/>
  <c r="L2374" i="16"/>
  <c r="C2374" i="16"/>
  <c r="K2374" i="16" s="1"/>
  <c r="E2374" i="16"/>
  <c r="F2374" i="16"/>
  <c r="O2374" i="16" s="1"/>
  <c r="G2374" i="16"/>
  <c r="I2374" i="16"/>
  <c r="B2375" i="16"/>
  <c r="U2318" i="16"/>
  <c r="S2318" i="16"/>
  <c r="M2319" i="16"/>
  <c r="D2319" i="16"/>
  <c r="J2319" i="16"/>
  <c r="N2319" i="16" s="1"/>
  <c r="P2319" i="16"/>
  <c r="Q2319" i="16"/>
  <c r="R2319" i="16"/>
  <c r="T2319" i="16"/>
  <c r="L2320" i="16"/>
  <c r="C2320" i="16"/>
  <c r="K2320" i="16" s="1"/>
  <c r="E2320" i="16"/>
  <c r="F2320" i="16"/>
  <c r="O2320" i="16" s="1"/>
  <c r="G2320" i="16"/>
  <c r="I2320" i="16"/>
  <c r="B2321"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E2158" i="16"/>
  <c r="G2158" i="16"/>
  <c r="I2158" i="16"/>
  <c r="B2159" i="16"/>
  <c r="L2104" i="16"/>
  <c r="B2105" i="16"/>
  <c r="G2104" i="16"/>
  <c r="I2104" i="16"/>
  <c r="E2104" i="16"/>
  <c r="C2104" i="16"/>
  <c r="P2103" i="16"/>
  <c r="Q2103" i="16"/>
  <c r="R2103" i="16"/>
  <c r="T2103" i="16"/>
  <c r="D2103" i="16"/>
  <c r="J2103" i="16"/>
  <c r="U2048" i="16"/>
  <c r="S2048" i="16"/>
  <c r="M2049" i="16"/>
  <c r="D2049" i="16"/>
  <c r="J2049" i="16"/>
  <c r="N2049" i="16" s="1"/>
  <c r="P2049" i="16"/>
  <c r="Q2049" i="16"/>
  <c r="R2049" i="16"/>
  <c r="T2049" i="16"/>
  <c r="L2050" i="16"/>
  <c r="C2050" i="16"/>
  <c r="K2050" i="16" s="1"/>
  <c r="E2050" i="16"/>
  <c r="F2050" i="16"/>
  <c r="O2050" i="16" s="1"/>
  <c r="G2050" i="16"/>
  <c r="I2050" i="16"/>
  <c r="B2051" i="16"/>
  <c r="M1995" i="16"/>
  <c r="D1995" i="16"/>
  <c r="J1995" i="16"/>
  <c r="N1995" i="16" s="1"/>
  <c r="P1995" i="16"/>
  <c r="Q1995" i="16"/>
  <c r="R1995" i="16"/>
  <c r="T1995" i="16"/>
  <c r="L1996" i="16"/>
  <c r="C1996" i="16"/>
  <c r="E1996" i="16"/>
  <c r="G1996" i="16"/>
  <c r="I1996" i="16"/>
  <c r="B1997" i="16"/>
  <c r="M1941" i="16"/>
  <c r="D1941" i="16"/>
  <c r="J1941" i="16"/>
  <c r="N1941" i="16" s="1"/>
  <c r="P1941" i="16"/>
  <c r="Q1941" i="16"/>
  <c r="R1941" i="16"/>
  <c r="T1941" i="16"/>
  <c r="L1942" i="16"/>
  <c r="C1942" i="16"/>
  <c r="E1942" i="16"/>
  <c r="G1942" i="16"/>
  <c r="I1942" i="16"/>
  <c r="B1943" i="16"/>
  <c r="U1886" i="16"/>
  <c r="S1886" i="16"/>
  <c r="M1887" i="16"/>
  <c r="J1887" i="16"/>
  <c r="N1887" i="16" s="1"/>
  <c r="D1887" i="16"/>
  <c r="L1888" i="16"/>
  <c r="C1888" i="16"/>
  <c r="E1888" i="16"/>
  <c r="G1888" i="16"/>
  <c r="I1888" i="16"/>
  <c r="B1889" i="16"/>
  <c r="P1887" i="16"/>
  <c r="Q1887" i="16"/>
  <c r="R1887" i="16"/>
  <c r="T1887" i="16"/>
  <c r="U1832" i="16"/>
  <c r="S1832" i="16"/>
  <c r="M1833" i="16"/>
  <c r="D1833" i="16"/>
  <c r="J1833" i="16"/>
  <c r="N1833" i="16" s="1"/>
  <c r="P1833" i="16"/>
  <c r="Q1833" i="16"/>
  <c r="R1833" i="16"/>
  <c r="T1833" i="16"/>
  <c r="L1834" i="16"/>
  <c r="C1834" i="16"/>
  <c r="E1834" i="16"/>
  <c r="G1834" i="16"/>
  <c r="I1834" i="16"/>
  <c r="B1835" i="16"/>
  <c r="U1778" i="16"/>
  <c r="S1778" i="16"/>
  <c r="D1779" i="16"/>
  <c r="J1779" i="16"/>
  <c r="P1779" i="16"/>
  <c r="Q1779" i="16"/>
  <c r="R1779" i="16"/>
  <c r="T1779" i="16"/>
  <c r="L1780" i="16"/>
  <c r="C1780" i="16"/>
  <c r="E1780" i="16"/>
  <c r="G1780" i="16"/>
  <c r="I1780" i="16"/>
  <c r="B1781" i="16"/>
  <c r="M1725" i="16"/>
  <c r="D1725" i="16"/>
  <c r="J1725" i="16"/>
  <c r="N1725" i="16" s="1"/>
  <c r="P1725" i="16"/>
  <c r="Q1725" i="16"/>
  <c r="R1725" i="16"/>
  <c r="T1725" i="16"/>
  <c r="L1726" i="16"/>
  <c r="C1726" i="16"/>
  <c r="K1726" i="16" s="1"/>
  <c r="E1726" i="16"/>
  <c r="F1726" i="16"/>
  <c r="O1726" i="16" s="1"/>
  <c r="G1726" i="16"/>
  <c r="I1726" i="16"/>
  <c r="B1727" i="16"/>
  <c r="S1670" i="16"/>
  <c r="U1670" i="16"/>
  <c r="M1671" i="16"/>
  <c r="D1671" i="16"/>
  <c r="J1671" i="16"/>
  <c r="N1671" i="16" s="1"/>
  <c r="P1671" i="16"/>
  <c r="Q1671" i="16"/>
  <c r="R1671" i="16"/>
  <c r="T1671" i="16"/>
  <c r="L1672" i="16"/>
  <c r="C1672" i="16"/>
  <c r="E1672" i="16"/>
  <c r="G1672" i="16"/>
  <c r="I1672" i="16"/>
  <c r="B1673" i="16"/>
  <c r="U1616" i="16"/>
  <c r="S1616" i="16"/>
  <c r="M1617" i="16"/>
  <c r="D1617" i="16"/>
  <c r="J1617" i="16"/>
  <c r="N1617" i="16" s="1"/>
  <c r="P1617" i="16"/>
  <c r="Q1617" i="16"/>
  <c r="R1617" i="16"/>
  <c r="T1617" i="16"/>
  <c r="L1618" i="16"/>
  <c r="C1618" i="16"/>
  <c r="E1618" i="16"/>
  <c r="G1618" i="16"/>
  <c r="I1618" i="16"/>
  <c r="B1619" i="16"/>
  <c r="U1562" i="16"/>
  <c r="S1562" i="16"/>
  <c r="M1563" i="16"/>
  <c r="D1563" i="16"/>
  <c r="J1563" i="16"/>
  <c r="N1563" i="16" s="1"/>
  <c r="P1563" i="16"/>
  <c r="Q1563" i="16"/>
  <c r="R1563" i="16"/>
  <c r="T1563" i="16"/>
  <c r="L1564" i="16"/>
  <c r="C1564" i="16"/>
  <c r="E1564" i="16"/>
  <c r="G1564" i="16"/>
  <c r="I1564" i="16"/>
  <c r="B1565" i="16"/>
  <c r="M1509" i="16"/>
  <c r="D1509" i="16"/>
  <c r="J1509" i="16"/>
  <c r="N1509" i="16" s="1"/>
  <c r="P1509" i="16"/>
  <c r="Q1509" i="16"/>
  <c r="R1509" i="16"/>
  <c r="T1509" i="16"/>
  <c r="L1510" i="16"/>
  <c r="C1510" i="16"/>
  <c r="K1510" i="16" s="1"/>
  <c r="E1510" i="16"/>
  <c r="F1510" i="16"/>
  <c r="O1510" i="16" s="1"/>
  <c r="G1510" i="16"/>
  <c r="I1510" i="16"/>
  <c r="B1511" i="16"/>
  <c r="L1456" i="16"/>
  <c r="E1456" i="16"/>
  <c r="I1456" i="16"/>
  <c r="C1456" i="16"/>
  <c r="K1456" i="16" s="1"/>
  <c r="F1456" i="16"/>
  <c r="O1456" i="16" s="1"/>
  <c r="G1456" i="16"/>
  <c r="B1457" i="16"/>
  <c r="D1455" i="16"/>
  <c r="J1455" i="16"/>
  <c r="P1455" i="16"/>
  <c r="Q1455" i="16"/>
  <c r="R1455" i="16"/>
  <c r="T1455" i="16"/>
  <c r="L1402" i="16"/>
  <c r="E1402" i="16"/>
  <c r="I1402" i="16"/>
  <c r="C1402" i="16"/>
  <c r="B1403" i="16"/>
  <c r="G1402" i="16"/>
  <c r="D1401" i="16"/>
  <c r="J1401" i="16"/>
  <c r="P1401" i="16"/>
  <c r="Q1401" i="16"/>
  <c r="R1401" i="16"/>
  <c r="T1401" i="16"/>
  <c r="U1346" i="16"/>
  <c r="S1346" i="16"/>
  <c r="M1347" i="16"/>
  <c r="P1347" i="16"/>
  <c r="Q1347" i="16"/>
  <c r="R1347" i="16"/>
  <c r="T1347" i="16"/>
  <c r="D1347" i="16"/>
  <c r="J1347" i="16"/>
  <c r="N1347" i="16" s="1"/>
  <c r="L1348" i="16"/>
  <c r="C1348" i="16"/>
  <c r="I1348" i="16"/>
  <c r="E1348" i="16"/>
  <c r="B1349" i="16"/>
  <c r="G1348" i="16"/>
  <c r="U1292" i="16"/>
  <c r="S1292" i="16"/>
  <c r="P1293" i="16"/>
  <c r="Q1293" i="16"/>
  <c r="R1293" i="16"/>
  <c r="T1293" i="16"/>
  <c r="D1293" i="16"/>
  <c r="J1293" i="16"/>
  <c r="L1294" i="16"/>
  <c r="B1295" i="16"/>
  <c r="I1294" i="16"/>
  <c r="C1294" i="16"/>
  <c r="K1294" i="16" s="1"/>
  <c r="F1294" i="16"/>
  <c r="O1294" i="16" s="1"/>
  <c r="E1294" i="16"/>
  <c r="G1294" i="16"/>
  <c r="B1241" i="16"/>
  <c r="G1240" i="16"/>
  <c r="L1240" i="16"/>
  <c r="I1240" i="16"/>
  <c r="C1240" i="16"/>
  <c r="E1240" i="16"/>
  <c r="K1240" i="16"/>
  <c r="F1240" i="16"/>
  <c r="O1240" i="16" s="1"/>
  <c r="P1239" i="16"/>
  <c r="Q1239" i="16"/>
  <c r="R1239" i="16"/>
  <c r="T1239" i="16"/>
  <c r="J1239" i="16"/>
  <c r="D1239" i="16"/>
  <c r="M1239" i="16"/>
  <c r="N1239" i="16"/>
  <c r="U1238" i="16"/>
  <c r="S1238"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E1132" i="16"/>
  <c r="G1132" i="16"/>
  <c r="I1132" i="16"/>
  <c r="B1133" i="16"/>
  <c r="U1076" i="16"/>
  <c r="S1076" i="16"/>
  <c r="M1077" i="16"/>
  <c r="D1077" i="16"/>
  <c r="J1077" i="16"/>
  <c r="N1077" i="16" s="1"/>
  <c r="P1077" i="16"/>
  <c r="Q1077" i="16"/>
  <c r="R1077" i="16"/>
  <c r="T1077" i="16"/>
  <c r="L1078" i="16"/>
  <c r="C1078" i="16"/>
  <c r="E1078" i="16"/>
  <c r="G1078" i="16"/>
  <c r="I1078" i="16"/>
  <c r="B1079" i="16"/>
  <c r="M1023" i="16"/>
  <c r="L1024" i="16"/>
  <c r="C1024" i="16"/>
  <c r="K1024" i="16" s="1"/>
  <c r="E1024" i="16"/>
  <c r="F1024" i="16"/>
  <c r="O1024" i="16" s="1"/>
  <c r="G1024" i="16"/>
  <c r="I1024" i="16"/>
  <c r="B1025" i="16"/>
  <c r="P1023" i="16"/>
  <c r="Q1023" i="16"/>
  <c r="R1023" i="16"/>
  <c r="T1023" i="16"/>
  <c r="J1023" i="16"/>
  <c r="N1023" i="16" s="1"/>
  <c r="D1023" i="16"/>
  <c r="U968" i="16"/>
  <c r="S968" i="16"/>
  <c r="M969" i="16"/>
  <c r="D969" i="16"/>
  <c r="J969" i="16"/>
  <c r="N969" i="16" s="1"/>
  <c r="P969" i="16"/>
  <c r="Q969" i="16"/>
  <c r="R969" i="16"/>
  <c r="T969" i="16"/>
  <c r="L970" i="16"/>
  <c r="C970" i="16"/>
  <c r="K970" i="16" s="1"/>
  <c r="E970" i="16"/>
  <c r="F970" i="16"/>
  <c r="O970" i="16" s="1"/>
  <c r="G970" i="16"/>
  <c r="I970" i="16"/>
  <c r="B971" i="16"/>
  <c r="M915" i="16"/>
  <c r="D915" i="16"/>
  <c r="J915" i="16"/>
  <c r="N915" i="16" s="1"/>
  <c r="P915" i="16"/>
  <c r="Q915" i="16"/>
  <c r="R915" i="16"/>
  <c r="T915" i="16"/>
  <c r="L916" i="16"/>
  <c r="C916" i="16"/>
  <c r="E916" i="16"/>
  <c r="G916" i="16"/>
  <c r="I916" i="16"/>
  <c r="B917" i="16"/>
  <c r="U860" i="16"/>
  <c r="S860" i="16"/>
  <c r="M861" i="16"/>
  <c r="D861" i="16"/>
  <c r="J861" i="16"/>
  <c r="N861" i="16" s="1"/>
  <c r="P861" i="16"/>
  <c r="Q861" i="16"/>
  <c r="R861" i="16"/>
  <c r="T861" i="16"/>
  <c r="L862" i="16"/>
  <c r="C862" i="16"/>
  <c r="K862" i="16" s="1"/>
  <c r="E862" i="16"/>
  <c r="F862" i="16"/>
  <c r="O862" i="16" s="1"/>
  <c r="G862" i="16"/>
  <c r="I862" i="16"/>
  <c r="B863" i="16"/>
  <c r="U806" i="16"/>
  <c r="S806" i="16"/>
  <c r="D807" i="16"/>
  <c r="J807" i="16"/>
  <c r="P807" i="16"/>
  <c r="Q807" i="16"/>
  <c r="R807" i="16"/>
  <c r="T807" i="16"/>
  <c r="L808" i="16"/>
  <c r="C808" i="16"/>
  <c r="K808" i="16" s="1"/>
  <c r="E808" i="16"/>
  <c r="F808" i="16"/>
  <c r="O808" i="16" s="1"/>
  <c r="G808" i="16"/>
  <c r="I808" i="16"/>
  <c r="B809" i="16"/>
  <c r="U752" i="16"/>
  <c r="S752"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M645" i="16"/>
  <c r="D645" i="16"/>
  <c r="J645" i="16"/>
  <c r="N645" i="16" s="1"/>
  <c r="P645" i="16"/>
  <c r="Q645" i="16"/>
  <c r="R645" i="16"/>
  <c r="T645" i="16"/>
  <c r="L646" i="16"/>
  <c r="C646" i="16"/>
  <c r="K646" i="16" s="1"/>
  <c r="E646" i="16"/>
  <c r="F646" i="16"/>
  <c r="O646" i="16" s="1"/>
  <c r="G646" i="16"/>
  <c r="I646" i="16"/>
  <c r="B647" i="16"/>
  <c r="U590" i="16"/>
  <c r="S590" i="16"/>
  <c r="M591" i="16"/>
  <c r="D591" i="16"/>
  <c r="J591" i="16"/>
  <c r="N591" i="16" s="1"/>
  <c r="P591" i="16"/>
  <c r="Q591" i="16"/>
  <c r="R591" i="16"/>
  <c r="T591" i="16"/>
  <c r="L592" i="16"/>
  <c r="C592" i="16"/>
  <c r="K592" i="16" s="1"/>
  <c r="E592" i="16"/>
  <c r="F592" i="16"/>
  <c r="O592" i="16" s="1"/>
  <c r="G592" i="16"/>
  <c r="I592" i="16"/>
  <c r="B593" i="16"/>
  <c r="U536" i="16"/>
  <c r="S536" i="16"/>
  <c r="M537" i="16"/>
  <c r="D537" i="16"/>
  <c r="J537" i="16"/>
  <c r="N537" i="16" s="1"/>
  <c r="P537" i="16"/>
  <c r="Q537" i="16"/>
  <c r="R537" i="16"/>
  <c r="T537" i="16"/>
  <c r="L538" i="16"/>
  <c r="C538" i="16"/>
  <c r="E538" i="16"/>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M375" i="16"/>
  <c r="D375" i="16"/>
  <c r="J375" i="16"/>
  <c r="N375" i="16" s="1"/>
  <c r="P375" i="16"/>
  <c r="Q375" i="16"/>
  <c r="R375" i="16"/>
  <c r="T375" i="16"/>
  <c r="L376" i="16"/>
  <c r="C376" i="16"/>
  <c r="K376" i="16" s="1"/>
  <c r="E376" i="16"/>
  <c r="F376" i="16"/>
  <c r="O376" i="16" s="1"/>
  <c r="G376" i="16"/>
  <c r="I376" i="16"/>
  <c r="B377" i="16"/>
  <c r="U320" i="16"/>
  <c r="S320" i="16"/>
  <c r="M321" i="16"/>
  <c r="D321" i="16"/>
  <c r="J321" i="16"/>
  <c r="N321" i="16" s="1"/>
  <c r="P321" i="16"/>
  <c r="Q321" i="16"/>
  <c r="R321" i="16"/>
  <c r="T321" i="16"/>
  <c r="L322" i="16"/>
  <c r="C322" i="16"/>
  <c r="E322" i="16"/>
  <c r="G322" i="16"/>
  <c r="I322" i="16"/>
  <c r="B323" i="16"/>
  <c r="U266" i="16"/>
  <c r="S266" i="16"/>
  <c r="M267" i="16"/>
  <c r="D267" i="16"/>
  <c r="J267" i="16"/>
  <c r="N267" i="16" s="1"/>
  <c r="P267" i="16"/>
  <c r="Q267" i="16"/>
  <c r="R267" i="16"/>
  <c r="T267" i="16"/>
  <c r="L268" i="16"/>
  <c r="C268" i="16"/>
  <c r="E268" i="16"/>
  <c r="G268" i="16"/>
  <c r="I268" i="16"/>
  <c r="B269" i="16"/>
  <c r="U212" i="16"/>
  <c r="S212" i="16"/>
  <c r="M213" i="16"/>
  <c r="L214" i="16"/>
  <c r="I214" i="16"/>
  <c r="C214" i="16"/>
  <c r="K214" i="16" s="1"/>
  <c r="E214" i="16"/>
  <c r="F214" i="16"/>
  <c r="O214" i="16" s="1"/>
  <c r="G214" i="16"/>
  <c r="B215" i="16"/>
  <c r="J213" i="16"/>
  <c r="N213" i="16" s="1"/>
  <c r="D213" i="16"/>
  <c r="P213" i="16"/>
  <c r="Q213" i="16"/>
  <c r="R213" i="16"/>
  <c r="T213" i="16"/>
  <c r="P159" i="16"/>
  <c r="Q159" i="16"/>
  <c r="R159" i="16"/>
  <c r="T159" i="16"/>
  <c r="L160" i="16"/>
  <c r="I160" i="16"/>
  <c r="C160" i="16"/>
  <c r="E160" i="16"/>
  <c r="G160" i="16"/>
  <c r="B161" i="16"/>
  <c r="J159" i="16"/>
  <c r="D159" i="16"/>
  <c r="M105" i="16"/>
  <c r="D105" i="16"/>
  <c r="J105" i="16"/>
  <c r="N105" i="16" s="1"/>
  <c r="P105" i="16"/>
  <c r="Q105" i="16"/>
  <c r="R105" i="16"/>
  <c r="T105" i="16"/>
  <c r="L106" i="16"/>
  <c r="C106" i="16"/>
  <c r="K106" i="16" s="1"/>
  <c r="E106" i="16"/>
  <c r="F106" i="16"/>
  <c r="O106" i="16" s="1"/>
  <c r="G106" i="16"/>
  <c r="I106" i="16"/>
  <c r="B107" i="16"/>
  <c r="C76" i="7"/>
  <c r="G76" i="7" s="1"/>
  <c r="U42" i="4"/>
  <c r="S42" i="4"/>
  <c r="D43" i="4"/>
  <c r="J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T43" i="4"/>
  <c r="V43" i="4"/>
  <c r="L44" i="4"/>
  <c r="C44" i="4"/>
  <c r="E44" i="4"/>
  <c r="G44" i="4"/>
  <c r="I44" i="4"/>
  <c r="B45" i="4"/>
  <c r="B44" i="5"/>
  <c r="AX16" i="4"/>
  <c r="B91" i="7"/>
  <c r="I91"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AW44" i="4"/>
  <c r="U4237" i="16"/>
  <c r="S4237" i="16"/>
  <c r="U4183" i="16"/>
  <c r="S4183" i="16"/>
  <c r="U4075" i="16"/>
  <c r="S4075" i="16"/>
  <c r="U3775" i="16"/>
  <c r="S3775" i="16"/>
  <c r="U3721" i="16"/>
  <c r="S3721" i="16"/>
  <c r="S3667" i="16"/>
  <c r="U3667" i="16"/>
  <c r="U3505" i="16"/>
  <c r="S3505" i="16"/>
  <c r="U2857" i="16"/>
  <c r="S2857" i="16"/>
  <c r="U2695" i="16"/>
  <c r="S2695" i="16"/>
  <c r="U2641" i="16"/>
  <c r="S2641" i="16"/>
  <c r="U2317" i="16"/>
  <c r="S2317" i="16"/>
  <c r="S2101" i="16"/>
  <c r="U2101" i="16"/>
  <c r="U2047" i="16"/>
  <c r="S2047" i="16"/>
  <c r="U1831" i="16"/>
  <c r="S1831" i="16"/>
  <c r="U1777" i="16"/>
  <c r="S1777" i="16"/>
  <c r="U1183" i="16"/>
  <c r="S1183" i="16"/>
  <c r="U967" i="16"/>
  <c r="S967" i="16"/>
  <c r="U751" i="16"/>
  <c r="S751" i="16"/>
  <c r="U481" i="16"/>
  <c r="S481" i="16"/>
  <c r="U211" i="16"/>
  <c r="S211" i="16"/>
  <c r="S103" i="16"/>
  <c r="U103" i="16"/>
  <c r="M4592" i="16"/>
  <c r="N4592" i="16"/>
  <c r="M4538" i="16"/>
  <c r="N4538" i="16"/>
  <c r="N4184" i="16"/>
  <c r="M4184" i="16"/>
  <c r="N4130" i="16"/>
  <c r="M4130" i="16"/>
  <c r="M3668" i="16"/>
  <c r="N3668" i="16"/>
  <c r="M3614" i="16"/>
  <c r="N3614" i="16"/>
  <c r="M3344" i="16"/>
  <c r="N3344" i="16"/>
  <c r="M2858" i="16"/>
  <c r="N2858" i="16"/>
  <c r="M2804" i="16"/>
  <c r="N2804" i="16"/>
  <c r="S2804" i="16" s="1"/>
  <c r="N2642" i="16"/>
  <c r="M2642" i="16"/>
  <c r="N2588" i="16"/>
  <c r="M2588" i="16"/>
  <c r="M2264" i="16"/>
  <c r="N2264" i="16"/>
  <c r="N2102" i="16"/>
  <c r="M2102" i="16"/>
  <c r="M1994" i="16"/>
  <c r="N1994" i="16"/>
  <c r="M1940" i="16"/>
  <c r="N1940" i="16"/>
  <c r="M1724" i="16"/>
  <c r="N1724" i="16"/>
  <c r="M1508" i="16"/>
  <c r="N1508" i="16"/>
  <c r="M1454" i="16"/>
  <c r="N1454" i="16"/>
  <c r="M1400" i="16"/>
  <c r="N1400" i="16"/>
  <c r="N1022" i="16"/>
  <c r="M1022" i="16"/>
  <c r="M914" i="16"/>
  <c r="N914" i="16"/>
  <c r="M644" i="16"/>
  <c r="N644" i="16"/>
  <c r="M158" i="16"/>
  <c r="N158" i="16"/>
  <c r="N104" i="16"/>
  <c r="M104" i="16"/>
  <c r="F4131" i="16"/>
  <c r="O4131" i="16" s="1"/>
  <c r="K4131" i="16"/>
  <c r="K3777" i="16"/>
  <c r="F3777" i="16"/>
  <c r="O3777" i="16" s="1"/>
  <c r="F3669" i="16"/>
  <c r="O3669" i="16" s="1"/>
  <c r="K3669" i="16"/>
  <c r="F3183" i="16"/>
  <c r="O3183" i="16" s="1"/>
  <c r="K3183" i="16"/>
  <c r="K3129" i="16"/>
  <c r="F3129" i="16"/>
  <c r="O3129" i="16" s="1"/>
  <c r="K3075" i="16"/>
  <c r="F3075" i="16"/>
  <c r="O3075" i="16" s="1"/>
  <c r="K3021" i="16"/>
  <c r="F3021" i="16"/>
  <c r="O3021" i="16" s="1"/>
  <c r="F2859" i="16"/>
  <c r="O2859" i="16" s="1"/>
  <c r="K2859" i="16"/>
  <c r="F2697" i="16"/>
  <c r="O2697" i="16" s="1"/>
  <c r="K2697" i="16"/>
  <c r="K2643" i="16"/>
  <c r="F2643" i="16"/>
  <c r="O2643" i="16" s="1"/>
  <c r="F2589" i="16"/>
  <c r="O2589" i="16" s="1"/>
  <c r="K2589" i="16"/>
  <c r="F2373" i="16"/>
  <c r="O2373" i="16" s="1"/>
  <c r="K2373" i="16"/>
  <c r="F2103" i="16"/>
  <c r="O2103" i="16" s="1"/>
  <c r="K2103" i="16"/>
  <c r="F1779" i="16"/>
  <c r="O1779" i="16" s="1"/>
  <c r="K1779" i="16"/>
  <c r="K1455" i="16"/>
  <c r="F1455" i="16"/>
  <c r="O1455" i="16" s="1"/>
  <c r="F1401" i="16"/>
  <c r="O1401" i="16" s="1"/>
  <c r="K1401" i="16"/>
  <c r="F1293" i="16"/>
  <c r="O1293" i="16" s="1"/>
  <c r="K1293" i="16"/>
  <c r="K807" i="16"/>
  <c r="F807" i="16"/>
  <c r="O807" i="16" s="1"/>
  <c r="K159" i="16"/>
  <c r="F159" i="16"/>
  <c r="O159" i="16" s="1"/>
  <c r="F42" i="5"/>
  <c r="G42" i="5"/>
  <c r="H42" i="5"/>
  <c r="F43" i="4"/>
  <c r="C43" i="5" s="1"/>
  <c r="E43" i="5" s="1"/>
  <c r="K43" i="4"/>
  <c r="D4648" i="16" l="1"/>
  <c r="F4648" i="16"/>
  <c r="O4648" i="16" s="1"/>
  <c r="K2914" i="16"/>
  <c r="F2914" i="16"/>
  <c r="O2914" i="16" s="1"/>
  <c r="K2860" i="16"/>
  <c r="F2860" i="16"/>
  <c r="O2860" i="16" s="1"/>
  <c r="K1996" i="16"/>
  <c r="F1996" i="16"/>
  <c r="O1996" i="16" s="1"/>
  <c r="K1780" i="16"/>
  <c r="F1780" i="16"/>
  <c r="O1780" i="16" s="1"/>
  <c r="K916" i="16"/>
  <c r="F916" i="16"/>
  <c r="O916" i="16" s="1"/>
  <c r="K538" i="16"/>
  <c r="F538" i="16"/>
  <c r="O538" i="16" s="1"/>
  <c r="K322" i="16"/>
  <c r="F322" i="16"/>
  <c r="O322" i="16" s="1"/>
  <c r="K268" i="16"/>
  <c r="F268" i="16"/>
  <c r="O268" i="16" s="1"/>
  <c r="K160" i="16"/>
  <c r="F160" i="16"/>
  <c r="O160" i="16" s="1"/>
  <c r="K44" i="4"/>
  <c r="F44" i="4"/>
  <c r="C44" i="5" s="1"/>
  <c r="E44" i="5" s="1"/>
  <c r="T4700" i="16"/>
  <c r="D31" i="11" s="1"/>
  <c r="S4701" i="16"/>
  <c r="T4701" i="16" s="1"/>
  <c r="D32" i="11" s="1"/>
  <c r="U4701" i="16"/>
  <c r="M4702" i="16"/>
  <c r="D4702" i="16"/>
  <c r="J4702" i="16"/>
  <c r="P4702" i="16"/>
  <c r="Q4702" i="16"/>
  <c r="R4702" i="16"/>
  <c r="L4703" i="16"/>
  <c r="C4703" i="16"/>
  <c r="K4703" i="16" s="1"/>
  <c r="E4703" i="16"/>
  <c r="F4703" i="16"/>
  <c r="G4703" i="16"/>
  <c r="I4703" i="16"/>
  <c r="B4704" i="16"/>
  <c r="P4648" i="16"/>
  <c r="Q4648" i="16"/>
  <c r="R4648" i="16"/>
  <c r="C4649" i="16"/>
  <c r="D4649" i="16" s="1"/>
  <c r="E4649" i="16"/>
  <c r="F4649" i="16"/>
  <c r="O4649" i="16" s="1"/>
  <c r="G4649" i="16"/>
  <c r="B4650" i="16"/>
  <c r="D4594" i="16"/>
  <c r="M4594" i="16" s="1"/>
  <c r="J4594" i="16"/>
  <c r="P4594" i="16"/>
  <c r="Q4594" i="16"/>
  <c r="R4594" i="16"/>
  <c r="L4595" i="16"/>
  <c r="C4595" i="16"/>
  <c r="K4595" i="16" s="1"/>
  <c r="E4595" i="16"/>
  <c r="F4595" i="16"/>
  <c r="G4595" i="16"/>
  <c r="I4595" i="16"/>
  <c r="B4596" i="16"/>
  <c r="C4541" i="16"/>
  <c r="E4541" i="16"/>
  <c r="F4541" i="16"/>
  <c r="G4541" i="16"/>
  <c r="K4541" i="16"/>
  <c r="I4541" i="16"/>
  <c r="L4541" i="16"/>
  <c r="B4542" i="16"/>
  <c r="D4540" i="16"/>
  <c r="J4540" i="16"/>
  <c r="P4540" i="16"/>
  <c r="Q4540" i="16"/>
  <c r="R4540" i="16"/>
  <c r="U4239" i="16"/>
  <c r="S4239" i="16"/>
  <c r="D4240" i="16"/>
  <c r="J4240" i="16"/>
  <c r="P4240" i="16"/>
  <c r="Q4240" i="16"/>
  <c r="R4240" i="16"/>
  <c r="T4240" i="16"/>
  <c r="L4241" i="16"/>
  <c r="C4241" i="16"/>
  <c r="E4241" i="16"/>
  <c r="G4241" i="16"/>
  <c r="I4241" i="16"/>
  <c r="B4242" i="16"/>
  <c r="U4185" i="16"/>
  <c r="S4185" i="16"/>
  <c r="C4187" i="16"/>
  <c r="E4187" i="16"/>
  <c r="G4187" i="16"/>
  <c r="I4187" i="16"/>
  <c r="L4187" i="16"/>
  <c r="B4188" i="16"/>
  <c r="D4186" i="16"/>
  <c r="J4186" i="16"/>
  <c r="Q4186" i="16"/>
  <c r="P4186" i="16"/>
  <c r="R4186" i="16"/>
  <c r="T4186" i="16"/>
  <c r="D4132" i="16"/>
  <c r="J4132" i="16"/>
  <c r="N4132" i="16" s="1"/>
  <c r="P4132" i="16"/>
  <c r="Q4132" i="16"/>
  <c r="R4132" i="16"/>
  <c r="T4132" i="16"/>
  <c r="M4132" i="16"/>
  <c r="I4133" i="16"/>
  <c r="C4133" i="16"/>
  <c r="E4133" i="16"/>
  <c r="G4133" i="16"/>
  <c r="L4133" i="16"/>
  <c r="B4134" i="16"/>
  <c r="U4077" i="16"/>
  <c r="S4077" i="16"/>
  <c r="D4078" i="16"/>
  <c r="M4078" i="16" s="1"/>
  <c r="J4078" i="16"/>
  <c r="P4078" i="16"/>
  <c r="Q4078" i="16"/>
  <c r="R4078" i="16"/>
  <c r="T4078" i="16"/>
  <c r="L4079" i="16"/>
  <c r="C4079" i="16"/>
  <c r="K4079" i="16" s="1"/>
  <c r="E4079" i="16"/>
  <c r="F4079" i="16"/>
  <c r="O4079" i="16" s="1"/>
  <c r="G4079" i="16"/>
  <c r="I4079" i="16"/>
  <c r="B4080" i="16"/>
  <c r="M3778" i="16"/>
  <c r="D3778" i="16"/>
  <c r="J3778" i="16"/>
  <c r="N3778" i="16" s="1"/>
  <c r="P3778" i="16"/>
  <c r="Q3778" i="16"/>
  <c r="R3778" i="16"/>
  <c r="T3778" i="16"/>
  <c r="L3779" i="16"/>
  <c r="C3779" i="16"/>
  <c r="K3779" i="16" s="1"/>
  <c r="E3779" i="16"/>
  <c r="F3779" i="16"/>
  <c r="O3779" i="16" s="1"/>
  <c r="G3779" i="16"/>
  <c r="I3779" i="16"/>
  <c r="B3780" i="16"/>
  <c r="U3723" i="16"/>
  <c r="S3723" i="16"/>
  <c r="M3724" i="16"/>
  <c r="D3724" i="16"/>
  <c r="J3724" i="16"/>
  <c r="N3724" i="16" s="1"/>
  <c r="P3724" i="16"/>
  <c r="Q3724" i="16"/>
  <c r="R3724" i="16"/>
  <c r="T3724" i="16"/>
  <c r="L3725" i="16"/>
  <c r="C3725" i="16"/>
  <c r="K3725" i="16" s="1"/>
  <c r="E3725" i="16"/>
  <c r="F3725" i="16"/>
  <c r="O3725" i="16" s="1"/>
  <c r="G3725" i="16"/>
  <c r="I3725" i="16"/>
  <c r="B3726" i="16"/>
  <c r="P3670" i="16"/>
  <c r="Q3670" i="16"/>
  <c r="R3670" i="16"/>
  <c r="T3670" i="16"/>
  <c r="L3671" i="16"/>
  <c r="G3671" i="16"/>
  <c r="C3671" i="16"/>
  <c r="E3671" i="16"/>
  <c r="I3671" i="16"/>
  <c r="B3672" i="16"/>
  <c r="D3670" i="16"/>
  <c r="J3670"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M3508" i="16"/>
  <c r="D3508" i="16"/>
  <c r="J3508" i="16"/>
  <c r="N3508" i="16" s="1"/>
  <c r="P3508" i="16"/>
  <c r="Q3508" i="16"/>
  <c r="R3508" i="16"/>
  <c r="T3508" i="16"/>
  <c r="L3509" i="16"/>
  <c r="C3509" i="16"/>
  <c r="E3509" i="16"/>
  <c r="G3509" i="16"/>
  <c r="I3509" i="16"/>
  <c r="B3510" i="16"/>
  <c r="S3453" i="16"/>
  <c r="U3453" i="16"/>
  <c r="M3454" i="16"/>
  <c r="D3454" i="16"/>
  <c r="J3454" i="16"/>
  <c r="N3454" i="16" s="1"/>
  <c r="P3454" i="16"/>
  <c r="Q3454" i="16"/>
  <c r="R3454" i="16"/>
  <c r="T3454" i="16"/>
  <c r="L3455" i="16"/>
  <c r="C3455" i="16"/>
  <c r="K3455" i="16" s="1"/>
  <c r="E3455" i="16"/>
  <c r="F3455" i="16"/>
  <c r="O3455" i="16" s="1"/>
  <c r="G3455" i="16"/>
  <c r="B3456" i="16"/>
  <c r="I3455" i="16"/>
  <c r="U3399" i="16"/>
  <c r="S3399" i="16"/>
  <c r="D3400" i="16"/>
  <c r="J3400" i="16"/>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M3292" i="16"/>
  <c r="D3292" i="16"/>
  <c r="J3292" i="16"/>
  <c r="N3292" i="16" s="1"/>
  <c r="P3292" i="16"/>
  <c r="Q3292" i="16"/>
  <c r="R3292" i="16"/>
  <c r="T3292" i="16"/>
  <c r="L3293" i="16"/>
  <c r="C3293" i="16"/>
  <c r="K3293" i="16" s="1"/>
  <c r="E3293" i="16"/>
  <c r="F3293" i="16"/>
  <c r="O3293" i="16" s="1"/>
  <c r="G3293" i="16"/>
  <c r="I3293" i="16"/>
  <c r="B3294" i="16"/>
  <c r="S3237" i="16"/>
  <c r="U3237" i="16"/>
  <c r="M3238" i="16"/>
  <c r="D3238" i="16"/>
  <c r="J3238" i="16"/>
  <c r="N3238" i="16" s="1"/>
  <c r="P3238" i="16"/>
  <c r="Q3238" i="16"/>
  <c r="R3238" i="16"/>
  <c r="T3238" i="16"/>
  <c r="L3239" i="16"/>
  <c r="C3239" i="16"/>
  <c r="K3239" i="16" s="1"/>
  <c r="E3239" i="16"/>
  <c r="F3239" i="16"/>
  <c r="O3239" i="16" s="1"/>
  <c r="G3239" i="16"/>
  <c r="I3239" i="16"/>
  <c r="B3240" i="16"/>
  <c r="M3184" i="16"/>
  <c r="D3184" i="16"/>
  <c r="J3184" i="16"/>
  <c r="N3184" i="16" s="1"/>
  <c r="P3184" i="16"/>
  <c r="Q3184" i="16"/>
  <c r="R3184" i="16"/>
  <c r="T3184" i="16"/>
  <c r="L3185" i="16"/>
  <c r="C3185" i="16"/>
  <c r="E3185" i="16"/>
  <c r="G3185" i="16"/>
  <c r="I3185" i="16"/>
  <c r="B3186" i="16"/>
  <c r="D3130" i="16"/>
  <c r="J3130" i="16"/>
  <c r="P3130" i="16"/>
  <c r="Q3130" i="16"/>
  <c r="R3130" i="16"/>
  <c r="T3130" i="16"/>
  <c r="L3131" i="16"/>
  <c r="C3131" i="16"/>
  <c r="K3131" i="16" s="1"/>
  <c r="E3131" i="16"/>
  <c r="F3131" i="16"/>
  <c r="O3131" i="16" s="1"/>
  <c r="G3131" i="16"/>
  <c r="I3131" i="16"/>
  <c r="B3132" i="16"/>
  <c r="P3076" i="16"/>
  <c r="Q3076" i="16"/>
  <c r="R3076" i="16"/>
  <c r="T3076" i="16"/>
  <c r="L3077" i="16"/>
  <c r="E3077" i="16"/>
  <c r="C3077" i="16"/>
  <c r="G3077" i="16"/>
  <c r="B3078" i="16"/>
  <c r="I3077" i="16"/>
  <c r="D3076" i="16"/>
  <c r="J3076" i="16"/>
  <c r="P3022" i="16"/>
  <c r="Q3022" i="16"/>
  <c r="R3022" i="16"/>
  <c r="T3022" i="16"/>
  <c r="L3023" i="16"/>
  <c r="B3024" i="16"/>
  <c r="I3023" i="16"/>
  <c r="C3023" i="16"/>
  <c r="E3023" i="16"/>
  <c r="G3023" i="16"/>
  <c r="D3022" i="16"/>
  <c r="J3022" i="16"/>
  <c r="U2967" i="16"/>
  <c r="S2967" i="16"/>
  <c r="D2968" i="16"/>
  <c r="J2968" i="16"/>
  <c r="P2968" i="16"/>
  <c r="Q2968" i="16"/>
  <c r="R2968" i="16"/>
  <c r="T2968" i="16"/>
  <c r="L2969" i="16"/>
  <c r="C2969" i="16"/>
  <c r="K2969" i="16" s="1"/>
  <c r="E2969" i="16"/>
  <c r="F2969" i="16"/>
  <c r="O2969" i="16" s="1"/>
  <c r="G2969" i="16"/>
  <c r="I2969" i="16"/>
  <c r="B2970" i="16"/>
  <c r="U2913" i="16"/>
  <c r="S2913" i="16"/>
  <c r="M2914" i="16"/>
  <c r="D2914" i="16"/>
  <c r="J2914" i="16"/>
  <c r="N2914" i="16" s="1"/>
  <c r="P2914" i="16"/>
  <c r="Q2914" i="16"/>
  <c r="R2914" i="16"/>
  <c r="T2914" i="16"/>
  <c r="L2915" i="16"/>
  <c r="C2915" i="16"/>
  <c r="E2915" i="16"/>
  <c r="G2915" i="16"/>
  <c r="I2915" i="16"/>
  <c r="B2916" i="16"/>
  <c r="M2860" i="16"/>
  <c r="P2860" i="16"/>
  <c r="Q2860" i="16"/>
  <c r="R2860" i="16"/>
  <c r="T2860" i="16"/>
  <c r="L2861" i="16"/>
  <c r="B2862" i="16"/>
  <c r="E2861" i="16"/>
  <c r="I2861" i="16"/>
  <c r="C2861" i="16"/>
  <c r="G2861" i="16"/>
  <c r="J2860" i="16"/>
  <c r="N2860" i="16" s="1"/>
  <c r="D2860" i="16"/>
  <c r="M2806" i="16"/>
  <c r="P2806" i="16"/>
  <c r="Q2806" i="16"/>
  <c r="R2806" i="16"/>
  <c r="T2806" i="16"/>
  <c r="U2806" i="16" s="1"/>
  <c r="D2806" i="16"/>
  <c r="J2806" i="16"/>
  <c r="N2806" i="16" s="1"/>
  <c r="S2806" i="16" s="1"/>
  <c r="L2807" i="16"/>
  <c r="I2807" i="16"/>
  <c r="E2807" i="16"/>
  <c r="B2808" i="16"/>
  <c r="C2807" i="16"/>
  <c r="G2807" i="16"/>
  <c r="U2751" i="16"/>
  <c r="S2751" i="16"/>
  <c r="M2752" i="16"/>
  <c r="D2752" i="16"/>
  <c r="J2752" i="16"/>
  <c r="N2752" i="16" s="1"/>
  <c r="P2752" i="16"/>
  <c r="Q2752" i="16"/>
  <c r="R2752" i="16"/>
  <c r="T2752" i="16"/>
  <c r="L2753" i="16"/>
  <c r="C2753" i="16"/>
  <c r="K2753" i="16" s="1"/>
  <c r="E2753" i="16"/>
  <c r="F2753" i="16"/>
  <c r="O2753" i="16" s="1"/>
  <c r="G2753" i="16"/>
  <c r="I2753" i="16"/>
  <c r="B2754" i="16"/>
  <c r="P2698" i="16"/>
  <c r="Q2698" i="16"/>
  <c r="R2698" i="16"/>
  <c r="T2698" i="16"/>
  <c r="L2699" i="16"/>
  <c r="B2700" i="16"/>
  <c r="G2699" i="16"/>
  <c r="E2699" i="16"/>
  <c r="I2699" i="16"/>
  <c r="C2699" i="16"/>
  <c r="K2699" i="16" s="1"/>
  <c r="F2699" i="16"/>
  <c r="O2699" i="16" s="1"/>
  <c r="D2698" i="16"/>
  <c r="J2698" i="16"/>
  <c r="L2645" i="16"/>
  <c r="C2645" i="16"/>
  <c r="G2645" i="16"/>
  <c r="E2645" i="16"/>
  <c r="I2645" i="16"/>
  <c r="B2646" i="16"/>
  <c r="P2644" i="16"/>
  <c r="R2644" i="16"/>
  <c r="Q2644" i="16"/>
  <c r="T2644" i="16"/>
  <c r="D2644" i="16"/>
  <c r="J2644" i="16"/>
  <c r="N2590" i="16"/>
  <c r="M2590" i="16"/>
  <c r="P2590" i="16"/>
  <c r="Q2590" i="16"/>
  <c r="R2590" i="16"/>
  <c r="T2590" i="16"/>
  <c r="L2591" i="16"/>
  <c r="G2591" i="16"/>
  <c r="B2592" i="16"/>
  <c r="C2591" i="16"/>
  <c r="K2591" i="16" s="1"/>
  <c r="F2591" i="16"/>
  <c r="O2591" i="16" s="1"/>
  <c r="I2591" i="16"/>
  <c r="E2591" i="16"/>
  <c r="D2590" i="16"/>
  <c r="J2590"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D2428" i="16"/>
  <c r="J2428" i="16"/>
  <c r="P2428" i="16"/>
  <c r="Q2428" i="16"/>
  <c r="R2428" i="16"/>
  <c r="T2428" i="16"/>
  <c r="L2429" i="16"/>
  <c r="C2429" i="16"/>
  <c r="E2429" i="16"/>
  <c r="G2429" i="16"/>
  <c r="I2429" i="16"/>
  <c r="B2430" i="16"/>
  <c r="M2374" i="16"/>
  <c r="D2374" i="16"/>
  <c r="J2374" i="16"/>
  <c r="N2374" i="16" s="1"/>
  <c r="P2374" i="16"/>
  <c r="Q2374" i="16"/>
  <c r="R2374" i="16"/>
  <c r="T2374" i="16"/>
  <c r="L2375" i="16"/>
  <c r="C2375" i="16"/>
  <c r="E2375" i="16"/>
  <c r="G2375" i="16"/>
  <c r="I2375" i="16"/>
  <c r="B2376" i="16"/>
  <c r="U2319" i="16"/>
  <c r="S2319"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U2157" i="16"/>
  <c r="S2157" i="16"/>
  <c r="D2158" i="16"/>
  <c r="J2158" i="16"/>
  <c r="P2158" i="16"/>
  <c r="Q2158" i="16"/>
  <c r="R2158" i="16"/>
  <c r="T2158" i="16"/>
  <c r="L2159" i="16"/>
  <c r="C2159" i="16"/>
  <c r="E2159" i="16"/>
  <c r="G2159" i="16"/>
  <c r="I2159" i="16"/>
  <c r="B2160" i="16"/>
  <c r="L2105" i="16"/>
  <c r="E2105" i="16"/>
  <c r="I2105" i="16"/>
  <c r="B2106" i="16"/>
  <c r="G2105" i="16"/>
  <c r="C2105" i="16"/>
  <c r="P2104" i="16"/>
  <c r="Q2104" i="16"/>
  <c r="R2104" i="16"/>
  <c r="T2104" i="16"/>
  <c r="D2104" i="16"/>
  <c r="J2104" i="16"/>
  <c r="U2049" i="16"/>
  <c r="S2049" i="16"/>
  <c r="M2050" i="16"/>
  <c r="D2050" i="16"/>
  <c r="J2050" i="16"/>
  <c r="N2050" i="16" s="1"/>
  <c r="P2050" i="16"/>
  <c r="Q2050" i="16"/>
  <c r="R2050" i="16"/>
  <c r="T2050" i="16"/>
  <c r="L2051" i="16"/>
  <c r="C2051" i="16"/>
  <c r="E2051" i="16"/>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U1941" i="16"/>
  <c r="S1941" i="16"/>
  <c r="D1942" i="16"/>
  <c r="J1942" i="16"/>
  <c r="P1942" i="16"/>
  <c r="Q1942" i="16"/>
  <c r="R1942" i="16"/>
  <c r="T1942" i="16"/>
  <c r="L1943" i="16"/>
  <c r="C1943" i="16"/>
  <c r="E1943" i="16"/>
  <c r="G1943" i="16"/>
  <c r="I1943" i="16"/>
  <c r="B1944" i="16"/>
  <c r="S1887" i="16"/>
  <c r="U1887" i="16"/>
  <c r="D1888" i="16"/>
  <c r="J1888" i="16"/>
  <c r="P1888" i="16"/>
  <c r="Q1888" i="16"/>
  <c r="R1888" i="16"/>
  <c r="T1888" i="16"/>
  <c r="L1889" i="16"/>
  <c r="C1889" i="16"/>
  <c r="E1889" i="16"/>
  <c r="G1889" i="16"/>
  <c r="I1889" i="16"/>
  <c r="B1890" i="16"/>
  <c r="U1833" i="16"/>
  <c r="S1833" i="16"/>
  <c r="D1834" i="16"/>
  <c r="J1834" i="16"/>
  <c r="P1834" i="16"/>
  <c r="Q1834" i="16"/>
  <c r="R1834" i="16"/>
  <c r="T1834" i="16"/>
  <c r="L1835" i="16"/>
  <c r="C1835" i="16"/>
  <c r="E1835" i="16"/>
  <c r="G1835" i="16"/>
  <c r="I1835" i="16"/>
  <c r="B1836" i="16"/>
  <c r="M1780" i="16"/>
  <c r="D1780" i="16"/>
  <c r="J1780" i="16"/>
  <c r="N1780" i="16" s="1"/>
  <c r="P1780" i="16"/>
  <c r="Q1780" i="16"/>
  <c r="R1780" i="16"/>
  <c r="T1780" i="16"/>
  <c r="L1781" i="16"/>
  <c r="C1781" i="16"/>
  <c r="E1781" i="16"/>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S1671" i="16"/>
  <c r="U1671" i="16"/>
  <c r="D1672" i="16"/>
  <c r="J1672" i="16"/>
  <c r="P1672" i="16"/>
  <c r="Q1672" i="16"/>
  <c r="R1672" i="16"/>
  <c r="T1672" i="16"/>
  <c r="L1673" i="16"/>
  <c r="C1673" i="16"/>
  <c r="E1673" i="16"/>
  <c r="G1673" i="16"/>
  <c r="I1673" i="16"/>
  <c r="B1674" i="16"/>
  <c r="U1617" i="16"/>
  <c r="S1617" i="16"/>
  <c r="D1618" i="16"/>
  <c r="J1618" i="16"/>
  <c r="P1618" i="16"/>
  <c r="Q1618" i="16"/>
  <c r="R1618" i="16"/>
  <c r="T1618" i="16"/>
  <c r="L1619" i="16"/>
  <c r="C1619" i="16"/>
  <c r="E1619" i="16"/>
  <c r="G1619" i="16"/>
  <c r="I1619" i="16"/>
  <c r="B1620" i="16"/>
  <c r="U1563" i="16"/>
  <c r="S1563" i="16"/>
  <c r="D1564" i="16"/>
  <c r="J1564" i="16"/>
  <c r="P1564" i="16"/>
  <c r="Q1564" i="16"/>
  <c r="R1564" i="16"/>
  <c r="T1564" i="16"/>
  <c r="L1565" i="16"/>
  <c r="C1565" i="16"/>
  <c r="E1565" i="16"/>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M1456" i="16"/>
  <c r="D1456" i="16"/>
  <c r="J1456" i="16"/>
  <c r="N1456" i="16" s="1"/>
  <c r="P1456" i="16"/>
  <c r="Q1456" i="16"/>
  <c r="R1456" i="16"/>
  <c r="T1456" i="16"/>
  <c r="L1457" i="16"/>
  <c r="E1457" i="16"/>
  <c r="G1457" i="16"/>
  <c r="I1457" i="16"/>
  <c r="B1458" i="16"/>
  <c r="C1457" i="16"/>
  <c r="K1457" i="16" s="1"/>
  <c r="F1457" i="16"/>
  <c r="O1457" i="16" s="1"/>
  <c r="D1402" i="16"/>
  <c r="J1402" i="16"/>
  <c r="L1403" i="16"/>
  <c r="E1403" i="16"/>
  <c r="B1404" i="16"/>
  <c r="I1403" i="16"/>
  <c r="C1403" i="16"/>
  <c r="G1403" i="16"/>
  <c r="P1402" i="16"/>
  <c r="Q1402" i="16"/>
  <c r="R1402" i="16"/>
  <c r="T1402" i="16"/>
  <c r="U1347" i="16"/>
  <c r="S1347" i="16"/>
  <c r="D1348" i="16"/>
  <c r="J1348" i="16"/>
  <c r="L1349" i="16"/>
  <c r="B1350" i="16"/>
  <c r="E1349" i="16"/>
  <c r="I1349" i="16"/>
  <c r="G1349" i="16"/>
  <c r="C1349" i="16"/>
  <c r="Q1348" i="16"/>
  <c r="P1348" i="16"/>
  <c r="R1348" i="16"/>
  <c r="T1348" i="16"/>
  <c r="M1294" i="16"/>
  <c r="L1295" i="16"/>
  <c r="G1295" i="16"/>
  <c r="E1295" i="16"/>
  <c r="B1296" i="16"/>
  <c r="I1295" i="16"/>
  <c r="C1295" i="16"/>
  <c r="D1294" i="16"/>
  <c r="J1294" i="16"/>
  <c r="N1294" i="16" s="1"/>
  <c r="P1294" i="16"/>
  <c r="Q1294" i="16"/>
  <c r="R1294" i="16"/>
  <c r="T1294" i="16"/>
  <c r="G1241" i="16"/>
  <c r="B1242" i="16"/>
  <c r="I1241" i="16"/>
  <c r="C1241" i="16"/>
  <c r="E1241" i="16"/>
  <c r="L1241" i="16"/>
  <c r="K1241" i="16"/>
  <c r="F1241" i="16"/>
  <c r="O1241" i="16" s="1"/>
  <c r="P1240" i="16"/>
  <c r="Q1240" i="16"/>
  <c r="R1240" i="16"/>
  <c r="T1240" i="16"/>
  <c r="D1240" i="16"/>
  <c r="J1240" i="16"/>
  <c r="N1240" i="16"/>
  <c r="M1240" i="16"/>
  <c r="S1239" i="16"/>
  <c r="U1239" i="16"/>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D1132" i="16"/>
  <c r="J1132" i="16"/>
  <c r="P1132" i="16"/>
  <c r="Q1132" i="16"/>
  <c r="R1132" i="16"/>
  <c r="T1132" i="16"/>
  <c r="L1133" i="16"/>
  <c r="C1133" i="16"/>
  <c r="E1133" i="16"/>
  <c r="G1133" i="16"/>
  <c r="I1133" i="16"/>
  <c r="B1134" i="16"/>
  <c r="U1077" i="16"/>
  <c r="S1077" i="16"/>
  <c r="D1078" i="16"/>
  <c r="J1078" i="16"/>
  <c r="P1078" i="16"/>
  <c r="Q1078" i="16"/>
  <c r="R1078" i="16"/>
  <c r="T1078" i="16"/>
  <c r="L1079" i="16"/>
  <c r="C1079" i="16"/>
  <c r="K1079" i="16" s="1"/>
  <c r="E1079" i="16"/>
  <c r="F1079" i="16"/>
  <c r="O1079" i="16" s="1"/>
  <c r="G1079" i="16"/>
  <c r="I1079" i="16"/>
  <c r="B1080" i="16"/>
  <c r="U1023" i="16"/>
  <c r="S1023" i="16"/>
  <c r="M1024" i="16"/>
  <c r="D1024" i="16"/>
  <c r="J1024" i="16"/>
  <c r="N1024" i="16" s="1"/>
  <c r="P1024" i="16"/>
  <c r="Q1024" i="16"/>
  <c r="R1024" i="16"/>
  <c r="T1024" i="16"/>
  <c r="L1025" i="16"/>
  <c r="C1025" i="16"/>
  <c r="K1025" i="16" s="1"/>
  <c r="E1025" i="16"/>
  <c r="F1025" i="16"/>
  <c r="O1025" i="16" s="1"/>
  <c r="G1025" i="16"/>
  <c r="I1025" i="16"/>
  <c r="B1026" i="16"/>
  <c r="U969" i="16"/>
  <c r="S969" i="16"/>
  <c r="M970" i="16"/>
  <c r="D970" i="16"/>
  <c r="J970" i="16"/>
  <c r="N970" i="16" s="1"/>
  <c r="P970" i="16"/>
  <c r="Q970" i="16"/>
  <c r="R970" i="16"/>
  <c r="T970" i="16"/>
  <c r="L971" i="16"/>
  <c r="C971" i="16"/>
  <c r="K971" i="16" s="1"/>
  <c r="E971" i="16"/>
  <c r="F971" i="16"/>
  <c r="O971" i="16" s="1"/>
  <c r="G971" i="16"/>
  <c r="I971" i="16"/>
  <c r="B972" i="16"/>
  <c r="U915" i="16"/>
  <c r="S915" i="16"/>
  <c r="M916" i="16"/>
  <c r="D916" i="16"/>
  <c r="J916" i="16"/>
  <c r="N916" i="16" s="1"/>
  <c r="P916" i="16"/>
  <c r="Q916" i="16"/>
  <c r="R916" i="16"/>
  <c r="T916" i="16"/>
  <c r="L917" i="16"/>
  <c r="C917" i="16"/>
  <c r="K917" i="16" s="1"/>
  <c r="E917" i="16"/>
  <c r="F917" i="16"/>
  <c r="O917" i="16" s="1"/>
  <c r="G917" i="16"/>
  <c r="I917" i="16"/>
  <c r="B918" i="16"/>
  <c r="U861" i="16"/>
  <c r="S861" i="16"/>
  <c r="M862" i="16"/>
  <c r="D862" i="16"/>
  <c r="J862" i="16"/>
  <c r="N862" i="16" s="1"/>
  <c r="P862" i="16"/>
  <c r="Q862" i="16"/>
  <c r="R862" i="16"/>
  <c r="T862" i="16"/>
  <c r="L863" i="16"/>
  <c r="C863" i="16"/>
  <c r="K863" i="16" s="1"/>
  <c r="E863" i="16"/>
  <c r="F863" i="16"/>
  <c r="O863" i="16" s="1"/>
  <c r="G863" i="16"/>
  <c r="I863" i="16"/>
  <c r="B864" i="16"/>
  <c r="D808" i="16"/>
  <c r="M808" i="16" s="1"/>
  <c r="J808" i="16"/>
  <c r="P808" i="16"/>
  <c r="Q808" i="16"/>
  <c r="R808" i="16"/>
  <c r="T808" i="16"/>
  <c r="L809" i="16"/>
  <c r="C809" i="16"/>
  <c r="K809" i="16" s="1"/>
  <c r="E809" i="16"/>
  <c r="F809" i="16"/>
  <c r="O809" i="16" s="1"/>
  <c r="G809" i="16"/>
  <c r="I809" i="16"/>
  <c r="B810" i="16"/>
  <c r="U753" i="16"/>
  <c r="S753"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U591" i="16"/>
  <c r="S591" i="16"/>
  <c r="M592" i="16"/>
  <c r="D592" i="16"/>
  <c r="J592" i="16"/>
  <c r="N592" i="16" s="1"/>
  <c r="P592" i="16"/>
  <c r="Q592" i="16"/>
  <c r="R592" i="16"/>
  <c r="T592" i="16"/>
  <c r="L593" i="16"/>
  <c r="C593" i="16"/>
  <c r="E593" i="16"/>
  <c r="G593" i="16"/>
  <c r="I593" i="16"/>
  <c r="B594" i="16"/>
  <c r="U537" i="16"/>
  <c r="S537" i="16"/>
  <c r="M538" i="16"/>
  <c r="D538" i="16"/>
  <c r="J538" i="16"/>
  <c r="N538" i="16" s="1"/>
  <c r="P538" i="16"/>
  <c r="Q538" i="16"/>
  <c r="R538" i="16"/>
  <c r="T538" i="16"/>
  <c r="L539" i="16"/>
  <c r="C539" i="16"/>
  <c r="E539" i="16"/>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U375" i="16"/>
  <c r="S375" i="16"/>
  <c r="M376" i="16"/>
  <c r="D376" i="16"/>
  <c r="J376" i="16"/>
  <c r="N376" i="16" s="1"/>
  <c r="P376" i="16"/>
  <c r="Q376" i="16"/>
  <c r="R376" i="16"/>
  <c r="T376" i="16"/>
  <c r="L377" i="16"/>
  <c r="C377" i="16"/>
  <c r="K377" i="16" s="1"/>
  <c r="E377" i="16"/>
  <c r="F377" i="16"/>
  <c r="O377" i="16" s="1"/>
  <c r="G377" i="16"/>
  <c r="I377" i="16"/>
  <c r="B378" i="16"/>
  <c r="U321" i="16"/>
  <c r="S321" i="16"/>
  <c r="M322" i="16"/>
  <c r="D322" i="16"/>
  <c r="J322" i="16"/>
  <c r="N322" i="16" s="1"/>
  <c r="P322" i="16"/>
  <c r="Q322" i="16"/>
  <c r="R322" i="16"/>
  <c r="T322" i="16"/>
  <c r="L323" i="16"/>
  <c r="C323" i="16"/>
  <c r="E323" i="16"/>
  <c r="G323" i="16"/>
  <c r="I323" i="16"/>
  <c r="B324" i="16"/>
  <c r="U267" i="16"/>
  <c r="S267" i="16"/>
  <c r="M268" i="16"/>
  <c r="D268" i="16"/>
  <c r="J268" i="16"/>
  <c r="N268" i="16" s="1"/>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K215" i="16" s="1"/>
  <c r="E215" i="16"/>
  <c r="F215" i="16"/>
  <c r="O215" i="16" s="1"/>
  <c r="G215" i="16"/>
  <c r="I215" i="16"/>
  <c r="B216" i="16"/>
  <c r="M160" i="16"/>
  <c r="J160" i="16"/>
  <c r="N160" i="16" s="1"/>
  <c r="D160" i="16"/>
  <c r="P160" i="16"/>
  <c r="Q160" i="16"/>
  <c r="R160" i="16"/>
  <c r="T160" i="16"/>
  <c r="L161" i="16"/>
  <c r="I161" i="16"/>
  <c r="C161" i="16"/>
  <c r="E161" i="16"/>
  <c r="G161" i="16"/>
  <c r="B162" i="16"/>
  <c r="S105" i="16"/>
  <c r="U105" i="16"/>
  <c r="D106" i="16"/>
  <c r="M106" i="16" s="1"/>
  <c r="J106" i="16"/>
  <c r="P106" i="16"/>
  <c r="Q106" i="16"/>
  <c r="R106" i="16"/>
  <c r="T106" i="16"/>
  <c r="L107" i="16"/>
  <c r="G107" i="16"/>
  <c r="C107" i="16"/>
  <c r="E107" i="16"/>
  <c r="B108" i="16"/>
  <c r="I107" i="16"/>
  <c r="C77" i="7"/>
  <c r="G77" i="7" s="1"/>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E45" i="4"/>
  <c r="G45" i="4"/>
  <c r="I45" i="4"/>
  <c r="B46" i="4"/>
  <c r="B45" i="5"/>
  <c r="AY16" i="4"/>
  <c r="B92" i="7"/>
  <c r="I92"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AX45" i="4"/>
  <c r="U4184" i="16"/>
  <c r="S4184" i="16"/>
  <c r="U4130" i="16"/>
  <c r="S4130" i="16"/>
  <c r="S3668" i="16"/>
  <c r="U3668" i="16"/>
  <c r="U3614" i="16"/>
  <c r="S3614" i="16"/>
  <c r="U3344" i="16"/>
  <c r="S3344" i="16"/>
  <c r="U2858" i="16"/>
  <c r="S2858" i="16"/>
  <c r="U2642" i="16"/>
  <c r="S2642" i="16"/>
  <c r="U2588" i="16"/>
  <c r="S2588" i="16"/>
  <c r="U2264" i="16"/>
  <c r="S2264" i="16"/>
  <c r="S2102" i="16"/>
  <c r="U2102" i="16"/>
  <c r="U1994" i="16"/>
  <c r="S1994" i="16"/>
  <c r="U1940" i="16"/>
  <c r="S1940" i="16"/>
  <c r="U1724" i="16"/>
  <c r="S1724" i="16"/>
  <c r="U1508" i="16"/>
  <c r="S1508" i="16"/>
  <c r="U1454" i="16"/>
  <c r="S1454" i="16"/>
  <c r="U1400" i="16"/>
  <c r="S1400" i="16"/>
  <c r="U1022" i="16"/>
  <c r="S1022" i="16"/>
  <c r="U914" i="16"/>
  <c r="S914" i="16"/>
  <c r="U644" i="16"/>
  <c r="S644" i="16"/>
  <c r="U158" i="16"/>
  <c r="S158" i="16"/>
  <c r="S104" i="16"/>
  <c r="U104" i="16"/>
  <c r="N4131" i="16"/>
  <c r="M4131" i="16"/>
  <c r="M3777" i="16"/>
  <c r="N3777" i="16"/>
  <c r="M3669" i="16"/>
  <c r="N3669" i="16"/>
  <c r="M3183" i="16"/>
  <c r="N3183" i="16"/>
  <c r="M3129" i="16"/>
  <c r="N3129" i="16"/>
  <c r="M3075" i="16"/>
  <c r="N3075" i="16"/>
  <c r="M3021" i="16"/>
  <c r="N3021" i="16"/>
  <c r="M2859" i="16"/>
  <c r="N2859" i="16"/>
  <c r="N2697" i="16"/>
  <c r="M2697" i="16"/>
  <c r="N2643" i="16"/>
  <c r="M2643" i="16"/>
  <c r="M2589" i="16"/>
  <c r="N2589" i="16"/>
  <c r="M2373" i="16"/>
  <c r="N2373" i="16"/>
  <c r="M2103" i="16"/>
  <c r="N2103" i="16"/>
  <c r="M1779" i="16"/>
  <c r="N1779" i="16"/>
  <c r="M1455" i="16"/>
  <c r="N1455" i="16"/>
  <c r="M1401" i="16"/>
  <c r="N1401" i="16"/>
  <c r="M1293" i="16"/>
  <c r="N1293" i="16"/>
  <c r="M807" i="16"/>
  <c r="N807" i="16"/>
  <c r="M159" i="16"/>
  <c r="N159" i="16"/>
  <c r="O43" i="4"/>
  <c r="E78" i="7"/>
  <c r="M43" i="4"/>
  <c r="N43" i="4"/>
  <c r="K4540" i="16"/>
  <c r="F4540" i="16"/>
  <c r="F4240" i="16"/>
  <c r="O4240" i="16" s="1"/>
  <c r="K4240" i="16"/>
  <c r="K4186" i="16"/>
  <c r="F4186" i="16"/>
  <c r="O4186" i="16" s="1"/>
  <c r="K3670" i="16"/>
  <c r="F3670" i="16"/>
  <c r="O3670" i="16" s="1"/>
  <c r="K3400" i="16"/>
  <c r="F3400" i="16"/>
  <c r="O3400" i="16" s="1"/>
  <c r="K3130" i="16"/>
  <c r="F3130" i="16"/>
  <c r="O3130" i="16" s="1"/>
  <c r="F3076" i="16"/>
  <c r="O3076" i="16" s="1"/>
  <c r="K3076" i="16"/>
  <c r="K3022" i="16"/>
  <c r="F3022" i="16"/>
  <c r="O3022" i="16" s="1"/>
  <c r="F2968" i="16"/>
  <c r="O2968" i="16" s="1"/>
  <c r="K2968" i="16"/>
  <c r="F2698" i="16"/>
  <c r="O2698" i="16" s="1"/>
  <c r="K2698" i="16"/>
  <c r="K2644" i="16"/>
  <c r="F2644" i="16"/>
  <c r="O2644" i="16" s="1"/>
  <c r="F2428" i="16"/>
  <c r="O2428" i="16" s="1"/>
  <c r="K2428" i="16"/>
  <c r="F2158" i="16"/>
  <c r="O2158" i="16" s="1"/>
  <c r="K2158" i="16"/>
  <c r="F2104" i="16"/>
  <c r="O2104" i="16" s="1"/>
  <c r="K2104" i="16"/>
  <c r="F1942" i="16"/>
  <c r="O1942" i="16" s="1"/>
  <c r="K1942" i="16"/>
  <c r="K1888" i="16"/>
  <c r="F1888" i="16"/>
  <c r="O1888" i="16" s="1"/>
  <c r="F1834" i="16"/>
  <c r="O1834" i="16" s="1"/>
  <c r="K1834" i="16"/>
  <c r="K1672" i="16"/>
  <c r="F1672" i="16"/>
  <c r="O1672" i="16" s="1"/>
  <c r="F1618" i="16"/>
  <c r="O1618" i="16" s="1"/>
  <c r="K1618" i="16"/>
  <c r="F1564" i="16"/>
  <c r="O1564" i="16" s="1"/>
  <c r="K1564" i="16"/>
  <c r="F1402" i="16"/>
  <c r="O1402" i="16" s="1"/>
  <c r="K1402" i="16"/>
  <c r="K1348" i="16"/>
  <c r="F1348" i="16"/>
  <c r="O1348" i="16" s="1"/>
  <c r="K1132" i="16"/>
  <c r="F1132" i="16"/>
  <c r="O1132" i="16" s="1"/>
  <c r="K1078" i="16"/>
  <c r="F1078" i="16"/>
  <c r="O1078" i="16" s="1"/>
  <c r="N4594" i="16" l="1"/>
  <c r="N4078" i="16"/>
  <c r="N808" i="16"/>
  <c r="N106" i="16"/>
  <c r="N44" i="4"/>
  <c r="K3671" i="16"/>
  <c r="F3671" i="16"/>
  <c r="O3671" i="16" s="1"/>
  <c r="K3077" i="16"/>
  <c r="F3077" i="16"/>
  <c r="O3077" i="16" s="1"/>
  <c r="K2051" i="16"/>
  <c r="F2051" i="16"/>
  <c r="O2051" i="16" s="1"/>
  <c r="K1781" i="16"/>
  <c r="F1781" i="16"/>
  <c r="O1781" i="16" s="1"/>
  <c r="K1565" i="16"/>
  <c r="F1565" i="16"/>
  <c r="O1565" i="16" s="1"/>
  <c r="K1133" i="16"/>
  <c r="F1133" i="16"/>
  <c r="O1133" i="16" s="1"/>
  <c r="K593" i="16"/>
  <c r="F593" i="16"/>
  <c r="O593" i="16" s="1"/>
  <c r="K45" i="4"/>
  <c r="F45" i="4"/>
  <c r="C45" i="5" s="1"/>
  <c r="E45" i="5"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M4595" i="16"/>
  <c r="D4595" i="16"/>
  <c r="J4595" i="16"/>
  <c r="N4595" i="16" s="1"/>
  <c r="P4595" i="16"/>
  <c r="Q4595" i="16"/>
  <c r="R4595" i="16"/>
  <c r="L4596" i="16"/>
  <c r="C4596" i="16"/>
  <c r="K4596" i="16" s="1"/>
  <c r="E4596" i="16"/>
  <c r="F4596" i="16"/>
  <c r="G4596" i="16"/>
  <c r="I4596" i="16"/>
  <c r="B4597" i="16"/>
  <c r="D4541" i="16"/>
  <c r="J4541" i="16"/>
  <c r="N4541" i="16" s="1"/>
  <c r="P4541" i="16"/>
  <c r="Q4541" i="16"/>
  <c r="R4541" i="16"/>
  <c r="M4541" i="16"/>
  <c r="C4542" i="16"/>
  <c r="F4542" i="16" s="1"/>
  <c r="E4542" i="16"/>
  <c r="G4542" i="16"/>
  <c r="L4542" i="16"/>
  <c r="B4543" i="16"/>
  <c r="I4542" i="16"/>
  <c r="K4542" i="16"/>
  <c r="D4241" i="16"/>
  <c r="J4241" i="16"/>
  <c r="P4241" i="16"/>
  <c r="Q4241" i="16"/>
  <c r="R4241" i="16"/>
  <c r="T4241" i="16"/>
  <c r="L4242" i="16"/>
  <c r="C4242" i="16"/>
  <c r="K4242" i="16" s="1"/>
  <c r="E4242" i="16"/>
  <c r="F4242" i="16"/>
  <c r="O4242" i="16" s="1"/>
  <c r="G4242" i="16"/>
  <c r="I4242" i="16"/>
  <c r="B4243" i="16"/>
  <c r="D4187" i="16"/>
  <c r="J4187" i="16"/>
  <c r="P4187" i="16"/>
  <c r="Q4187" i="16"/>
  <c r="R4187" i="16"/>
  <c r="T4187" i="16"/>
  <c r="E4188" i="16"/>
  <c r="G4188" i="16"/>
  <c r="I4188" i="16"/>
  <c r="L4188" i="16"/>
  <c r="B4189" i="16"/>
  <c r="C4188" i="16"/>
  <c r="U4132" i="16"/>
  <c r="S4132" i="16"/>
  <c r="D4133" i="16"/>
  <c r="J4133" i="16"/>
  <c r="P4133" i="16"/>
  <c r="Q4133" i="16"/>
  <c r="R4133" i="16"/>
  <c r="T4133" i="16"/>
  <c r="E4134" i="16"/>
  <c r="G4134" i="16"/>
  <c r="L4134" i="16"/>
  <c r="B4135" i="16"/>
  <c r="I4134" i="16"/>
  <c r="C4134" i="16"/>
  <c r="K4134" i="16" s="1"/>
  <c r="F4134" i="16"/>
  <c r="O4134" i="16" s="1"/>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U3724" i="16"/>
  <c r="S3724" i="16"/>
  <c r="M3725" i="16"/>
  <c r="D3725" i="16"/>
  <c r="J3725" i="16"/>
  <c r="N3725" i="16" s="1"/>
  <c r="P3725" i="16"/>
  <c r="Q3725" i="16"/>
  <c r="R3725" i="16"/>
  <c r="T3725" i="16"/>
  <c r="L3726" i="16"/>
  <c r="C3726" i="16"/>
  <c r="E3726" i="16"/>
  <c r="G3726" i="16"/>
  <c r="I3726" i="16"/>
  <c r="B3727" i="16"/>
  <c r="M3671" i="16"/>
  <c r="P3671" i="16"/>
  <c r="Q3671" i="16"/>
  <c r="R3671" i="16"/>
  <c r="T3671" i="16"/>
  <c r="D3671" i="16"/>
  <c r="J3671" i="16"/>
  <c r="N3671" i="16" s="1"/>
  <c r="L3672" i="16"/>
  <c r="G3672" i="16"/>
  <c r="C3672" i="16"/>
  <c r="E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U3508" i="16"/>
  <c r="S3508" i="16"/>
  <c r="D3509" i="16"/>
  <c r="J3509" i="16"/>
  <c r="P3509" i="16"/>
  <c r="Q3509" i="16"/>
  <c r="R3509" i="16"/>
  <c r="T3509" i="16"/>
  <c r="L3510" i="16"/>
  <c r="C3510" i="16"/>
  <c r="E3510" i="16"/>
  <c r="G3510" i="16"/>
  <c r="I3510" i="16"/>
  <c r="B3511" i="16"/>
  <c r="S3454" i="16"/>
  <c r="U3454" i="16"/>
  <c r="M3455" i="16"/>
  <c r="D3455" i="16"/>
  <c r="J3455" i="16"/>
  <c r="N3455" i="16" s="1"/>
  <c r="P3455" i="16"/>
  <c r="Q3455" i="16"/>
  <c r="R3455" i="16"/>
  <c r="T3455" i="16"/>
  <c r="L3456" i="16"/>
  <c r="C3456" i="16"/>
  <c r="K3456" i="16" s="1"/>
  <c r="E3456" i="16"/>
  <c r="F3456" i="16"/>
  <c r="O3456" i="16" s="1"/>
  <c r="G3456" i="16"/>
  <c r="I3456" i="16"/>
  <c r="B3457"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S3238" i="16"/>
  <c r="U3238" i="16"/>
  <c r="M3239" i="16"/>
  <c r="D3239" i="16"/>
  <c r="J3239" i="16"/>
  <c r="N3239" i="16" s="1"/>
  <c r="P3239" i="16"/>
  <c r="Q3239" i="16"/>
  <c r="R3239" i="16"/>
  <c r="T3239" i="16"/>
  <c r="L3240" i="16"/>
  <c r="C3240" i="16"/>
  <c r="K3240" i="16" s="1"/>
  <c r="E3240" i="16"/>
  <c r="F3240" i="16"/>
  <c r="O3240" i="16" s="1"/>
  <c r="G3240" i="16"/>
  <c r="I3240" i="16"/>
  <c r="B3241" i="16"/>
  <c r="U3184" i="16"/>
  <c r="S3184" i="16"/>
  <c r="D3185" i="16"/>
  <c r="J3185" i="16"/>
  <c r="P3185" i="16"/>
  <c r="Q3185" i="16"/>
  <c r="R3185" i="16"/>
  <c r="T3185" i="16"/>
  <c r="L3186" i="16"/>
  <c r="C3186" i="16"/>
  <c r="K3186" i="16" s="1"/>
  <c r="E3186" i="16"/>
  <c r="F3186" i="16"/>
  <c r="O3186" i="16" s="1"/>
  <c r="G3186" i="16"/>
  <c r="I3186" i="16"/>
  <c r="B3187" i="16"/>
  <c r="M3131" i="16"/>
  <c r="D3131" i="16"/>
  <c r="J3131" i="16"/>
  <c r="N3131" i="16" s="1"/>
  <c r="P3131" i="16"/>
  <c r="Q3131" i="16"/>
  <c r="R3131" i="16"/>
  <c r="T3131" i="16"/>
  <c r="L3132" i="16"/>
  <c r="C3132" i="16"/>
  <c r="K3132" i="16" s="1"/>
  <c r="E3132" i="16"/>
  <c r="F3132" i="16"/>
  <c r="O3132" i="16" s="1"/>
  <c r="G3132" i="16"/>
  <c r="I3132" i="16"/>
  <c r="B3133" i="16"/>
  <c r="M3077" i="16"/>
  <c r="J3077" i="16"/>
  <c r="N3077" i="16" s="1"/>
  <c r="D3077" i="16"/>
  <c r="P3077" i="16"/>
  <c r="Q3077" i="16"/>
  <c r="R3077" i="16"/>
  <c r="T3077" i="16"/>
  <c r="L3078" i="16"/>
  <c r="G3078" i="16"/>
  <c r="C3078" i="16"/>
  <c r="E3078" i="16"/>
  <c r="B3079" i="16"/>
  <c r="I3078" i="16"/>
  <c r="L3024" i="16"/>
  <c r="I3024" i="16"/>
  <c r="C3024" i="16"/>
  <c r="E3024" i="16"/>
  <c r="G3024" i="16"/>
  <c r="B3025" i="16"/>
  <c r="D3023" i="16"/>
  <c r="J3023" i="16"/>
  <c r="P3023" i="16"/>
  <c r="Q3023" i="16"/>
  <c r="R3023" i="16"/>
  <c r="T3023" i="16"/>
  <c r="M2969" i="16"/>
  <c r="D2969" i="16"/>
  <c r="J2969" i="16"/>
  <c r="N2969" i="16" s="1"/>
  <c r="P2969" i="16"/>
  <c r="Q2969" i="16"/>
  <c r="R2969" i="16"/>
  <c r="T2969" i="16"/>
  <c r="L2970" i="16"/>
  <c r="C2970" i="16"/>
  <c r="K2970" i="16" s="1"/>
  <c r="E2970" i="16"/>
  <c r="F2970" i="16"/>
  <c r="O2970" i="16" s="1"/>
  <c r="G2970" i="16"/>
  <c r="I2970" i="16"/>
  <c r="B2971" i="16"/>
  <c r="U2914" i="16"/>
  <c r="S2914" i="16"/>
  <c r="D2915" i="16"/>
  <c r="J2915" i="16"/>
  <c r="P2915" i="16"/>
  <c r="Q2915" i="16"/>
  <c r="R2915" i="16"/>
  <c r="T2915" i="16"/>
  <c r="L2916" i="16"/>
  <c r="C2916" i="16"/>
  <c r="K2916" i="16" s="1"/>
  <c r="E2916" i="16"/>
  <c r="F2916" i="16"/>
  <c r="O2916" i="16" s="1"/>
  <c r="G2916" i="16"/>
  <c r="I2916" i="16"/>
  <c r="B2917" i="16"/>
  <c r="U2860" i="16"/>
  <c r="S2860" i="16"/>
  <c r="L2862" i="16"/>
  <c r="E2862" i="16"/>
  <c r="G2862" i="16"/>
  <c r="B2863" i="16"/>
  <c r="C2862" i="16"/>
  <c r="I2862" i="16"/>
  <c r="D2861" i="16"/>
  <c r="J2861" i="16"/>
  <c r="P2861" i="16"/>
  <c r="Q2861" i="16"/>
  <c r="R2861" i="16"/>
  <c r="T2861" i="16"/>
  <c r="L2808" i="16"/>
  <c r="G2808" i="16"/>
  <c r="I2808" i="16"/>
  <c r="C2808" i="16"/>
  <c r="K2808" i="16" s="1"/>
  <c r="B2809" i="16"/>
  <c r="E2808" i="16"/>
  <c r="F2808" i="16"/>
  <c r="O2808" i="16" s="1"/>
  <c r="D2807" i="16"/>
  <c r="J2807" i="16"/>
  <c r="P2807" i="16"/>
  <c r="Q2807" i="16"/>
  <c r="R2807" i="16"/>
  <c r="T2807" i="16"/>
  <c r="U2807" i="16" s="1"/>
  <c r="U2752" i="16"/>
  <c r="S2752" i="16"/>
  <c r="M2753" i="16"/>
  <c r="D2753" i="16"/>
  <c r="J2753" i="16"/>
  <c r="N2753" i="16" s="1"/>
  <c r="P2753" i="16"/>
  <c r="Q2753" i="16"/>
  <c r="R2753" i="16"/>
  <c r="T2753" i="16"/>
  <c r="L2754" i="16"/>
  <c r="C2754" i="16"/>
  <c r="K2754" i="16" s="1"/>
  <c r="E2754" i="16"/>
  <c r="F2754" i="16"/>
  <c r="O2754" i="16" s="1"/>
  <c r="G2754" i="16"/>
  <c r="I2754" i="16"/>
  <c r="B2755" i="16"/>
  <c r="M2699" i="16"/>
  <c r="L2700" i="16"/>
  <c r="G2700" i="16"/>
  <c r="I2700" i="16"/>
  <c r="C2700" i="16"/>
  <c r="B2701" i="16"/>
  <c r="E2700" i="16"/>
  <c r="P2699" i="16"/>
  <c r="Q2699" i="16"/>
  <c r="R2699" i="16"/>
  <c r="T2699" i="16"/>
  <c r="D2699" i="16"/>
  <c r="J2699" i="16"/>
  <c r="N2699" i="16" s="1"/>
  <c r="D2645" i="16"/>
  <c r="J2645" i="16"/>
  <c r="P2645" i="16"/>
  <c r="Q2645" i="16"/>
  <c r="R2645" i="16"/>
  <c r="T2645" i="16"/>
  <c r="L2646" i="16"/>
  <c r="E2646" i="16"/>
  <c r="B2647" i="16"/>
  <c r="I2646" i="16"/>
  <c r="G2646" i="16"/>
  <c r="C2646" i="16"/>
  <c r="U2590" i="16"/>
  <c r="S2590" i="16"/>
  <c r="M2591" i="16"/>
  <c r="P2591" i="16"/>
  <c r="Q2591" i="16"/>
  <c r="R2591" i="16"/>
  <c r="T2591" i="16"/>
  <c r="L2592" i="16"/>
  <c r="I2592" i="16"/>
  <c r="B2593" i="16"/>
  <c r="E2592" i="16"/>
  <c r="C2592" i="16"/>
  <c r="G2592" i="16"/>
  <c r="J2591" i="16"/>
  <c r="N2591" i="16" s="1"/>
  <c r="D2591"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D2429" i="16"/>
  <c r="J2429" i="16"/>
  <c r="P2429" i="16"/>
  <c r="Q2429" i="16"/>
  <c r="R2429" i="16"/>
  <c r="T2429" i="16"/>
  <c r="L2430" i="16"/>
  <c r="C2430" i="16"/>
  <c r="K2430" i="16" s="1"/>
  <c r="E2430" i="16"/>
  <c r="F2430" i="16"/>
  <c r="O2430" i="16" s="1"/>
  <c r="G2430" i="16"/>
  <c r="I2430" i="16"/>
  <c r="B2431" i="16"/>
  <c r="U2374" i="16"/>
  <c r="S2374" i="16"/>
  <c r="D2375" i="16"/>
  <c r="J2375" i="16"/>
  <c r="P2375" i="16"/>
  <c r="Q2375" i="16"/>
  <c r="R2375" i="16"/>
  <c r="T2375" i="16"/>
  <c r="L2376" i="16"/>
  <c r="C2376" i="16"/>
  <c r="K2376" i="16" s="1"/>
  <c r="E2376" i="16"/>
  <c r="F2376" i="16"/>
  <c r="O2376" i="16" s="1"/>
  <c r="G2376" i="16"/>
  <c r="I2376" i="16"/>
  <c r="B2377" i="16"/>
  <c r="U2320" i="16"/>
  <c r="S2320" i="16"/>
  <c r="M2321" i="16"/>
  <c r="D2321" i="16"/>
  <c r="J2321" i="16"/>
  <c r="N2321" i="16" s="1"/>
  <c r="P2321" i="16"/>
  <c r="Q2321" i="16"/>
  <c r="R2321" i="16"/>
  <c r="T2321" i="16"/>
  <c r="L2322" i="16"/>
  <c r="C2322" i="16"/>
  <c r="E2322" i="16"/>
  <c r="G2322" i="16"/>
  <c r="I2322" i="16"/>
  <c r="B2323" i="16"/>
  <c r="U2266" i="16"/>
  <c r="S2266" i="16"/>
  <c r="M2267" i="16"/>
  <c r="D2267" i="16"/>
  <c r="J2267" i="16"/>
  <c r="N2267" i="16" s="1"/>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E2214" i="16"/>
  <c r="G2214" i="16"/>
  <c r="I2214" i="16"/>
  <c r="B2215" i="16"/>
  <c r="D2159" i="16"/>
  <c r="J2159" i="16"/>
  <c r="P2159" i="16"/>
  <c r="Q2159" i="16"/>
  <c r="R2159" i="16"/>
  <c r="T2159" i="16"/>
  <c r="L2160" i="16"/>
  <c r="C2160" i="16"/>
  <c r="K2160" i="16" s="1"/>
  <c r="E2160" i="16"/>
  <c r="F2160" i="16"/>
  <c r="O2160" i="16" s="1"/>
  <c r="G2160" i="16"/>
  <c r="I2160" i="16"/>
  <c r="B2161" i="16"/>
  <c r="L2106" i="16"/>
  <c r="I2106" i="16"/>
  <c r="B2107" i="16"/>
  <c r="E2106" i="16"/>
  <c r="C2106" i="16"/>
  <c r="K2106" i="16" s="1"/>
  <c r="F2106" i="16"/>
  <c r="O2106" i="16" s="1"/>
  <c r="G2106" i="16"/>
  <c r="P2105" i="16"/>
  <c r="Q2105" i="16"/>
  <c r="R2105" i="16"/>
  <c r="T2105" i="16"/>
  <c r="D2105" i="16"/>
  <c r="J2105" i="16"/>
  <c r="U2050" i="16"/>
  <c r="S2050" i="16"/>
  <c r="M2051" i="16"/>
  <c r="D2051" i="16"/>
  <c r="J2051" i="16"/>
  <c r="N2051" i="16" s="1"/>
  <c r="P2051" i="16"/>
  <c r="Q2051" i="16"/>
  <c r="R2051" i="16"/>
  <c r="T2051" i="16"/>
  <c r="L2052" i="16"/>
  <c r="C2052" i="16"/>
  <c r="K2052" i="16" s="1"/>
  <c r="E2052" i="16"/>
  <c r="F2052" i="16"/>
  <c r="O2052" i="16" s="1"/>
  <c r="G2052" i="16"/>
  <c r="I2052" i="16"/>
  <c r="B2053" i="16"/>
  <c r="U1996" i="16"/>
  <c r="S1996" i="16"/>
  <c r="M1997" i="16"/>
  <c r="D1997" i="16"/>
  <c r="J1997" i="16"/>
  <c r="N1997" i="16" s="1"/>
  <c r="P1997" i="16"/>
  <c r="Q1997" i="16"/>
  <c r="R1997" i="16"/>
  <c r="T1997" i="16"/>
  <c r="L1998" i="16"/>
  <c r="C1998" i="16"/>
  <c r="E1998" i="16"/>
  <c r="G1998" i="16"/>
  <c r="I1998" i="16"/>
  <c r="B1999" i="16"/>
  <c r="D1943" i="16"/>
  <c r="J1943" i="16"/>
  <c r="P1943" i="16"/>
  <c r="Q1943" i="16"/>
  <c r="R1943" i="16"/>
  <c r="T1943" i="16"/>
  <c r="L1944" i="16"/>
  <c r="C1944" i="16"/>
  <c r="E1944" i="16"/>
  <c r="G1944" i="16"/>
  <c r="I1944" i="16"/>
  <c r="B1945" i="16"/>
  <c r="D1889" i="16"/>
  <c r="J1889" i="16"/>
  <c r="P1889" i="16"/>
  <c r="Q1889" i="16"/>
  <c r="R1889" i="16"/>
  <c r="T1889" i="16"/>
  <c r="L1890" i="16"/>
  <c r="C1890" i="16"/>
  <c r="K1890" i="16" s="1"/>
  <c r="E1890" i="16"/>
  <c r="F1890" i="16"/>
  <c r="O1890" i="16" s="1"/>
  <c r="G1890" i="16"/>
  <c r="I1890" i="16"/>
  <c r="B1891" i="16"/>
  <c r="D1835" i="16"/>
  <c r="J1835" i="16"/>
  <c r="P1835" i="16"/>
  <c r="Q1835" i="16"/>
  <c r="R1835" i="16"/>
  <c r="T1835" i="16"/>
  <c r="L1836" i="16"/>
  <c r="C1836" i="16"/>
  <c r="K1836" i="16" s="1"/>
  <c r="E1836" i="16"/>
  <c r="F1836" i="16"/>
  <c r="O1836" i="16" s="1"/>
  <c r="G1836" i="16"/>
  <c r="I1836" i="16"/>
  <c r="B1837" i="16"/>
  <c r="U1780" i="16"/>
  <c r="S1780" i="16"/>
  <c r="M1781" i="16"/>
  <c r="D1781" i="16"/>
  <c r="J1781" i="16"/>
  <c r="N1781" i="16" s="1"/>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D1673" i="16"/>
  <c r="J1673" i="16"/>
  <c r="P1673" i="16"/>
  <c r="Q1673" i="16"/>
  <c r="R1673" i="16"/>
  <c r="T1673" i="16"/>
  <c r="L1674" i="16"/>
  <c r="C1674" i="16"/>
  <c r="E1674" i="16"/>
  <c r="G1674" i="16"/>
  <c r="I1674" i="16"/>
  <c r="B1675" i="16"/>
  <c r="D1619" i="16"/>
  <c r="J1619" i="16"/>
  <c r="P1619" i="16"/>
  <c r="Q1619" i="16"/>
  <c r="R1619" i="16"/>
  <c r="T1619" i="16"/>
  <c r="L1620" i="16"/>
  <c r="C1620" i="16"/>
  <c r="K1620" i="16" s="1"/>
  <c r="E1620" i="16"/>
  <c r="F1620" i="16"/>
  <c r="O1620" i="16" s="1"/>
  <c r="G1620" i="16"/>
  <c r="I1620" i="16"/>
  <c r="B1621" i="16"/>
  <c r="M1565" i="16"/>
  <c r="D1565" i="16"/>
  <c r="J1565" i="16"/>
  <c r="N1565" i="16" s="1"/>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S1456" i="16"/>
  <c r="U1456" i="16"/>
  <c r="M1457" i="16"/>
  <c r="P1457" i="16"/>
  <c r="Q1457" i="16"/>
  <c r="R1457" i="16"/>
  <c r="T1457" i="16"/>
  <c r="L1458" i="16"/>
  <c r="G1458" i="16"/>
  <c r="C1458" i="16"/>
  <c r="K1458" i="16" s="1"/>
  <c r="B1459" i="16"/>
  <c r="I1458" i="16"/>
  <c r="F1458" i="16"/>
  <c r="O1458" i="16" s="1"/>
  <c r="E1458" i="16"/>
  <c r="D1457" i="16"/>
  <c r="J1457" i="16"/>
  <c r="N1457" i="16" s="1"/>
  <c r="L1404" i="16"/>
  <c r="C1404" i="16"/>
  <c r="K1404" i="16" s="1"/>
  <c r="F1404" i="16"/>
  <c r="O1404" i="16" s="1"/>
  <c r="B1405" i="16"/>
  <c r="G1404" i="16"/>
  <c r="E1404" i="16"/>
  <c r="I1404" i="16"/>
  <c r="J1403" i="16"/>
  <c r="D1403" i="16"/>
  <c r="P1403" i="16"/>
  <c r="Q1403" i="16"/>
  <c r="R1403" i="16"/>
  <c r="T1403" i="16"/>
  <c r="L1350" i="16"/>
  <c r="E1350" i="16"/>
  <c r="G1350" i="16"/>
  <c r="C1350" i="16"/>
  <c r="B1351" i="16"/>
  <c r="I1350" i="16"/>
  <c r="P1349" i="16"/>
  <c r="Q1349" i="16"/>
  <c r="R1349" i="16"/>
  <c r="T1349" i="16"/>
  <c r="D1349" i="16"/>
  <c r="J1349" i="16"/>
  <c r="U1294" i="16"/>
  <c r="S1294" i="16"/>
  <c r="P1295" i="16"/>
  <c r="Q1295" i="16"/>
  <c r="R1295" i="16"/>
  <c r="T1295" i="16"/>
  <c r="L1296" i="16"/>
  <c r="E1296" i="16"/>
  <c r="C1296" i="16"/>
  <c r="G1296" i="16"/>
  <c r="B1297" i="16"/>
  <c r="I1296" i="16"/>
  <c r="D1295" i="16"/>
  <c r="J1295" i="16"/>
  <c r="P1241" i="16"/>
  <c r="Q1241" i="16"/>
  <c r="R1241" i="16"/>
  <c r="T1241" i="16"/>
  <c r="G1242" i="16"/>
  <c r="C1242" i="16"/>
  <c r="K1242" i="16"/>
  <c r="E1242" i="16"/>
  <c r="I1242" i="16"/>
  <c r="L1242" i="16"/>
  <c r="F1242" i="16"/>
  <c r="O1242" i="16" s="1"/>
  <c r="B1243" i="16"/>
  <c r="J1241" i="16"/>
  <c r="D1241" i="16"/>
  <c r="M1241" i="16"/>
  <c r="N1241" i="16"/>
  <c r="S1240" i="16"/>
  <c r="U1240" i="16"/>
  <c r="U1186" i="16"/>
  <c r="S1186" i="16"/>
  <c r="M1187" i="16"/>
  <c r="D1187" i="16"/>
  <c r="J1187" i="16"/>
  <c r="N1187" i="16" s="1"/>
  <c r="P1187" i="16"/>
  <c r="Q1187" i="16"/>
  <c r="R1187" i="16"/>
  <c r="T1187" i="16"/>
  <c r="L1188" i="16"/>
  <c r="C1188" i="16"/>
  <c r="K1188" i="16" s="1"/>
  <c r="E1188" i="16"/>
  <c r="F1188" i="16"/>
  <c r="O1188" i="16" s="1"/>
  <c r="G1188" i="16"/>
  <c r="I1188" i="16"/>
  <c r="B1189" i="16"/>
  <c r="M1133" i="16"/>
  <c r="D1133" i="16"/>
  <c r="J1133" i="16"/>
  <c r="N1133" i="16" s="1"/>
  <c r="P1133" i="16"/>
  <c r="Q1133" i="16"/>
  <c r="R1133" i="16"/>
  <c r="T1133" i="16"/>
  <c r="L1134" i="16"/>
  <c r="C1134" i="16"/>
  <c r="E1134" i="16"/>
  <c r="G1134" i="16"/>
  <c r="I1134" i="16"/>
  <c r="B1135" i="16"/>
  <c r="M1079" i="16"/>
  <c r="D1079" i="16"/>
  <c r="J1079" i="16"/>
  <c r="N1079" i="16" s="1"/>
  <c r="P1079" i="16"/>
  <c r="Q1079" i="16"/>
  <c r="R1079" i="16"/>
  <c r="T1079" i="16"/>
  <c r="L1080" i="16"/>
  <c r="C1080" i="16"/>
  <c r="E1080" i="16"/>
  <c r="G1080" i="16"/>
  <c r="I1080" i="16"/>
  <c r="B1081" i="16"/>
  <c r="U1024" i="16"/>
  <c r="S1024" i="16"/>
  <c r="M1025" i="16"/>
  <c r="D1025" i="16"/>
  <c r="J1025" i="16"/>
  <c r="N1025" i="16" s="1"/>
  <c r="P1025" i="16"/>
  <c r="Q1025" i="16"/>
  <c r="R1025" i="16"/>
  <c r="T1025" i="16"/>
  <c r="L1026" i="16"/>
  <c r="C1026" i="16"/>
  <c r="K1026" i="16" s="1"/>
  <c r="E1026" i="16"/>
  <c r="F1026" i="16"/>
  <c r="O1026" i="16" s="1"/>
  <c r="G1026" i="16"/>
  <c r="I1026" i="16"/>
  <c r="B1027"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K918" i="16" s="1"/>
  <c r="E918" i="16"/>
  <c r="F918" i="16"/>
  <c r="O918" i="16" s="1"/>
  <c r="G918" i="16"/>
  <c r="I918" i="16"/>
  <c r="B919" i="16"/>
  <c r="U862" i="16"/>
  <c r="S862" i="16"/>
  <c r="M863" i="16"/>
  <c r="D863" i="16"/>
  <c r="J863" i="16"/>
  <c r="N863" i="16" s="1"/>
  <c r="P863" i="16"/>
  <c r="Q863" i="16"/>
  <c r="R863" i="16"/>
  <c r="T863" i="16"/>
  <c r="L864" i="16"/>
  <c r="C864" i="16"/>
  <c r="E864" i="16"/>
  <c r="G864" i="16"/>
  <c r="I864" i="16"/>
  <c r="B865" i="16"/>
  <c r="U808" i="16"/>
  <c r="S808" i="16"/>
  <c r="M809" i="16"/>
  <c r="D809" i="16"/>
  <c r="J809" i="16"/>
  <c r="N809" i="16" s="1"/>
  <c r="P809" i="16"/>
  <c r="Q809" i="16"/>
  <c r="R809" i="16"/>
  <c r="T809" i="16"/>
  <c r="L810" i="16"/>
  <c r="C810" i="16"/>
  <c r="E810" i="16"/>
  <c r="G810" i="16"/>
  <c r="I810" i="16"/>
  <c r="B811" i="16"/>
  <c r="U754" i="16"/>
  <c r="S754"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E702" i="16"/>
  <c r="G702" i="16"/>
  <c r="I702" i="16"/>
  <c r="B703" i="16"/>
  <c r="U646" i="16"/>
  <c r="S646" i="16"/>
  <c r="M647" i="16"/>
  <c r="D647" i="16"/>
  <c r="J647" i="16"/>
  <c r="N647" i="16" s="1"/>
  <c r="P647" i="16"/>
  <c r="Q647" i="16"/>
  <c r="R647" i="16"/>
  <c r="T647" i="16"/>
  <c r="L648" i="16"/>
  <c r="C648" i="16"/>
  <c r="K648" i="16" s="1"/>
  <c r="E648" i="16"/>
  <c r="F648" i="16"/>
  <c r="O648" i="16" s="1"/>
  <c r="G648" i="16"/>
  <c r="I648" i="16"/>
  <c r="B649" i="16"/>
  <c r="U592" i="16"/>
  <c r="S592" i="16"/>
  <c r="M593" i="16"/>
  <c r="D593" i="16"/>
  <c r="J593" i="16"/>
  <c r="N593" i="16" s="1"/>
  <c r="P593" i="16"/>
  <c r="Q593" i="16"/>
  <c r="R593" i="16"/>
  <c r="T593" i="16"/>
  <c r="L594" i="16"/>
  <c r="C594" i="16"/>
  <c r="K594" i="16" s="1"/>
  <c r="E594" i="16"/>
  <c r="F594" i="16"/>
  <c r="O594" i="16" s="1"/>
  <c r="G594" i="16"/>
  <c r="I594" i="16"/>
  <c r="B595" i="16"/>
  <c r="U538" i="16"/>
  <c r="S538" i="16"/>
  <c r="D539" i="16"/>
  <c r="J539" i="16"/>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K432" i="16" s="1"/>
  <c r="E432" i="16"/>
  <c r="F432" i="16"/>
  <c r="O432" i="16" s="1"/>
  <c r="G432" i="16"/>
  <c r="I432" i="16"/>
  <c r="B433" i="16"/>
  <c r="U376" i="16"/>
  <c r="S376" i="16"/>
  <c r="M377" i="16"/>
  <c r="D377" i="16"/>
  <c r="J377" i="16"/>
  <c r="N377" i="16" s="1"/>
  <c r="P377" i="16"/>
  <c r="Q377" i="16"/>
  <c r="R377" i="16"/>
  <c r="T377" i="16"/>
  <c r="L378" i="16"/>
  <c r="C378" i="16"/>
  <c r="K378" i="16" s="1"/>
  <c r="E378" i="16"/>
  <c r="F378" i="16"/>
  <c r="O378" i="16" s="1"/>
  <c r="G378" i="16"/>
  <c r="I378" i="16"/>
  <c r="B379" i="16"/>
  <c r="U322" i="16"/>
  <c r="S322" i="16"/>
  <c r="D323" i="16"/>
  <c r="J323" i="16"/>
  <c r="P323" i="16"/>
  <c r="Q323" i="16"/>
  <c r="R323" i="16"/>
  <c r="T323" i="16"/>
  <c r="L324" i="16"/>
  <c r="C324" i="16"/>
  <c r="E324" i="16"/>
  <c r="G324" i="16"/>
  <c r="I324" i="16"/>
  <c r="B325" i="16"/>
  <c r="U268" i="16"/>
  <c r="S268" i="16"/>
  <c r="M269" i="16"/>
  <c r="D269" i="16"/>
  <c r="J269" i="16"/>
  <c r="N269" i="16" s="1"/>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I216" i="16"/>
  <c r="C216" i="16"/>
  <c r="K216" i="16" s="1"/>
  <c r="E216" i="16"/>
  <c r="F216" i="16"/>
  <c r="O216" i="16" s="1"/>
  <c r="G216" i="16"/>
  <c r="B217" i="16"/>
  <c r="U160" i="16"/>
  <c r="S160" i="16"/>
  <c r="J161" i="16"/>
  <c r="D161" i="16"/>
  <c r="P161" i="16"/>
  <c r="Q161" i="16"/>
  <c r="R161" i="16"/>
  <c r="T161" i="16"/>
  <c r="L162" i="16"/>
  <c r="G162" i="16"/>
  <c r="I162" i="16"/>
  <c r="C162" i="16"/>
  <c r="E162" i="16"/>
  <c r="B163" i="16"/>
  <c r="U106" i="16"/>
  <c r="S106" i="16"/>
  <c r="P107" i="16"/>
  <c r="Q107" i="16"/>
  <c r="R107" i="16"/>
  <c r="T107" i="16"/>
  <c r="J107" i="16"/>
  <c r="D107" i="16"/>
  <c r="L108" i="16"/>
  <c r="C108" i="16"/>
  <c r="E108" i="16"/>
  <c r="G108" i="16"/>
  <c r="B109" i="16"/>
  <c r="I108" i="16"/>
  <c r="F44" i="5"/>
  <c r="G44" i="5"/>
  <c r="H44" i="5"/>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F45" i="5" s="1"/>
  <c r="Q45" i="4"/>
  <c r="G45" i="5" s="1"/>
  <c r="R45" i="4"/>
  <c r="H45" i="5" s="1"/>
  <c r="T45" i="4"/>
  <c r="V45" i="4"/>
  <c r="L46" i="4"/>
  <c r="C46" i="4"/>
  <c r="K46" i="4" s="1"/>
  <c r="E46" i="4"/>
  <c r="F46" i="4"/>
  <c r="C46" i="5" s="1"/>
  <c r="E46" i="5" s="1"/>
  <c r="G46" i="4"/>
  <c r="AY46" i="4" s="1"/>
  <c r="I46" i="4"/>
  <c r="B47" i="4"/>
  <c r="B46" i="5"/>
  <c r="AZ16" i="4"/>
  <c r="B93" i="7"/>
  <c r="I93"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131" i="16"/>
  <c r="S4131" i="16"/>
  <c r="U3777" i="16"/>
  <c r="S3777" i="16"/>
  <c r="S3669" i="16"/>
  <c r="U3669" i="16"/>
  <c r="U3183" i="16"/>
  <c r="S3183" i="16"/>
  <c r="U3129" i="16"/>
  <c r="S3129" i="16"/>
  <c r="U3075" i="16"/>
  <c r="S3075" i="16"/>
  <c r="U3021" i="16"/>
  <c r="S3021" i="16"/>
  <c r="U2859" i="16"/>
  <c r="S2859" i="16"/>
  <c r="U2697" i="16"/>
  <c r="S2697" i="16"/>
  <c r="U2643" i="16"/>
  <c r="S2643" i="16"/>
  <c r="U2589" i="16"/>
  <c r="S2589" i="16"/>
  <c r="U2373" i="16"/>
  <c r="S2373" i="16"/>
  <c r="S2103" i="16"/>
  <c r="U2103" i="16"/>
  <c r="U1779" i="16"/>
  <c r="S1779" i="16"/>
  <c r="U1455" i="16"/>
  <c r="S1455" i="16"/>
  <c r="U1401" i="16"/>
  <c r="S1401" i="16"/>
  <c r="U1293" i="16"/>
  <c r="S1293" i="16"/>
  <c r="U807" i="16"/>
  <c r="S807" i="16"/>
  <c r="U159" i="16"/>
  <c r="S159" i="16"/>
  <c r="U43" i="4"/>
  <c r="S43" i="4"/>
  <c r="F49" i="7"/>
  <c r="M4540" i="16"/>
  <c r="N4540" i="16" s="1"/>
  <c r="M4240" i="16"/>
  <c r="N4240" i="16"/>
  <c r="M4186" i="16"/>
  <c r="N4186" i="16"/>
  <c r="M3670" i="16"/>
  <c r="N3670" i="16"/>
  <c r="M3400" i="16"/>
  <c r="N3400" i="16"/>
  <c r="M3130" i="16"/>
  <c r="N3130" i="16"/>
  <c r="N3076" i="16"/>
  <c r="M3076" i="16"/>
  <c r="M3022" i="16"/>
  <c r="N3022" i="16"/>
  <c r="M2968" i="16"/>
  <c r="N2968" i="16" s="1"/>
  <c r="M2698" i="16"/>
  <c r="N2698" i="16"/>
  <c r="N2644" i="16"/>
  <c r="M2644" i="16"/>
  <c r="M2428" i="16"/>
  <c r="N2428" i="16"/>
  <c r="M2158" i="16"/>
  <c r="N2158" i="16"/>
  <c r="M2104" i="16"/>
  <c r="N2104" i="16"/>
  <c r="M1942" i="16"/>
  <c r="N1942" i="16"/>
  <c r="M1888" i="16"/>
  <c r="N1888" i="16" s="1"/>
  <c r="M1834" i="16"/>
  <c r="N1834" i="16"/>
  <c r="M1672" i="16"/>
  <c r="N1672" i="16"/>
  <c r="M1618" i="16"/>
  <c r="N1618" i="16"/>
  <c r="M1564" i="16"/>
  <c r="N1564" i="16"/>
  <c r="M1402" i="16"/>
  <c r="N1402" i="16"/>
  <c r="M1348" i="16"/>
  <c r="N1348" i="16"/>
  <c r="M1132" i="16"/>
  <c r="N1132" i="16"/>
  <c r="M1078" i="16"/>
  <c r="N1078" i="16"/>
  <c r="G17" i="11"/>
  <c r="N4702" i="16"/>
  <c r="S4702" i="16" s="1"/>
  <c r="F4241" i="16"/>
  <c r="O4241" i="16" s="1"/>
  <c r="K4241" i="16"/>
  <c r="F4187" i="16"/>
  <c r="O4187" i="16" s="1"/>
  <c r="K4187" i="16"/>
  <c r="K4133" i="16"/>
  <c r="F4133" i="16"/>
  <c r="O4133" i="16" s="1"/>
  <c r="K3509" i="16"/>
  <c r="F3509" i="16"/>
  <c r="O3509" i="16" s="1"/>
  <c r="K3185" i="16"/>
  <c r="F3185" i="16"/>
  <c r="O3185" i="16" s="1"/>
  <c r="K3023" i="16"/>
  <c r="F3023" i="16"/>
  <c r="O3023" i="16" s="1"/>
  <c r="F2915" i="16"/>
  <c r="O2915" i="16" s="1"/>
  <c r="K2915" i="16"/>
  <c r="K2861" i="16"/>
  <c r="F2861" i="16"/>
  <c r="O2861" i="16" s="1"/>
  <c r="F2807" i="16"/>
  <c r="O2807" i="16" s="1"/>
  <c r="K2807" i="16"/>
  <c r="K2645" i="16"/>
  <c r="F2645" i="16"/>
  <c r="O2645" i="16" s="1"/>
  <c r="F2429" i="16"/>
  <c r="O2429" i="16" s="1"/>
  <c r="K2429" i="16"/>
  <c r="K2375" i="16"/>
  <c r="F2375" i="16"/>
  <c r="O2375" i="16" s="1"/>
  <c r="F2159" i="16"/>
  <c r="O2159" i="16" s="1"/>
  <c r="K2159" i="16"/>
  <c r="F2105" i="16"/>
  <c r="O2105" i="16" s="1"/>
  <c r="K2105" i="16"/>
  <c r="F1943" i="16"/>
  <c r="O1943" i="16" s="1"/>
  <c r="K1943" i="16"/>
  <c r="K1889" i="16"/>
  <c r="F1889" i="16"/>
  <c r="O1889" i="16" s="1"/>
  <c r="F1835" i="16"/>
  <c r="O1835" i="16" s="1"/>
  <c r="K1835" i="16"/>
  <c r="K1673" i="16"/>
  <c r="F1673" i="16"/>
  <c r="O1673" i="16" s="1"/>
  <c r="K1619" i="16"/>
  <c r="F1619" i="16"/>
  <c r="O1619" i="16" s="1"/>
  <c r="F1403" i="16"/>
  <c r="O1403" i="16" s="1"/>
  <c r="K1403" i="16"/>
  <c r="K1349" i="16"/>
  <c r="F1349" i="16"/>
  <c r="O1349" i="16" s="1"/>
  <c r="F1295" i="16"/>
  <c r="O1295" i="16" s="1"/>
  <c r="K1295" i="16"/>
  <c r="F539" i="16"/>
  <c r="O539" i="16" s="1"/>
  <c r="K539" i="16"/>
  <c r="K323" i="16"/>
  <c r="F323" i="16"/>
  <c r="O323" i="16" s="1"/>
  <c r="F161" i="16"/>
  <c r="O161" i="16" s="1"/>
  <c r="K161" i="16"/>
  <c r="F107" i="16"/>
  <c r="O107" i="16" s="1"/>
  <c r="K107" i="16"/>
  <c r="U4078" i="16" l="1"/>
  <c r="S4078" i="16"/>
  <c r="U44" i="4"/>
  <c r="S44" i="4"/>
  <c r="D4650" i="16"/>
  <c r="F4650" i="16"/>
  <c r="O4650" i="16" s="1"/>
  <c r="K3726" i="16"/>
  <c r="F3726" i="16"/>
  <c r="O3726" i="16" s="1"/>
  <c r="F3078" i="16"/>
  <c r="O3078" i="16" s="1"/>
  <c r="K3078" i="16"/>
  <c r="K2214" i="16"/>
  <c r="F2214" i="16"/>
  <c r="O2214" i="16" s="1"/>
  <c r="K1782" i="16"/>
  <c r="F1782" i="16"/>
  <c r="O1782" i="16" s="1"/>
  <c r="K1566" i="16"/>
  <c r="F1566" i="16"/>
  <c r="O1566" i="16" s="1"/>
  <c r="K1134" i="16"/>
  <c r="F1134" i="16"/>
  <c r="O1134" i="16" s="1"/>
  <c r="K702" i="16"/>
  <c r="F702" i="16"/>
  <c r="O702" i="16" s="1"/>
  <c r="T4702" i="16"/>
  <c r="D33" i="11" s="1"/>
  <c r="S4703" i="16"/>
  <c r="T4703" i="16" s="1"/>
  <c r="D34" i="11" s="1"/>
  <c r="U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M4596" i="16"/>
  <c r="D4596" i="16"/>
  <c r="J4596" i="16"/>
  <c r="N4596" i="16" s="1"/>
  <c r="P4596" i="16"/>
  <c r="Q4596" i="16"/>
  <c r="R4596" i="16"/>
  <c r="L4597" i="16"/>
  <c r="C4597" i="16"/>
  <c r="E4597" i="16"/>
  <c r="G4597" i="16"/>
  <c r="I4597" i="16"/>
  <c r="B4598" i="16"/>
  <c r="D4542" i="16"/>
  <c r="J4542" i="16"/>
  <c r="N4542" i="16" s="1"/>
  <c r="P4542" i="16"/>
  <c r="Q4542" i="16"/>
  <c r="R4542" i="16"/>
  <c r="C4543" i="16"/>
  <c r="F4543" i="16" s="1"/>
  <c r="E4543" i="16"/>
  <c r="G4543" i="16"/>
  <c r="K4543" i="16"/>
  <c r="B4544" i="16"/>
  <c r="I4543" i="16"/>
  <c r="L4543" i="16"/>
  <c r="M4542" i="16"/>
  <c r="M4242" i="16"/>
  <c r="D4242" i="16"/>
  <c r="J4242" i="16"/>
  <c r="N4242" i="16" s="1"/>
  <c r="P4242" i="16"/>
  <c r="Q4242" i="16"/>
  <c r="R4242" i="16"/>
  <c r="T4242" i="16"/>
  <c r="L4243" i="16"/>
  <c r="C4243" i="16"/>
  <c r="K4243" i="16" s="1"/>
  <c r="E4243" i="16"/>
  <c r="F4243" i="16"/>
  <c r="O4243" i="16" s="1"/>
  <c r="G4243" i="16"/>
  <c r="I4243" i="16"/>
  <c r="B4244" i="16"/>
  <c r="P4188" i="16"/>
  <c r="Q4188" i="16"/>
  <c r="R4188" i="16"/>
  <c r="T4188" i="16"/>
  <c r="C4189" i="16"/>
  <c r="E4189" i="16"/>
  <c r="F4189" i="16"/>
  <c r="O4189" i="16" s="1"/>
  <c r="G4189" i="16"/>
  <c r="L4189" i="16"/>
  <c r="I4189" i="16"/>
  <c r="K4189" i="16"/>
  <c r="B4190" i="16"/>
  <c r="D4188" i="16"/>
  <c r="J4188" i="16"/>
  <c r="P4134" i="16"/>
  <c r="Q4134" i="16"/>
  <c r="R4134" i="16"/>
  <c r="T4134" i="16"/>
  <c r="M4134" i="16"/>
  <c r="C4135" i="16"/>
  <c r="K4135" i="16" s="1"/>
  <c r="E4135" i="16"/>
  <c r="F4135" i="16"/>
  <c r="O4135" i="16" s="1"/>
  <c r="G4135" i="16"/>
  <c r="L4135" i="16"/>
  <c r="B4136" i="16"/>
  <c r="I4135" i="16"/>
  <c r="D4134" i="16"/>
  <c r="J4134" i="16"/>
  <c r="N4134" i="16" s="1"/>
  <c r="U4079" i="16"/>
  <c r="S4079" i="16"/>
  <c r="M4080" i="16"/>
  <c r="D4080" i="16"/>
  <c r="J4080" i="16"/>
  <c r="N4080" i="16" s="1"/>
  <c r="P4080" i="16"/>
  <c r="Q4080" i="16"/>
  <c r="R4080" i="16"/>
  <c r="T4080" i="16"/>
  <c r="L4081" i="16"/>
  <c r="C4081" i="16"/>
  <c r="E4081" i="16"/>
  <c r="G4081" i="16"/>
  <c r="I4081" i="16"/>
  <c r="B4082" i="16"/>
  <c r="U3779" i="16"/>
  <c r="S3779" i="16"/>
  <c r="M3780" i="16"/>
  <c r="D3780" i="16"/>
  <c r="J3780" i="16"/>
  <c r="N3780" i="16" s="1"/>
  <c r="P3780" i="16"/>
  <c r="Q3780" i="16"/>
  <c r="R3780" i="16"/>
  <c r="T3780" i="16"/>
  <c r="L3781" i="16"/>
  <c r="C3781" i="16"/>
  <c r="K3781" i="16" s="1"/>
  <c r="E3781" i="16"/>
  <c r="F3781" i="16"/>
  <c r="O3781" i="16" s="1"/>
  <c r="G3781" i="16"/>
  <c r="I3781" i="16"/>
  <c r="B3782" i="16"/>
  <c r="U3725" i="16"/>
  <c r="S3725" i="16"/>
  <c r="M3726" i="16"/>
  <c r="D3726" i="16"/>
  <c r="J3726" i="16"/>
  <c r="N3726" i="16" s="1"/>
  <c r="P3726" i="16"/>
  <c r="Q3726" i="16"/>
  <c r="R3726" i="16"/>
  <c r="T3726" i="16"/>
  <c r="L3727" i="16"/>
  <c r="C3727" i="16"/>
  <c r="K3727" i="16" s="1"/>
  <c r="E3727" i="16"/>
  <c r="F3727" i="16"/>
  <c r="O3727" i="16" s="1"/>
  <c r="G3727" i="16"/>
  <c r="I3727" i="16"/>
  <c r="B3728" i="16"/>
  <c r="S3671" i="16"/>
  <c r="U3671" i="16"/>
  <c r="P3672" i="16"/>
  <c r="Q3672" i="16"/>
  <c r="R3672" i="16"/>
  <c r="T3672" i="16"/>
  <c r="D3672" i="16"/>
  <c r="J3672" i="16"/>
  <c r="L3673" i="16"/>
  <c r="G3673" i="16"/>
  <c r="C3673" i="16"/>
  <c r="E3673" i="16"/>
  <c r="I3673" i="16"/>
  <c r="B3674"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E3565" i="16"/>
  <c r="G3565" i="16"/>
  <c r="I3565" i="16"/>
  <c r="B3566" i="16"/>
  <c r="D3510" i="16"/>
  <c r="J3510" i="16"/>
  <c r="P3510" i="16"/>
  <c r="Q3510" i="16"/>
  <c r="R3510" i="16"/>
  <c r="T3510" i="16"/>
  <c r="L3511" i="16"/>
  <c r="C3511" i="16"/>
  <c r="E3511" i="16"/>
  <c r="G3511" i="16"/>
  <c r="I3511" i="16"/>
  <c r="B3512" i="16"/>
  <c r="S3455" i="16"/>
  <c r="U3455" i="16"/>
  <c r="M3456" i="16"/>
  <c r="D3456" i="16"/>
  <c r="J3456" i="16"/>
  <c r="N3456" i="16" s="1"/>
  <c r="P3456" i="16"/>
  <c r="Q3456" i="16"/>
  <c r="R3456" i="16"/>
  <c r="T3456" i="16"/>
  <c r="L3457" i="16"/>
  <c r="C3457" i="16"/>
  <c r="K3457" i="16" s="1"/>
  <c r="E3457" i="16"/>
  <c r="F3457" i="16"/>
  <c r="O3457" i="16" s="1"/>
  <c r="G3457" i="16"/>
  <c r="I3457" i="16"/>
  <c r="B3458"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S3239" i="16"/>
  <c r="U3239" i="16"/>
  <c r="M3240" i="16"/>
  <c r="D3240" i="16"/>
  <c r="J3240" i="16"/>
  <c r="N3240" i="16" s="1"/>
  <c r="P3240" i="16"/>
  <c r="Q3240" i="16"/>
  <c r="R3240" i="16"/>
  <c r="T3240" i="16"/>
  <c r="L3241" i="16"/>
  <c r="C3241" i="16"/>
  <c r="K3241" i="16" s="1"/>
  <c r="E3241" i="16"/>
  <c r="F3241" i="16"/>
  <c r="O3241" i="16" s="1"/>
  <c r="G3241" i="16"/>
  <c r="I3241" i="16"/>
  <c r="B3242" i="16"/>
  <c r="M3186" i="16"/>
  <c r="D3186" i="16"/>
  <c r="J3186" i="16"/>
  <c r="N3186" i="16" s="1"/>
  <c r="P3186" i="16"/>
  <c r="Q3186" i="16"/>
  <c r="R3186" i="16"/>
  <c r="T3186" i="16"/>
  <c r="L3187" i="16"/>
  <c r="C3187" i="16"/>
  <c r="E3187" i="16"/>
  <c r="G3187" i="16"/>
  <c r="I3187" i="16"/>
  <c r="B3188" i="16"/>
  <c r="U3131" i="16"/>
  <c r="S3131" i="16"/>
  <c r="M3132" i="16"/>
  <c r="D3132" i="16"/>
  <c r="J3132" i="16"/>
  <c r="N3132" i="16" s="1"/>
  <c r="P3132" i="16"/>
  <c r="Q3132" i="16"/>
  <c r="R3132" i="16"/>
  <c r="T3132" i="16"/>
  <c r="L3133" i="16"/>
  <c r="C3133" i="16"/>
  <c r="K3133" i="16" s="1"/>
  <c r="E3133" i="16"/>
  <c r="F3133" i="16"/>
  <c r="O3133" i="16" s="1"/>
  <c r="G3133" i="16"/>
  <c r="I3133" i="16"/>
  <c r="B3134" i="16"/>
  <c r="U3077" i="16"/>
  <c r="S3077" i="16"/>
  <c r="M3078" i="16"/>
  <c r="P3078" i="16"/>
  <c r="Q3078" i="16"/>
  <c r="R3078" i="16"/>
  <c r="T3078" i="16"/>
  <c r="D3078" i="16"/>
  <c r="J3078" i="16"/>
  <c r="N3078" i="16" s="1"/>
  <c r="L3079" i="16"/>
  <c r="I3079" i="16"/>
  <c r="G3079" i="16"/>
  <c r="B3080" i="16"/>
  <c r="C3079" i="16"/>
  <c r="E3079" i="16"/>
  <c r="J3024" i="16"/>
  <c r="D3024" i="16"/>
  <c r="P3024" i="16"/>
  <c r="Q3024" i="16"/>
  <c r="R3024" i="16"/>
  <c r="T3024" i="16"/>
  <c r="L3025" i="16"/>
  <c r="E3025" i="16"/>
  <c r="G3025" i="16"/>
  <c r="B3026" i="16"/>
  <c r="C3025" i="16"/>
  <c r="K3025" i="16" s="1"/>
  <c r="F3025" i="16"/>
  <c r="O3025" i="16" s="1"/>
  <c r="I3025" i="16"/>
  <c r="U2969" i="16"/>
  <c r="S2969" i="16"/>
  <c r="M2970" i="16"/>
  <c r="D2970" i="16"/>
  <c r="J2970" i="16"/>
  <c r="N2970" i="16" s="1"/>
  <c r="P2970" i="16"/>
  <c r="Q2970" i="16"/>
  <c r="R2970" i="16"/>
  <c r="T2970" i="16"/>
  <c r="L2971" i="16"/>
  <c r="C2971" i="16"/>
  <c r="E2971" i="16"/>
  <c r="G2971" i="16"/>
  <c r="I2971" i="16"/>
  <c r="B2972" i="16"/>
  <c r="M2916" i="16"/>
  <c r="D2916" i="16"/>
  <c r="J2916" i="16"/>
  <c r="N2916" i="16" s="1"/>
  <c r="P2916" i="16"/>
  <c r="Q2916" i="16"/>
  <c r="R2916" i="16"/>
  <c r="T2916" i="16"/>
  <c r="L2917" i="16"/>
  <c r="C2917" i="16"/>
  <c r="K2917" i="16" s="1"/>
  <c r="E2917" i="16"/>
  <c r="F2917" i="16"/>
  <c r="O2917" i="16" s="1"/>
  <c r="G2917" i="16"/>
  <c r="I2917" i="16"/>
  <c r="B2918" i="16"/>
  <c r="P2862" i="16"/>
  <c r="Q2862" i="16"/>
  <c r="R2862" i="16"/>
  <c r="T2862" i="16"/>
  <c r="L2863" i="16"/>
  <c r="E2863" i="16"/>
  <c r="B2864" i="16"/>
  <c r="C2863" i="16"/>
  <c r="G2863" i="16"/>
  <c r="I2863" i="16"/>
  <c r="D2862" i="16"/>
  <c r="J2862" i="16"/>
  <c r="M2808" i="16"/>
  <c r="P2808" i="16"/>
  <c r="Q2808" i="16"/>
  <c r="R2808" i="16"/>
  <c r="T2808" i="16"/>
  <c r="U2808" i="16" s="1"/>
  <c r="D2808" i="16"/>
  <c r="J2808" i="16"/>
  <c r="N2808" i="16" s="1"/>
  <c r="S2808" i="16" s="1"/>
  <c r="L2809" i="16"/>
  <c r="E2809" i="16"/>
  <c r="G2809" i="16"/>
  <c r="C2809" i="16"/>
  <c r="K2809" i="16" s="1"/>
  <c r="I2809" i="16"/>
  <c r="B2810" i="16"/>
  <c r="F2809" i="16"/>
  <c r="O2809" i="16" s="1"/>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P2700" i="16"/>
  <c r="Q2700" i="16"/>
  <c r="R2700" i="16"/>
  <c r="T2700" i="16"/>
  <c r="J2700" i="16"/>
  <c r="D2700" i="16"/>
  <c r="L2701" i="16"/>
  <c r="E2701" i="16"/>
  <c r="G2701" i="16"/>
  <c r="I2701" i="16"/>
  <c r="B2702" i="16"/>
  <c r="C2701" i="16"/>
  <c r="L2647" i="16"/>
  <c r="E2647" i="16"/>
  <c r="G2647" i="16"/>
  <c r="C2647" i="16"/>
  <c r="B2648" i="16"/>
  <c r="I2647" i="16"/>
  <c r="P2646" i="16"/>
  <c r="Q2646" i="16"/>
  <c r="R2646" i="16"/>
  <c r="T2646" i="16"/>
  <c r="J2646" i="16"/>
  <c r="D2646" i="16"/>
  <c r="U2591" i="16"/>
  <c r="S2591" i="16"/>
  <c r="L2593" i="16"/>
  <c r="C2593" i="16"/>
  <c r="K2593" i="16" s="1"/>
  <c r="I2593" i="16"/>
  <c r="B2594" i="16"/>
  <c r="F2593" i="16"/>
  <c r="O2593" i="16" s="1"/>
  <c r="E2593" i="16"/>
  <c r="G2593" i="16"/>
  <c r="J2592" i="16"/>
  <c r="D2592" i="16"/>
  <c r="P2592" i="16"/>
  <c r="Q2592" i="16"/>
  <c r="R2592" i="16"/>
  <c r="T2592"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M2430" i="16"/>
  <c r="D2430" i="16"/>
  <c r="J2430" i="16"/>
  <c r="N2430" i="16" s="1"/>
  <c r="P2430" i="16"/>
  <c r="Q2430" i="16"/>
  <c r="R2430" i="16"/>
  <c r="T2430" i="16"/>
  <c r="L2431" i="16"/>
  <c r="C2431" i="16"/>
  <c r="E2431" i="16"/>
  <c r="G2431" i="16"/>
  <c r="I2431" i="16"/>
  <c r="B2432" i="16"/>
  <c r="M2376" i="16"/>
  <c r="D2376" i="16"/>
  <c r="J2376" i="16"/>
  <c r="N2376" i="16" s="1"/>
  <c r="P2376" i="16"/>
  <c r="Q2376" i="16"/>
  <c r="R2376" i="16"/>
  <c r="T2376" i="16"/>
  <c r="L2377" i="16"/>
  <c r="C2377" i="16"/>
  <c r="E2377" i="16"/>
  <c r="G2377" i="16"/>
  <c r="I2377" i="16"/>
  <c r="B2378" i="16"/>
  <c r="U2321" i="16"/>
  <c r="S2321" i="16"/>
  <c r="D2322" i="16"/>
  <c r="J2322" i="16"/>
  <c r="P2322" i="16"/>
  <c r="Q2322" i="16"/>
  <c r="R2322" i="16"/>
  <c r="T2322" i="16"/>
  <c r="L2323" i="16"/>
  <c r="C2323" i="16"/>
  <c r="K2323" i="16" s="1"/>
  <c r="E2323" i="16"/>
  <c r="F2323" i="16"/>
  <c r="O2323" i="16" s="1"/>
  <c r="G2323" i="16"/>
  <c r="I2323" i="16"/>
  <c r="B2324" i="16"/>
  <c r="U2267" i="16"/>
  <c r="S2267" i="16"/>
  <c r="M2268" i="16"/>
  <c r="D2268" i="16"/>
  <c r="J2268" i="16"/>
  <c r="N2268" i="16" s="1"/>
  <c r="P2268" i="16"/>
  <c r="Q2268" i="16"/>
  <c r="R2268" i="16"/>
  <c r="T2268" i="16"/>
  <c r="L2269" i="16"/>
  <c r="C2269" i="16"/>
  <c r="E2269" i="16"/>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M2160" i="16"/>
  <c r="D2160" i="16"/>
  <c r="J2160" i="16"/>
  <c r="N2160" i="16" s="1"/>
  <c r="P2160" i="16"/>
  <c r="Q2160" i="16"/>
  <c r="R2160" i="16"/>
  <c r="T2160" i="16"/>
  <c r="L2161" i="16"/>
  <c r="C2161" i="16"/>
  <c r="E2161" i="16"/>
  <c r="G2161" i="16"/>
  <c r="I2161" i="16"/>
  <c r="B2162" i="16"/>
  <c r="M2106" i="16"/>
  <c r="L2107" i="16"/>
  <c r="B2108" i="16"/>
  <c r="I2107" i="16"/>
  <c r="E2107" i="16"/>
  <c r="G2107" i="16"/>
  <c r="C2107" i="16"/>
  <c r="D2106" i="16"/>
  <c r="J2106" i="16"/>
  <c r="N2106" i="16" s="1"/>
  <c r="P2106" i="16"/>
  <c r="Q2106" i="16"/>
  <c r="R2106" i="16"/>
  <c r="T2106" i="16"/>
  <c r="U2051" i="16"/>
  <c r="S2051" i="16"/>
  <c r="M2052" i="16"/>
  <c r="D2052" i="16"/>
  <c r="J2052" i="16"/>
  <c r="N2052" i="16" s="1"/>
  <c r="P2052" i="16"/>
  <c r="Q2052" i="16"/>
  <c r="R2052" i="16"/>
  <c r="T2052" i="16"/>
  <c r="L2053" i="16"/>
  <c r="C2053" i="16"/>
  <c r="E2053" i="16"/>
  <c r="G2053" i="16"/>
  <c r="I2053" i="16"/>
  <c r="B2054" i="16"/>
  <c r="U1997" i="16"/>
  <c r="S1997" i="16"/>
  <c r="D1998" i="16"/>
  <c r="J1998" i="16"/>
  <c r="P1998" i="16"/>
  <c r="Q1998" i="16"/>
  <c r="R1998" i="16"/>
  <c r="T1998" i="16"/>
  <c r="L1999" i="16"/>
  <c r="C1999" i="16"/>
  <c r="E1999" i="16"/>
  <c r="G1999" i="16"/>
  <c r="I1999" i="16"/>
  <c r="B2000" i="16"/>
  <c r="D1944" i="16"/>
  <c r="J1944" i="16"/>
  <c r="P1944" i="16"/>
  <c r="Q1944" i="16"/>
  <c r="R1944" i="16"/>
  <c r="T1944" i="16"/>
  <c r="L1945" i="16"/>
  <c r="C1945" i="16"/>
  <c r="K1945" i="16" s="1"/>
  <c r="E1945" i="16"/>
  <c r="F1945" i="16"/>
  <c r="O1945" i="16" s="1"/>
  <c r="G1945" i="16"/>
  <c r="I1945" i="16"/>
  <c r="B1946" i="16"/>
  <c r="M1890" i="16"/>
  <c r="D1890" i="16"/>
  <c r="J1890" i="16"/>
  <c r="N1890" i="16" s="1"/>
  <c r="P1890" i="16"/>
  <c r="Q1890" i="16"/>
  <c r="R1890" i="16"/>
  <c r="T1890" i="16"/>
  <c r="L1891" i="16"/>
  <c r="C1891" i="16"/>
  <c r="E1891" i="16"/>
  <c r="G1891" i="16"/>
  <c r="I1891" i="16"/>
  <c r="B1892" i="16"/>
  <c r="M1836" i="16"/>
  <c r="D1836" i="16"/>
  <c r="J1836" i="16"/>
  <c r="N1836" i="16" s="1"/>
  <c r="P1836" i="16"/>
  <c r="Q1836" i="16"/>
  <c r="R1836" i="16"/>
  <c r="T1836" i="16"/>
  <c r="L1837" i="16"/>
  <c r="C1837" i="16"/>
  <c r="E1837" i="16"/>
  <c r="G1837" i="16"/>
  <c r="I1837" i="16"/>
  <c r="B1838" i="16"/>
  <c r="U1781" i="16"/>
  <c r="S1781" i="16"/>
  <c r="M1782" i="16"/>
  <c r="D1782" i="16"/>
  <c r="J1782" i="16"/>
  <c r="N1782" i="16" s="1"/>
  <c r="P1782" i="16"/>
  <c r="Q1782" i="16"/>
  <c r="R1782" i="16"/>
  <c r="T1782" i="16"/>
  <c r="L1783" i="16"/>
  <c r="C1783" i="16"/>
  <c r="E1783" i="16"/>
  <c r="G1783" i="16"/>
  <c r="I1783" i="16"/>
  <c r="B1784" i="16"/>
  <c r="U1727" i="16"/>
  <c r="S1727" i="16"/>
  <c r="M1728" i="16"/>
  <c r="D1728" i="16"/>
  <c r="J1728" i="16"/>
  <c r="N1728" i="16" s="1"/>
  <c r="P1728" i="16"/>
  <c r="Q1728" i="16"/>
  <c r="R1728" i="16"/>
  <c r="T1728" i="16"/>
  <c r="L1729" i="16"/>
  <c r="C1729" i="16"/>
  <c r="K1729" i="16" s="1"/>
  <c r="E1729" i="16"/>
  <c r="F1729" i="16"/>
  <c r="O1729" i="16" s="1"/>
  <c r="G1729" i="16"/>
  <c r="I1729" i="16"/>
  <c r="B1730" i="16"/>
  <c r="D1674" i="16"/>
  <c r="J1674" i="16"/>
  <c r="P1674" i="16"/>
  <c r="Q1674" i="16"/>
  <c r="R1674" i="16"/>
  <c r="T1674" i="16"/>
  <c r="L1675" i="16"/>
  <c r="C1675" i="16"/>
  <c r="K1675" i="16" s="1"/>
  <c r="E1675" i="16"/>
  <c r="F1675" i="16"/>
  <c r="O1675" i="16" s="1"/>
  <c r="G1675" i="16"/>
  <c r="I1675" i="16"/>
  <c r="B1676" i="16"/>
  <c r="M1620" i="16"/>
  <c r="D1620" i="16"/>
  <c r="J1620" i="16"/>
  <c r="N1620" i="16" s="1"/>
  <c r="P1620" i="16"/>
  <c r="Q1620" i="16"/>
  <c r="R1620" i="16"/>
  <c r="T1620" i="16"/>
  <c r="L1621" i="16"/>
  <c r="C1621" i="16"/>
  <c r="E1621" i="16"/>
  <c r="G1621" i="16"/>
  <c r="I1621" i="16"/>
  <c r="B1622" i="16"/>
  <c r="U1565" i="16"/>
  <c r="S1565" i="16"/>
  <c r="M1566" i="16"/>
  <c r="D1566" i="16"/>
  <c r="J1566" i="16"/>
  <c r="N1566" i="16" s="1"/>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S1457" i="16"/>
  <c r="U1457" i="16"/>
  <c r="P1458" i="16"/>
  <c r="Q1458" i="16"/>
  <c r="R1458" i="16"/>
  <c r="T1458" i="16"/>
  <c r="D1458" i="16"/>
  <c r="M1458" i="16" s="1"/>
  <c r="J1458" i="16"/>
  <c r="L1459" i="16"/>
  <c r="B1460" i="16"/>
  <c r="G1459" i="16"/>
  <c r="C1459" i="16"/>
  <c r="E1459" i="16"/>
  <c r="I1459" i="16"/>
  <c r="M1404" i="16"/>
  <c r="J1404" i="16"/>
  <c r="N1404" i="16" s="1"/>
  <c r="D1404" i="16"/>
  <c r="L1405" i="16"/>
  <c r="G1405" i="16"/>
  <c r="E1405" i="16"/>
  <c r="B1406" i="16"/>
  <c r="C1405" i="16"/>
  <c r="K1405" i="16" s="1"/>
  <c r="I1405" i="16"/>
  <c r="F1405" i="16"/>
  <c r="O1405" i="16" s="1"/>
  <c r="P1404" i="16"/>
  <c r="Q1404" i="16"/>
  <c r="R1404" i="16"/>
  <c r="T1404" i="16"/>
  <c r="P1350" i="16"/>
  <c r="Q1350" i="16"/>
  <c r="R1350" i="16"/>
  <c r="T1350" i="16"/>
  <c r="D1350" i="16"/>
  <c r="J1350" i="16"/>
  <c r="L1351" i="16"/>
  <c r="E1351" i="16"/>
  <c r="B1352" i="16"/>
  <c r="I1351" i="16"/>
  <c r="G1351" i="16"/>
  <c r="C1351" i="16"/>
  <c r="J1296" i="16"/>
  <c r="D1296" i="16"/>
  <c r="P1296" i="16"/>
  <c r="Q1296" i="16"/>
  <c r="R1296" i="16"/>
  <c r="T1296" i="16"/>
  <c r="L1297" i="16"/>
  <c r="B1298" i="16"/>
  <c r="I1297" i="16"/>
  <c r="G1297" i="16"/>
  <c r="E1297" i="16"/>
  <c r="C1297" i="16"/>
  <c r="P1242" i="16"/>
  <c r="Q1242" i="16"/>
  <c r="R1242" i="16"/>
  <c r="T1242" i="16"/>
  <c r="D1242" i="16"/>
  <c r="J1242" i="16"/>
  <c r="N1242" i="16" s="1"/>
  <c r="M1242" i="16"/>
  <c r="E1243" i="16"/>
  <c r="B1244" i="16"/>
  <c r="L1243" i="16"/>
  <c r="I1243" i="16"/>
  <c r="G1243" i="16"/>
  <c r="C1243" i="16"/>
  <c r="S1241" i="16"/>
  <c r="U1241" i="16"/>
  <c r="U1187" i="16"/>
  <c r="S1187"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E1135" i="16"/>
  <c r="G1135" i="16"/>
  <c r="I1135" i="16"/>
  <c r="B1136" i="16"/>
  <c r="U1079" i="16"/>
  <c r="S1079" i="16"/>
  <c r="D1080" i="16"/>
  <c r="J1080" i="16"/>
  <c r="P1080" i="16"/>
  <c r="Q1080" i="16"/>
  <c r="R1080" i="16"/>
  <c r="T1080" i="16"/>
  <c r="L1081" i="16"/>
  <c r="C1081" i="16"/>
  <c r="K1081" i="16" s="1"/>
  <c r="E1081" i="16"/>
  <c r="F1081" i="16"/>
  <c r="O1081" i="16" s="1"/>
  <c r="G1081" i="16"/>
  <c r="I1081" i="16"/>
  <c r="B1082" i="16"/>
  <c r="U1025" i="16"/>
  <c r="S1025" i="16"/>
  <c r="M1026" i="16"/>
  <c r="D1026" i="16"/>
  <c r="J1026" i="16"/>
  <c r="N1026" i="16" s="1"/>
  <c r="P1026" i="16"/>
  <c r="Q1026" i="16"/>
  <c r="R1026" i="16"/>
  <c r="T1026" i="16"/>
  <c r="L1027" i="16"/>
  <c r="C1027" i="16"/>
  <c r="E1027" i="16"/>
  <c r="G1027" i="16"/>
  <c r="I1027" i="16"/>
  <c r="B1028" i="16"/>
  <c r="U971" i="16"/>
  <c r="S971"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K919" i="16" s="1"/>
  <c r="E919" i="16"/>
  <c r="F919" i="16"/>
  <c r="O919" i="16" s="1"/>
  <c r="G919" i="16"/>
  <c r="I919" i="16"/>
  <c r="B920" i="16"/>
  <c r="U863" i="16"/>
  <c r="S863" i="16"/>
  <c r="D864" i="16"/>
  <c r="J864" i="16"/>
  <c r="P864" i="16"/>
  <c r="Q864" i="16"/>
  <c r="R864" i="16"/>
  <c r="T864" i="16"/>
  <c r="L865" i="16"/>
  <c r="C865" i="16"/>
  <c r="K865" i="16" s="1"/>
  <c r="E865" i="16"/>
  <c r="F865" i="16"/>
  <c r="O865" i="16" s="1"/>
  <c r="G865" i="16"/>
  <c r="I865" i="16"/>
  <c r="B866" i="16"/>
  <c r="U809" i="16"/>
  <c r="S809" i="16"/>
  <c r="D810" i="16"/>
  <c r="J810" i="16"/>
  <c r="P810" i="16"/>
  <c r="Q810" i="16"/>
  <c r="R810" i="16"/>
  <c r="T810" i="16"/>
  <c r="L811" i="16"/>
  <c r="C811" i="16"/>
  <c r="K811" i="16" s="1"/>
  <c r="E811" i="16"/>
  <c r="F811" i="16"/>
  <c r="O811" i="16" s="1"/>
  <c r="G811" i="16"/>
  <c r="I811" i="16"/>
  <c r="B812" i="16"/>
  <c r="U755" i="16"/>
  <c r="S755" i="16"/>
  <c r="M756" i="16"/>
  <c r="D756" i="16"/>
  <c r="J756" i="16"/>
  <c r="N756" i="16" s="1"/>
  <c r="P756" i="16"/>
  <c r="Q756" i="16"/>
  <c r="R756" i="16"/>
  <c r="T756" i="16"/>
  <c r="L757" i="16"/>
  <c r="C757" i="16"/>
  <c r="K757" i="16" s="1"/>
  <c r="E757" i="16"/>
  <c r="F757" i="16"/>
  <c r="O757" i="16" s="1"/>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U593" i="16"/>
  <c r="S593" i="16"/>
  <c r="M594" i="16"/>
  <c r="D594" i="16"/>
  <c r="J594" i="16"/>
  <c r="N594" i="16" s="1"/>
  <c r="P594" i="16"/>
  <c r="Q594" i="16"/>
  <c r="R594" i="16"/>
  <c r="T594" i="16"/>
  <c r="L595" i="16"/>
  <c r="C595" i="16"/>
  <c r="K595" i="16" s="1"/>
  <c r="E595" i="16"/>
  <c r="F595" i="16"/>
  <c r="O595" i="16" s="1"/>
  <c r="G595" i="16"/>
  <c r="I595" i="16"/>
  <c r="B596" i="16"/>
  <c r="M540" i="16"/>
  <c r="D540" i="16"/>
  <c r="J540" i="16"/>
  <c r="N540" i="16" s="1"/>
  <c r="P540" i="16"/>
  <c r="Q540" i="16"/>
  <c r="R540" i="16"/>
  <c r="T540" i="16"/>
  <c r="L541" i="16"/>
  <c r="C541" i="16"/>
  <c r="E541" i="16"/>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K433" i="16" s="1"/>
  <c r="E433" i="16"/>
  <c r="F433" i="16"/>
  <c r="O433" i="16" s="1"/>
  <c r="G433" i="16"/>
  <c r="I433" i="16"/>
  <c r="B434" i="16"/>
  <c r="U377" i="16"/>
  <c r="S377" i="16"/>
  <c r="D378" i="16"/>
  <c r="M378" i="16" s="1"/>
  <c r="J378" i="16"/>
  <c r="P378" i="16"/>
  <c r="Q378" i="16"/>
  <c r="R378" i="16"/>
  <c r="T378" i="16"/>
  <c r="L379" i="16"/>
  <c r="C379" i="16"/>
  <c r="E379" i="16"/>
  <c r="G379" i="16"/>
  <c r="I379" i="16"/>
  <c r="B380" i="16"/>
  <c r="D324" i="16"/>
  <c r="J324" i="16"/>
  <c r="P324" i="16"/>
  <c r="Q324" i="16"/>
  <c r="R324" i="16"/>
  <c r="T324" i="16"/>
  <c r="L325" i="16"/>
  <c r="C325" i="16"/>
  <c r="E325" i="16"/>
  <c r="G325" i="16"/>
  <c r="I325" i="16"/>
  <c r="B326" i="16"/>
  <c r="U269" i="16"/>
  <c r="S269" i="16"/>
  <c r="M270" i="16"/>
  <c r="D270" i="16"/>
  <c r="J270" i="16"/>
  <c r="N270" i="16" s="1"/>
  <c r="P270" i="16"/>
  <c r="Q270" i="16"/>
  <c r="R270" i="16"/>
  <c r="T270" i="16"/>
  <c r="L271" i="16"/>
  <c r="C271" i="16"/>
  <c r="E271" i="16"/>
  <c r="G271" i="16"/>
  <c r="I271" i="16"/>
  <c r="B272" i="16"/>
  <c r="U215" i="16"/>
  <c r="S215" i="16"/>
  <c r="M216" i="16"/>
  <c r="D216" i="16"/>
  <c r="J216" i="16"/>
  <c r="N216" i="16" s="1"/>
  <c r="P216" i="16"/>
  <c r="Q216" i="16"/>
  <c r="R216" i="16"/>
  <c r="T216" i="16"/>
  <c r="L217" i="16"/>
  <c r="I217" i="16"/>
  <c r="B218" i="16"/>
  <c r="C217" i="16"/>
  <c r="K217" i="16" s="1"/>
  <c r="E217" i="16"/>
  <c r="F217" i="16"/>
  <c r="O217" i="16" s="1"/>
  <c r="G217" i="16"/>
  <c r="P162" i="16"/>
  <c r="Q162" i="16"/>
  <c r="R162" i="16"/>
  <c r="T162" i="16"/>
  <c r="J162" i="16"/>
  <c r="D162" i="16"/>
  <c r="L163" i="16"/>
  <c r="G163" i="16"/>
  <c r="I163" i="16"/>
  <c r="C163" i="16"/>
  <c r="E163" i="16"/>
  <c r="B164" i="16"/>
  <c r="D108" i="16"/>
  <c r="J108" i="16"/>
  <c r="P108" i="16"/>
  <c r="Q108" i="16"/>
  <c r="R108" i="16"/>
  <c r="T108" i="16"/>
  <c r="L109" i="16"/>
  <c r="I109" i="16"/>
  <c r="B110" i="16"/>
  <c r="C109" i="16"/>
  <c r="K109" i="16" s="1"/>
  <c r="E109" i="16"/>
  <c r="F109" i="16"/>
  <c r="O109" i="16" s="1"/>
  <c r="G109"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K47" i="4" s="1"/>
  <c r="E47" i="4"/>
  <c r="F47" i="4"/>
  <c r="C47" i="5" s="1"/>
  <c r="E47" i="5" s="1"/>
  <c r="G47" i="4"/>
  <c r="AZ47" i="4" s="1"/>
  <c r="I47" i="4"/>
  <c r="B48" i="4"/>
  <c r="B47" i="5"/>
  <c r="BA16" i="4"/>
  <c r="B94" i="7"/>
  <c r="I94"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C78" i="7"/>
  <c r="G78" i="7" s="1"/>
  <c r="U4240" i="16"/>
  <c r="S4240" i="16"/>
  <c r="U4186" i="16"/>
  <c r="S4186" i="16"/>
  <c r="S3670" i="16"/>
  <c r="U3670" i="16"/>
  <c r="U3400" i="16"/>
  <c r="S3400" i="16"/>
  <c r="U3130" i="16"/>
  <c r="S3130" i="16"/>
  <c r="U3076" i="16"/>
  <c r="S3076" i="16"/>
  <c r="U3022" i="16"/>
  <c r="S3022" i="16"/>
  <c r="U2968" i="16"/>
  <c r="S2968" i="16"/>
  <c r="U2698" i="16"/>
  <c r="S2698" i="16"/>
  <c r="U2644" i="16"/>
  <c r="S2644" i="16"/>
  <c r="U2428" i="16"/>
  <c r="S2428" i="16"/>
  <c r="U2158" i="16"/>
  <c r="S2158" i="16"/>
  <c r="S2104" i="16"/>
  <c r="U2104" i="16"/>
  <c r="U1942" i="16"/>
  <c r="S1942" i="16"/>
  <c r="S1888" i="16"/>
  <c r="U1888" i="16"/>
  <c r="U1834" i="16"/>
  <c r="S1834" i="16"/>
  <c r="S1672" i="16"/>
  <c r="U1672" i="16"/>
  <c r="U1618" i="16"/>
  <c r="S1618" i="16"/>
  <c r="U1564" i="16"/>
  <c r="S1564" i="16"/>
  <c r="U1402" i="16"/>
  <c r="S1402" i="16"/>
  <c r="U1348" i="16"/>
  <c r="S1348" i="16"/>
  <c r="U1132" i="16"/>
  <c r="S1132" i="16"/>
  <c r="U1078" i="16"/>
  <c r="S1078" i="16"/>
  <c r="M4241" i="16"/>
  <c r="N4241" i="16"/>
  <c r="N4187" i="16"/>
  <c r="M4187" i="16"/>
  <c r="N4133" i="16"/>
  <c r="M4133" i="16"/>
  <c r="M3509" i="16"/>
  <c r="N3509" i="16"/>
  <c r="M3185" i="16"/>
  <c r="N3185" i="16"/>
  <c r="N3023" i="16"/>
  <c r="M3023" i="16"/>
  <c r="M2915" i="16"/>
  <c r="N2915" i="16"/>
  <c r="N2861" i="16"/>
  <c r="M2861" i="16"/>
  <c r="N2807" i="16"/>
  <c r="S2807" i="16" s="1"/>
  <c r="M2807" i="16"/>
  <c r="N2645" i="16"/>
  <c r="M2645" i="16"/>
  <c r="M2429" i="16"/>
  <c r="N2429" i="16"/>
  <c r="M2375" i="16"/>
  <c r="N2375" i="16"/>
  <c r="M2159" i="16"/>
  <c r="N2159" i="16"/>
  <c r="M2105" i="16"/>
  <c r="N2105" i="16"/>
  <c r="M1943" i="16"/>
  <c r="N1943" i="16"/>
  <c r="M1889" i="16"/>
  <c r="N1889" i="16"/>
  <c r="M1835" i="16"/>
  <c r="N1835" i="16"/>
  <c r="M1673" i="16"/>
  <c r="N1673" i="16"/>
  <c r="M1619" i="16"/>
  <c r="N1619" i="16"/>
  <c r="N1403" i="16"/>
  <c r="M1403" i="16"/>
  <c r="M1349" i="16"/>
  <c r="N1349" i="16" s="1"/>
  <c r="M1295" i="16"/>
  <c r="N1295" i="16"/>
  <c r="M539" i="16"/>
  <c r="N539" i="16"/>
  <c r="M323" i="16"/>
  <c r="N323" i="16"/>
  <c r="M161" i="16"/>
  <c r="N161" i="16"/>
  <c r="N107" i="16"/>
  <c r="M107" i="16"/>
  <c r="K4188" i="16"/>
  <c r="F4188" i="16"/>
  <c r="O4188" i="16" s="1"/>
  <c r="F3672" i="16"/>
  <c r="O3672" i="16" s="1"/>
  <c r="K3672" i="16"/>
  <c r="F3510" i="16"/>
  <c r="O3510" i="16" s="1"/>
  <c r="K3510" i="16"/>
  <c r="K3024" i="16"/>
  <c r="F3024" i="16"/>
  <c r="O3024" i="16" s="1"/>
  <c r="K2862" i="16"/>
  <c r="F2862" i="16"/>
  <c r="O2862" i="16" s="1"/>
  <c r="F2700" i="16"/>
  <c r="O2700" i="16" s="1"/>
  <c r="K2700" i="16"/>
  <c r="F2646" i="16"/>
  <c r="O2646" i="16" s="1"/>
  <c r="K2646" i="16"/>
  <c r="F2592" i="16"/>
  <c r="O2592" i="16" s="1"/>
  <c r="K2592" i="16"/>
  <c r="F2322" i="16"/>
  <c r="O2322" i="16" s="1"/>
  <c r="K2322" i="16"/>
  <c r="K1998" i="16"/>
  <c r="F1998" i="16"/>
  <c r="O1998" i="16" s="1"/>
  <c r="K1944" i="16"/>
  <c r="F1944" i="16"/>
  <c r="O1944" i="16" s="1"/>
  <c r="K1674" i="16"/>
  <c r="F1674" i="16"/>
  <c r="O1674" i="16" s="1"/>
  <c r="F1350" i="16"/>
  <c r="O1350" i="16" s="1"/>
  <c r="K1350" i="16"/>
  <c r="K1296" i="16"/>
  <c r="F1296" i="16"/>
  <c r="O1296" i="16" s="1"/>
  <c r="F1080" i="16"/>
  <c r="O1080" i="16" s="1"/>
  <c r="K1080" i="16"/>
  <c r="F864" i="16"/>
  <c r="O864" i="16" s="1"/>
  <c r="K864" i="16"/>
  <c r="F810" i="16"/>
  <c r="O810" i="16" s="1"/>
  <c r="K810" i="16"/>
  <c r="K324" i="16"/>
  <c r="F324" i="16"/>
  <c r="O324" i="16" s="1"/>
  <c r="F162" i="16"/>
  <c r="O162" i="16" s="1"/>
  <c r="K162" i="16"/>
  <c r="K108" i="16"/>
  <c r="F108" i="16"/>
  <c r="O108" i="16" s="1"/>
  <c r="N2538" i="16" l="1"/>
  <c r="N1458" i="16"/>
  <c r="N378" i="16"/>
  <c r="D4651" i="16"/>
  <c r="F4651" i="16"/>
  <c r="O4651" i="16" s="1"/>
  <c r="K2269" i="16"/>
  <c r="F2269" i="16"/>
  <c r="O2269" i="16" s="1"/>
  <c r="K2053" i="16"/>
  <c r="F2053" i="16"/>
  <c r="O2053" i="16" s="1"/>
  <c r="K1999" i="16"/>
  <c r="F1999" i="16"/>
  <c r="O1999" i="16" s="1"/>
  <c r="K1783" i="16"/>
  <c r="F1783" i="16"/>
  <c r="O1783" i="16" s="1"/>
  <c r="K1135" i="16"/>
  <c r="F1135" i="16"/>
  <c r="O1135" i="16" s="1"/>
  <c r="K379" i="16"/>
  <c r="F379" i="16"/>
  <c r="O379" i="16" s="1"/>
  <c r="K325" i="16"/>
  <c r="F325" i="16"/>
  <c r="O325" i="16" s="1"/>
  <c r="K271" i="16"/>
  <c r="F271" i="16"/>
  <c r="O271" i="16" s="1"/>
  <c r="S4704" i="16"/>
  <c r="U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D4597" i="16"/>
  <c r="J4597" i="16"/>
  <c r="P4597" i="16"/>
  <c r="Q4597" i="16"/>
  <c r="R4597" i="16"/>
  <c r="L4598" i="16"/>
  <c r="C4598" i="16"/>
  <c r="K4598" i="16" s="1"/>
  <c r="E4598" i="16"/>
  <c r="F4598" i="16"/>
  <c r="G4598" i="16"/>
  <c r="I4598" i="16"/>
  <c r="B4599" i="16"/>
  <c r="D4543" i="16"/>
  <c r="J4543" i="16"/>
  <c r="N4543" i="16" s="1"/>
  <c r="P4543" i="16"/>
  <c r="Q4543" i="16"/>
  <c r="R4543" i="16"/>
  <c r="M4543" i="16"/>
  <c r="I4544" i="16"/>
  <c r="B4545" i="16"/>
  <c r="C4544" i="16"/>
  <c r="E4544" i="16"/>
  <c r="G4544" i="16"/>
  <c r="L4544" i="16"/>
  <c r="U4242" i="16"/>
  <c r="S4242" i="16"/>
  <c r="M4243" i="16"/>
  <c r="D4243" i="16"/>
  <c r="J4243" i="16"/>
  <c r="N4243" i="16" s="1"/>
  <c r="P4243" i="16"/>
  <c r="Q4243" i="16"/>
  <c r="R4243" i="16"/>
  <c r="T4243" i="16"/>
  <c r="L4244" i="16"/>
  <c r="C4244" i="16"/>
  <c r="E4244" i="16"/>
  <c r="G4244" i="16"/>
  <c r="I4244" i="16"/>
  <c r="B4245" i="16"/>
  <c r="D4189" i="16"/>
  <c r="J4189" i="16"/>
  <c r="N4189" i="16" s="1"/>
  <c r="P4189" i="16"/>
  <c r="Q4189" i="16"/>
  <c r="R4189" i="16"/>
  <c r="T4189" i="16"/>
  <c r="M4189" i="16"/>
  <c r="C4190" i="16"/>
  <c r="F4190" i="16" s="1"/>
  <c r="O4190" i="16" s="1"/>
  <c r="E4190" i="16"/>
  <c r="G4190" i="16"/>
  <c r="I4190" i="16"/>
  <c r="K4190" i="16"/>
  <c r="L4190" i="16"/>
  <c r="B4191" i="16"/>
  <c r="U4134" i="16"/>
  <c r="S4134" i="16"/>
  <c r="M4135" i="16"/>
  <c r="J4135" i="16"/>
  <c r="N4135" i="16" s="1"/>
  <c r="D4135" i="16"/>
  <c r="P4135" i="16"/>
  <c r="Q4135" i="16"/>
  <c r="R4135" i="16"/>
  <c r="T4135" i="16"/>
  <c r="C4136" i="16"/>
  <c r="K4136" i="16" s="1"/>
  <c r="E4136" i="16"/>
  <c r="F4136" i="16"/>
  <c r="O4136" i="16" s="1"/>
  <c r="G4136" i="16"/>
  <c r="L4136" i="16"/>
  <c r="B4137" i="16"/>
  <c r="I4136" i="16"/>
  <c r="U4080" i="16"/>
  <c r="S4080" i="16"/>
  <c r="D4081" i="16"/>
  <c r="J4081" i="16"/>
  <c r="P4081" i="16"/>
  <c r="Q4081" i="16"/>
  <c r="R4081" i="16"/>
  <c r="T4081" i="16"/>
  <c r="L4082" i="16"/>
  <c r="C4082" i="16"/>
  <c r="K4082" i="16" s="1"/>
  <c r="E4082" i="16"/>
  <c r="F4082" i="16"/>
  <c r="O4082" i="16" s="1"/>
  <c r="G4082" i="16"/>
  <c r="I4082" i="16"/>
  <c r="B4083" i="16"/>
  <c r="U3780" i="16"/>
  <c r="S3780" i="16"/>
  <c r="M3781" i="16"/>
  <c r="D3781" i="16"/>
  <c r="J3781" i="16"/>
  <c r="N3781" i="16" s="1"/>
  <c r="P3781" i="16"/>
  <c r="Q3781" i="16"/>
  <c r="R3781" i="16"/>
  <c r="T3781" i="16"/>
  <c r="L3782" i="16"/>
  <c r="C3782" i="16"/>
  <c r="E3782" i="16"/>
  <c r="G3782" i="16"/>
  <c r="I3782" i="16"/>
  <c r="B3783" i="16"/>
  <c r="U3726" i="16"/>
  <c r="S3726" i="16"/>
  <c r="M3727" i="16"/>
  <c r="D3727" i="16"/>
  <c r="J3727" i="16"/>
  <c r="N3727" i="16" s="1"/>
  <c r="P3727" i="16"/>
  <c r="Q3727" i="16"/>
  <c r="R3727" i="16"/>
  <c r="T3727" i="16"/>
  <c r="L3728" i="16"/>
  <c r="C3728" i="16"/>
  <c r="K3728" i="16" s="1"/>
  <c r="E3728" i="16"/>
  <c r="F3728" i="16"/>
  <c r="O3728" i="16" s="1"/>
  <c r="G3728" i="16"/>
  <c r="I3728" i="16"/>
  <c r="B3729" i="16"/>
  <c r="P3673" i="16"/>
  <c r="Q3673" i="16"/>
  <c r="R3673" i="16"/>
  <c r="T3673" i="16"/>
  <c r="D3673" i="16"/>
  <c r="J3673" i="16"/>
  <c r="L3674" i="16"/>
  <c r="E3674" i="16"/>
  <c r="G3674" i="16"/>
  <c r="I3674" i="16"/>
  <c r="B3675" i="16"/>
  <c r="C3674"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D3565" i="16"/>
  <c r="J3565" i="16"/>
  <c r="P3565" i="16"/>
  <c r="Q3565" i="16"/>
  <c r="R3565" i="16"/>
  <c r="T3565" i="16"/>
  <c r="L3566" i="16"/>
  <c r="C3566" i="16"/>
  <c r="K3566" i="16" s="1"/>
  <c r="E3566" i="16"/>
  <c r="F3566" i="16"/>
  <c r="O3566" i="16" s="1"/>
  <c r="G3566" i="16"/>
  <c r="I3566" i="16"/>
  <c r="B3567" i="16"/>
  <c r="D3511" i="16"/>
  <c r="J3511" i="16"/>
  <c r="P3511" i="16"/>
  <c r="Q3511" i="16"/>
  <c r="R3511" i="16"/>
  <c r="T3511" i="16"/>
  <c r="L3512" i="16"/>
  <c r="C3512" i="16"/>
  <c r="K3512" i="16" s="1"/>
  <c r="E3512" i="16"/>
  <c r="F3512" i="16"/>
  <c r="O3512" i="16" s="1"/>
  <c r="G3512" i="16"/>
  <c r="I3512" i="16"/>
  <c r="B3513" i="16"/>
  <c r="S3456" i="16"/>
  <c r="U3456" i="16"/>
  <c r="M3457" i="16"/>
  <c r="D3457" i="16"/>
  <c r="J3457" i="16"/>
  <c r="N3457" i="16" s="1"/>
  <c r="P3457" i="16"/>
  <c r="Q3457" i="16"/>
  <c r="R3457" i="16"/>
  <c r="T3457" i="16"/>
  <c r="L3458" i="16"/>
  <c r="C3458" i="16"/>
  <c r="E3458" i="16"/>
  <c r="G3458" i="16"/>
  <c r="B3459" i="16"/>
  <c r="I3458"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M3295" i="16"/>
  <c r="D3295" i="16"/>
  <c r="J3295" i="16"/>
  <c r="N3295" i="16" s="1"/>
  <c r="P3295" i="16"/>
  <c r="Q3295" i="16"/>
  <c r="R3295" i="16"/>
  <c r="T3295" i="16"/>
  <c r="L3296" i="16"/>
  <c r="C3296" i="16"/>
  <c r="K3296" i="16" s="1"/>
  <c r="E3296" i="16"/>
  <c r="F3296" i="16"/>
  <c r="O3296" i="16" s="1"/>
  <c r="G3296" i="16"/>
  <c r="I3296" i="16"/>
  <c r="B3297" i="16"/>
  <c r="S3240" i="16"/>
  <c r="U3240" i="16"/>
  <c r="M3241" i="16"/>
  <c r="D3241" i="16"/>
  <c r="J3241" i="16"/>
  <c r="N3241" i="16" s="1"/>
  <c r="P3241" i="16"/>
  <c r="Q3241" i="16"/>
  <c r="R3241" i="16"/>
  <c r="T3241" i="16"/>
  <c r="L3242" i="16"/>
  <c r="C3242" i="16"/>
  <c r="E3242" i="16"/>
  <c r="G3242" i="16"/>
  <c r="I3242" i="16"/>
  <c r="B3243" i="16"/>
  <c r="U3186" i="16"/>
  <c r="S3186" i="16"/>
  <c r="D3187" i="16"/>
  <c r="J3187" i="16"/>
  <c r="P3187" i="16"/>
  <c r="Q3187" i="16"/>
  <c r="R3187" i="16"/>
  <c r="T3187" i="16"/>
  <c r="L3188" i="16"/>
  <c r="C3188" i="16"/>
  <c r="K3188" i="16" s="1"/>
  <c r="E3188" i="16"/>
  <c r="F3188" i="16"/>
  <c r="O3188" i="16" s="1"/>
  <c r="G3188" i="16"/>
  <c r="I3188" i="16"/>
  <c r="B3189" i="16"/>
  <c r="U3132" i="16"/>
  <c r="S3132" i="16"/>
  <c r="M3133" i="16"/>
  <c r="D3133" i="16"/>
  <c r="J3133" i="16"/>
  <c r="N3133" i="16" s="1"/>
  <c r="P3133" i="16"/>
  <c r="Q3133" i="16"/>
  <c r="R3133" i="16"/>
  <c r="T3133" i="16"/>
  <c r="L3134" i="16"/>
  <c r="C3134" i="16"/>
  <c r="K3134" i="16" s="1"/>
  <c r="E3134" i="16"/>
  <c r="F3134" i="16"/>
  <c r="O3134" i="16" s="1"/>
  <c r="G3134" i="16"/>
  <c r="I3134" i="16"/>
  <c r="B3135" i="16"/>
  <c r="U3078" i="16"/>
  <c r="S3078" i="16"/>
  <c r="P3079" i="16"/>
  <c r="Q3079" i="16"/>
  <c r="R3079" i="16"/>
  <c r="T3079" i="16"/>
  <c r="L3080" i="16"/>
  <c r="C3080" i="16"/>
  <c r="E3080" i="16"/>
  <c r="G3080" i="16"/>
  <c r="B3081" i="16"/>
  <c r="I3080" i="16"/>
  <c r="D3079" i="16"/>
  <c r="J3079" i="16"/>
  <c r="M3025" i="16"/>
  <c r="P3025" i="16"/>
  <c r="Q3025" i="16"/>
  <c r="R3025" i="16"/>
  <c r="T3025" i="16"/>
  <c r="L3026" i="16"/>
  <c r="E3026" i="16"/>
  <c r="G3026" i="16"/>
  <c r="I3026" i="16"/>
  <c r="C3026" i="16"/>
  <c r="B3027" i="16"/>
  <c r="J3025" i="16"/>
  <c r="N3025" i="16" s="1"/>
  <c r="D3025" i="16"/>
  <c r="U2970" i="16"/>
  <c r="S2970" i="16"/>
  <c r="D2971" i="16"/>
  <c r="J2971" i="16"/>
  <c r="P2971" i="16"/>
  <c r="Q2971" i="16"/>
  <c r="R2971" i="16"/>
  <c r="T2971" i="16"/>
  <c r="L2972" i="16"/>
  <c r="C2972" i="16"/>
  <c r="E2972" i="16"/>
  <c r="G2972" i="16"/>
  <c r="I2972" i="16"/>
  <c r="B2973" i="16"/>
  <c r="U2916" i="16"/>
  <c r="S2916" i="16"/>
  <c r="M2917" i="16"/>
  <c r="D2917" i="16"/>
  <c r="J2917" i="16"/>
  <c r="N2917" i="16" s="1"/>
  <c r="P2917" i="16"/>
  <c r="Q2917" i="16"/>
  <c r="R2917" i="16"/>
  <c r="T2917" i="16"/>
  <c r="L2918" i="16"/>
  <c r="C2918" i="16"/>
  <c r="K2918" i="16" s="1"/>
  <c r="E2918" i="16"/>
  <c r="F2918" i="16"/>
  <c r="O2918" i="16" s="1"/>
  <c r="G2918" i="16"/>
  <c r="I2918" i="16"/>
  <c r="B2919" i="16"/>
  <c r="L2864" i="16"/>
  <c r="I2864" i="16"/>
  <c r="B2865" i="16"/>
  <c r="C2864" i="16"/>
  <c r="G2864" i="16"/>
  <c r="E2864" i="16"/>
  <c r="D2863" i="16"/>
  <c r="J2863" i="16"/>
  <c r="P2863" i="16"/>
  <c r="Q2863" i="16"/>
  <c r="R2863" i="16"/>
  <c r="T2863" i="16"/>
  <c r="M2809" i="16"/>
  <c r="P2809" i="16"/>
  <c r="Q2809" i="16"/>
  <c r="R2809" i="16"/>
  <c r="T2809" i="16"/>
  <c r="U2809" i="16" s="1"/>
  <c r="J2809" i="16"/>
  <c r="N2809" i="16" s="1"/>
  <c r="S2809" i="16" s="1"/>
  <c r="D2809" i="16"/>
  <c r="L2810" i="16"/>
  <c r="G2810" i="16"/>
  <c r="C2810" i="16"/>
  <c r="I2810" i="16"/>
  <c r="B2811" i="16"/>
  <c r="E2810" i="16"/>
  <c r="U2754" i="16"/>
  <c r="S2754" i="16"/>
  <c r="M2755" i="16"/>
  <c r="D2755" i="16"/>
  <c r="J2755" i="16"/>
  <c r="N2755" i="16" s="1"/>
  <c r="P2755" i="16"/>
  <c r="Q2755" i="16"/>
  <c r="R2755" i="16"/>
  <c r="T2755" i="16"/>
  <c r="L2756" i="16"/>
  <c r="C2756" i="16"/>
  <c r="K2756" i="16" s="1"/>
  <c r="E2756" i="16"/>
  <c r="F2756" i="16"/>
  <c r="O2756" i="16" s="1"/>
  <c r="G2756" i="16"/>
  <c r="I2756" i="16"/>
  <c r="B2757" i="16"/>
  <c r="P2701" i="16"/>
  <c r="Q2701" i="16"/>
  <c r="R2701" i="16"/>
  <c r="T2701" i="16"/>
  <c r="L2702" i="16"/>
  <c r="I2702" i="16"/>
  <c r="B2703" i="16"/>
  <c r="E2702" i="16"/>
  <c r="C2702" i="16"/>
  <c r="G2702" i="16"/>
  <c r="D2701" i="16"/>
  <c r="J2701" i="16"/>
  <c r="P2647" i="16"/>
  <c r="Q2647" i="16"/>
  <c r="R2647" i="16"/>
  <c r="T2647" i="16"/>
  <c r="D2647" i="16"/>
  <c r="J2647" i="16"/>
  <c r="L2648" i="16"/>
  <c r="E2648" i="16"/>
  <c r="B2649" i="16"/>
  <c r="I2648" i="16"/>
  <c r="C2648" i="16"/>
  <c r="G2648" i="16"/>
  <c r="M2593" i="16"/>
  <c r="D2593" i="16"/>
  <c r="J2593" i="16"/>
  <c r="N2593" i="16" s="1"/>
  <c r="L2594" i="16"/>
  <c r="E2594" i="16"/>
  <c r="B2595" i="16"/>
  <c r="I2594" i="16"/>
  <c r="C2594" i="16"/>
  <c r="G2594" i="16"/>
  <c r="P2593" i="16"/>
  <c r="Q2593" i="16"/>
  <c r="R2593" i="16"/>
  <c r="T2593"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D2431" i="16"/>
  <c r="J2431" i="16"/>
  <c r="P2431" i="16"/>
  <c r="Q2431" i="16"/>
  <c r="R2431" i="16"/>
  <c r="T2431" i="16"/>
  <c r="L2432" i="16"/>
  <c r="C2432" i="16"/>
  <c r="K2432" i="16" s="1"/>
  <c r="E2432" i="16"/>
  <c r="F2432" i="16"/>
  <c r="O2432" i="16" s="1"/>
  <c r="G2432" i="16"/>
  <c r="I2432" i="16"/>
  <c r="B2433" i="16"/>
  <c r="U2376" i="16"/>
  <c r="S2376" i="16"/>
  <c r="D2377" i="16"/>
  <c r="J2377" i="16"/>
  <c r="P2377" i="16"/>
  <c r="Q2377" i="16"/>
  <c r="R2377" i="16"/>
  <c r="T2377" i="16"/>
  <c r="L2378" i="16"/>
  <c r="C2378" i="16"/>
  <c r="E2378" i="16"/>
  <c r="G2378" i="16"/>
  <c r="I2378" i="16"/>
  <c r="B2379" i="16"/>
  <c r="M2323" i="16"/>
  <c r="D2323" i="16"/>
  <c r="J2323" i="16"/>
  <c r="N2323" i="16" s="1"/>
  <c r="P2323" i="16"/>
  <c r="Q2323" i="16"/>
  <c r="R2323" i="16"/>
  <c r="T2323" i="16"/>
  <c r="L2324" i="16"/>
  <c r="C2324" i="16"/>
  <c r="K2324" i="16" s="1"/>
  <c r="B2325" i="16"/>
  <c r="E2324" i="16"/>
  <c r="G2324" i="16"/>
  <c r="I2324" i="16"/>
  <c r="F2324" i="16"/>
  <c r="O2324" i="16" s="1"/>
  <c r="U2268" i="16"/>
  <c r="S2268" i="16"/>
  <c r="M2269" i="16"/>
  <c r="D2269" i="16"/>
  <c r="J2269" i="16"/>
  <c r="N2269" i="16" s="1"/>
  <c r="P2269" i="16"/>
  <c r="Q2269" i="16"/>
  <c r="R2269" i="16"/>
  <c r="T2269" i="16"/>
  <c r="L2270" i="16"/>
  <c r="C2270" i="16"/>
  <c r="K2270" i="16" s="1"/>
  <c r="E2270" i="16"/>
  <c r="F2270" i="16"/>
  <c r="O2270" i="16" s="1"/>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D2161" i="16"/>
  <c r="J2161" i="16"/>
  <c r="P2161" i="16"/>
  <c r="Q2161" i="16"/>
  <c r="R2161" i="16"/>
  <c r="T2161" i="16"/>
  <c r="L2162" i="16"/>
  <c r="C2162" i="16"/>
  <c r="K2162" i="16" s="1"/>
  <c r="E2162" i="16"/>
  <c r="F2162" i="16"/>
  <c r="O2162" i="16" s="1"/>
  <c r="G2162" i="16"/>
  <c r="I2162" i="16"/>
  <c r="B2163" i="16"/>
  <c r="S2106" i="16"/>
  <c r="U2106" i="16"/>
  <c r="L2108" i="16"/>
  <c r="E2108" i="16"/>
  <c r="C2108" i="16"/>
  <c r="K2108" i="16" s="1"/>
  <c r="G2108" i="16"/>
  <c r="F2108" i="16"/>
  <c r="O2108" i="16" s="1"/>
  <c r="I2108" i="16"/>
  <c r="B2109" i="16"/>
  <c r="P2107" i="16"/>
  <c r="Q2107" i="16"/>
  <c r="R2107" i="16"/>
  <c r="T2107" i="16"/>
  <c r="D2107" i="16"/>
  <c r="J2107" i="16"/>
  <c r="U2052" i="16"/>
  <c r="S2052" i="16"/>
  <c r="M2053" i="16"/>
  <c r="D2053" i="16"/>
  <c r="J2053" i="16"/>
  <c r="N2053" i="16" s="1"/>
  <c r="P2053" i="16"/>
  <c r="Q2053" i="16"/>
  <c r="R2053" i="16"/>
  <c r="T2053" i="16"/>
  <c r="L2054" i="16"/>
  <c r="C2054" i="16"/>
  <c r="E2054" i="16"/>
  <c r="G2054" i="16"/>
  <c r="I2054" i="16"/>
  <c r="B2055" i="16"/>
  <c r="M1999" i="16"/>
  <c r="D1999" i="16"/>
  <c r="J1999" i="16"/>
  <c r="N1999" i="16" s="1"/>
  <c r="P1999" i="16"/>
  <c r="Q1999" i="16"/>
  <c r="R1999" i="16"/>
  <c r="T1999" i="16"/>
  <c r="L2000" i="16"/>
  <c r="C2000" i="16"/>
  <c r="K2000" i="16" s="1"/>
  <c r="E2000" i="16"/>
  <c r="F2000" i="16"/>
  <c r="O2000" i="16" s="1"/>
  <c r="G2000" i="16"/>
  <c r="I2000" i="16"/>
  <c r="B2001" i="16"/>
  <c r="M1945" i="16"/>
  <c r="D1945" i="16"/>
  <c r="J1945" i="16"/>
  <c r="N1945" i="16" s="1"/>
  <c r="P1945" i="16"/>
  <c r="Q1945" i="16"/>
  <c r="R1945" i="16"/>
  <c r="T1945" i="16"/>
  <c r="L1946" i="16"/>
  <c r="C1946" i="16"/>
  <c r="K1946" i="16" s="1"/>
  <c r="E1946" i="16"/>
  <c r="F1946" i="16"/>
  <c r="O1946" i="16" s="1"/>
  <c r="G1946" i="16"/>
  <c r="I1946" i="16"/>
  <c r="B1947" i="16"/>
  <c r="S1890" i="16"/>
  <c r="U1890" i="16"/>
  <c r="D1891" i="16"/>
  <c r="J1891" i="16"/>
  <c r="P1891" i="16"/>
  <c r="Q1891" i="16"/>
  <c r="R1891" i="16"/>
  <c r="T1891" i="16"/>
  <c r="L1892" i="16"/>
  <c r="C1892" i="16"/>
  <c r="K1892" i="16" s="1"/>
  <c r="E1892" i="16"/>
  <c r="F1892" i="16"/>
  <c r="O1892" i="16" s="1"/>
  <c r="G1892" i="16"/>
  <c r="I1892" i="16"/>
  <c r="B1893" i="16"/>
  <c r="U1836" i="16"/>
  <c r="S1836" i="16"/>
  <c r="D1837" i="16"/>
  <c r="J1837" i="16"/>
  <c r="P1837" i="16"/>
  <c r="Q1837" i="16"/>
  <c r="R1837" i="16"/>
  <c r="T1837" i="16"/>
  <c r="L1838" i="16"/>
  <c r="C1838" i="16"/>
  <c r="E1838" i="16"/>
  <c r="G1838" i="16"/>
  <c r="I1838" i="16"/>
  <c r="B1839" i="16"/>
  <c r="U1782" i="16"/>
  <c r="S1782" i="16"/>
  <c r="M1783" i="16"/>
  <c r="D1783" i="16"/>
  <c r="J1783" i="16"/>
  <c r="N1783" i="16" s="1"/>
  <c r="P1783" i="16"/>
  <c r="Q1783" i="16"/>
  <c r="R1783" i="16"/>
  <c r="T1783" i="16"/>
  <c r="L1784" i="16"/>
  <c r="C1784" i="16"/>
  <c r="E1784" i="16"/>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M1675" i="16"/>
  <c r="D1675" i="16"/>
  <c r="J1675" i="16"/>
  <c r="N1675" i="16" s="1"/>
  <c r="P1675" i="16"/>
  <c r="Q1675" i="16"/>
  <c r="R1675" i="16"/>
  <c r="T1675" i="16"/>
  <c r="L1676" i="16"/>
  <c r="C1676" i="16"/>
  <c r="K1676" i="16" s="1"/>
  <c r="E1676" i="16"/>
  <c r="F1676" i="16"/>
  <c r="O1676" i="16" s="1"/>
  <c r="G1676" i="16"/>
  <c r="I1676" i="16"/>
  <c r="B1677" i="16"/>
  <c r="U1620" i="16"/>
  <c r="S1620" i="16"/>
  <c r="D1621" i="16"/>
  <c r="J1621" i="16"/>
  <c r="P1621" i="16"/>
  <c r="Q1621" i="16"/>
  <c r="R1621" i="16"/>
  <c r="T1621" i="16"/>
  <c r="L1622" i="16"/>
  <c r="C1622" i="16"/>
  <c r="K1622" i="16" s="1"/>
  <c r="E1622" i="16"/>
  <c r="F1622" i="16"/>
  <c r="O1622" i="16" s="1"/>
  <c r="G1622" i="16"/>
  <c r="I1622" i="16"/>
  <c r="B1623" i="16"/>
  <c r="U1566" i="16"/>
  <c r="S1566" i="16"/>
  <c r="D1567" i="16"/>
  <c r="J1567" i="16"/>
  <c r="P1567" i="16"/>
  <c r="Q1567" i="16"/>
  <c r="R1567" i="16"/>
  <c r="T1567" i="16"/>
  <c r="L1568" i="16"/>
  <c r="C1568" i="16"/>
  <c r="E1568" i="16"/>
  <c r="G1568" i="16"/>
  <c r="I1568" i="16"/>
  <c r="B1569" i="16"/>
  <c r="U1512" i="16"/>
  <c r="S1512" i="16"/>
  <c r="M1513" i="16"/>
  <c r="D1513" i="16"/>
  <c r="J1513" i="16"/>
  <c r="N1513" i="16" s="1"/>
  <c r="P1513" i="16"/>
  <c r="Q1513" i="16"/>
  <c r="R1513" i="16"/>
  <c r="T1513" i="16"/>
  <c r="L1514" i="16"/>
  <c r="C1514" i="16"/>
  <c r="K1514" i="16" s="1"/>
  <c r="E1514" i="16"/>
  <c r="F1514" i="16"/>
  <c r="O1514" i="16" s="1"/>
  <c r="G1514" i="16"/>
  <c r="I1514" i="16"/>
  <c r="B1515" i="16"/>
  <c r="U1458" i="16"/>
  <c r="S1458" i="16"/>
  <c r="L1460" i="16"/>
  <c r="B1461" i="16"/>
  <c r="G1460" i="16"/>
  <c r="E1460" i="16"/>
  <c r="I1460" i="16"/>
  <c r="C1460" i="16"/>
  <c r="P1459" i="16"/>
  <c r="Q1459" i="16"/>
  <c r="R1459" i="16"/>
  <c r="T1459" i="16"/>
  <c r="D1459" i="16"/>
  <c r="J1459" i="16"/>
  <c r="U1404" i="16"/>
  <c r="S1404" i="16"/>
  <c r="M1405" i="16"/>
  <c r="P1405" i="16"/>
  <c r="Q1405" i="16"/>
  <c r="R1405" i="16"/>
  <c r="T1405" i="16"/>
  <c r="L1406" i="16"/>
  <c r="E1406" i="16"/>
  <c r="B1407" i="16"/>
  <c r="I1406" i="16"/>
  <c r="C1406" i="16"/>
  <c r="G1406" i="16"/>
  <c r="D1405" i="16"/>
  <c r="J1405" i="16"/>
  <c r="N1405" i="16" s="1"/>
  <c r="L1352" i="16"/>
  <c r="G1352" i="16"/>
  <c r="I1352" i="16"/>
  <c r="B1353" i="16"/>
  <c r="E1352" i="16"/>
  <c r="C1352" i="16"/>
  <c r="K1352" i="16" s="1"/>
  <c r="F1352" i="16"/>
  <c r="O1352" i="16" s="1"/>
  <c r="P1351" i="16"/>
  <c r="Q1351" i="16"/>
  <c r="R1351" i="16"/>
  <c r="T1351" i="16"/>
  <c r="D1351" i="16"/>
  <c r="J1351" i="16"/>
  <c r="L1298" i="16"/>
  <c r="C1298" i="16"/>
  <c r="G1298" i="16"/>
  <c r="B1299" i="16"/>
  <c r="I1298" i="16"/>
  <c r="E1298" i="16"/>
  <c r="P1297" i="16"/>
  <c r="Q1297" i="16"/>
  <c r="R1297" i="16"/>
  <c r="T1297" i="16"/>
  <c r="J1297" i="16"/>
  <c r="D1297" i="16"/>
  <c r="U1242" i="16"/>
  <c r="S1242" i="16"/>
  <c r="G1244" i="16"/>
  <c r="L1244" i="16"/>
  <c r="E1244" i="16"/>
  <c r="I1244" i="16"/>
  <c r="C1244" i="16"/>
  <c r="B1245" i="16"/>
  <c r="P1243" i="16"/>
  <c r="Q1243" i="16"/>
  <c r="R1243" i="16"/>
  <c r="T1243" i="16"/>
  <c r="D1243" i="16"/>
  <c r="J1243"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M1081" i="16"/>
  <c r="D1081" i="16"/>
  <c r="J1081" i="16"/>
  <c r="N1081" i="16" s="1"/>
  <c r="P1081" i="16"/>
  <c r="Q1081" i="16"/>
  <c r="R1081" i="16"/>
  <c r="T1081" i="16"/>
  <c r="L1082" i="16"/>
  <c r="C1082" i="16"/>
  <c r="K1082" i="16" s="1"/>
  <c r="E1082" i="16"/>
  <c r="F1082" i="16"/>
  <c r="O1082" i="16" s="1"/>
  <c r="G1082" i="16"/>
  <c r="I1082" i="16"/>
  <c r="B1083" i="16"/>
  <c r="U1026" i="16"/>
  <c r="S1026" i="16"/>
  <c r="D1027" i="16"/>
  <c r="J1027" i="16"/>
  <c r="P1027" i="16"/>
  <c r="Q1027" i="16"/>
  <c r="R1027" i="16"/>
  <c r="T1027" i="16"/>
  <c r="L1028" i="16"/>
  <c r="C1028" i="16"/>
  <c r="E1028" i="16"/>
  <c r="G1028" i="16"/>
  <c r="I1028" i="16"/>
  <c r="B1029" i="16"/>
  <c r="U972" i="16"/>
  <c r="S972" i="16"/>
  <c r="M973" i="16"/>
  <c r="D973" i="16"/>
  <c r="J973" i="16"/>
  <c r="N973" i="16" s="1"/>
  <c r="P973" i="16"/>
  <c r="Q973" i="16"/>
  <c r="R973" i="16"/>
  <c r="T973" i="16"/>
  <c r="L974" i="16"/>
  <c r="C974" i="16"/>
  <c r="E974" i="16"/>
  <c r="G974" i="16"/>
  <c r="I974" i="16"/>
  <c r="B975" i="16"/>
  <c r="U918" i="16"/>
  <c r="S918" i="16"/>
  <c r="M919" i="16"/>
  <c r="D919" i="16"/>
  <c r="J919" i="16"/>
  <c r="N919" i="16" s="1"/>
  <c r="P919" i="16"/>
  <c r="Q919" i="16"/>
  <c r="R919" i="16"/>
  <c r="T919" i="16"/>
  <c r="L920" i="16"/>
  <c r="C920" i="16"/>
  <c r="K920" i="16" s="1"/>
  <c r="E920" i="16"/>
  <c r="F920" i="16"/>
  <c r="O920" i="16" s="1"/>
  <c r="G920" i="16"/>
  <c r="I920" i="16"/>
  <c r="B921" i="16"/>
  <c r="M865" i="16"/>
  <c r="D865" i="16"/>
  <c r="J865" i="16"/>
  <c r="N865" i="16" s="1"/>
  <c r="P865" i="16"/>
  <c r="Q865" i="16"/>
  <c r="R865" i="16"/>
  <c r="T865" i="16"/>
  <c r="L866" i="16"/>
  <c r="C866" i="16"/>
  <c r="K866" i="16" s="1"/>
  <c r="E866" i="16"/>
  <c r="F866" i="16"/>
  <c r="O866" i="16" s="1"/>
  <c r="G866" i="16"/>
  <c r="I866" i="16"/>
  <c r="B867" i="16"/>
  <c r="M811" i="16"/>
  <c r="D811" i="16"/>
  <c r="J811" i="16"/>
  <c r="N811" i="16" s="1"/>
  <c r="P811" i="16"/>
  <c r="Q811" i="16"/>
  <c r="R811" i="16"/>
  <c r="T811" i="16"/>
  <c r="L812" i="16"/>
  <c r="C812" i="16"/>
  <c r="K812" i="16" s="1"/>
  <c r="E812" i="16"/>
  <c r="F812" i="16"/>
  <c r="O812" i="16" s="1"/>
  <c r="G812" i="16"/>
  <c r="I812" i="16"/>
  <c r="B813" i="16"/>
  <c r="U756" i="16"/>
  <c r="S756" i="16"/>
  <c r="M757" i="16"/>
  <c r="D757" i="16"/>
  <c r="J757" i="16"/>
  <c r="N757" i="16" s="1"/>
  <c r="P757" i="16"/>
  <c r="Q757" i="16"/>
  <c r="R757" i="16"/>
  <c r="T757" i="16"/>
  <c r="L758" i="16"/>
  <c r="C758" i="16"/>
  <c r="E758" i="16"/>
  <c r="G758" i="16"/>
  <c r="I758" i="16"/>
  <c r="B759" i="16"/>
  <c r="U702" i="16"/>
  <c r="S702" i="16"/>
  <c r="M703" i="16"/>
  <c r="D703" i="16"/>
  <c r="J703" i="16"/>
  <c r="N703" i="16" s="1"/>
  <c r="P703" i="16"/>
  <c r="Q703" i="16"/>
  <c r="R703" i="16"/>
  <c r="T703" i="16"/>
  <c r="L704" i="16"/>
  <c r="C704" i="16"/>
  <c r="E704" i="16"/>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K596" i="16" s="1"/>
  <c r="E596" i="16"/>
  <c r="F596" i="16"/>
  <c r="O596" i="16" s="1"/>
  <c r="G596" i="16"/>
  <c r="I596" i="16"/>
  <c r="B597" i="16"/>
  <c r="U540" i="16"/>
  <c r="S540" i="16"/>
  <c r="D541" i="16"/>
  <c r="J541" i="16"/>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E434" i="16"/>
  <c r="G434" i="16"/>
  <c r="I434" i="16"/>
  <c r="B435" i="16"/>
  <c r="U378" i="16"/>
  <c r="S378" i="16"/>
  <c r="M379" i="16"/>
  <c r="D379" i="16"/>
  <c r="J379" i="16"/>
  <c r="N379" i="16" s="1"/>
  <c r="P379" i="16"/>
  <c r="Q379" i="16"/>
  <c r="R379" i="16"/>
  <c r="T379" i="16"/>
  <c r="L380" i="16"/>
  <c r="C380" i="16"/>
  <c r="K380" i="16" s="1"/>
  <c r="E380" i="16"/>
  <c r="F380" i="16"/>
  <c r="O380" i="16" s="1"/>
  <c r="G380" i="16"/>
  <c r="I380" i="16"/>
  <c r="B381" i="16"/>
  <c r="M325" i="16"/>
  <c r="D325" i="16"/>
  <c r="J325" i="16"/>
  <c r="N325" i="16" s="1"/>
  <c r="P325" i="16"/>
  <c r="Q325" i="16"/>
  <c r="R325" i="16"/>
  <c r="T325" i="16"/>
  <c r="L326" i="16"/>
  <c r="C326" i="16"/>
  <c r="K326" i="16" s="1"/>
  <c r="E326" i="16"/>
  <c r="F326" i="16"/>
  <c r="O326" i="16" s="1"/>
  <c r="G326" i="16"/>
  <c r="I326" i="16"/>
  <c r="B327" i="16"/>
  <c r="U270" i="16"/>
  <c r="S270" i="16"/>
  <c r="M271" i="16"/>
  <c r="D271" i="16"/>
  <c r="J271" i="16"/>
  <c r="N271" i="16" s="1"/>
  <c r="P271" i="16"/>
  <c r="Q271" i="16"/>
  <c r="R271" i="16"/>
  <c r="T271" i="16"/>
  <c r="L272" i="16"/>
  <c r="C272" i="16"/>
  <c r="K272" i="16" s="1"/>
  <c r="E272" i="16"/>
  <c r="F272" i="16"/>
  <c r="O272" i="16" s="1"/>
  <c r="G272" i="16"/>
  <c r="I272" i="16"/>
  <c r="B273" i="16"/>
  <c r="U216" i="16"/>
  <c r="S216" i="16"/>
  <c r="M217" i="16"/>
  <c r="L218" i="16"/>
  <c r="G218" i="16"/>
  <c r="I218" i="16"/>
  <c r="B219" i="16"/>
  <c r="C218" i="16"/>
  <c r="E218" i="16"/>
  <c r="D217" i="16"/>
  <c r="J217" i="16"/>
  <c r="N217" i="16" s="1"/>
  <c r="P217" i="16"/>
  <c r="Q217" i="16"/>
  <c r="R217" i="16"/>
  <c r="T217" i="16"/>
  <c r="P163" i="16"/>
  <c r="Q163" i="16"/>
  <c r="R163" i="16"/>
  <c r="T163" i="16"/>
  <c r="D163" i="16"/>
  <c r="J163" i="16"/>
  <c r="L164" i="16"/>
  <c r="C164" i="16"/>
  <c r="K164" i="16" s="1"/>
  <c r="E164" i="16"/>
  <c r="F164" i="16"/>
  <c r="O164" i="16" s="1"/>
  <c r="G164" i="16"/>
  <c r="B165" i="16"/>
  <c r="I164" i="16"/>
  <c r="M109" i="16"/>
  <c r="L110" i="16"/>
  <c r="G110" i="16"/>
  <c r="I110" i="16"/>
  <c r="C110" i="16"/>
  <c r="K110" i="16" s="1"/>
  <c r="E110" i="16"/>
  <c r="F110" i="16"/>
  <c r="O110" i="16" s="1"/>
  <c r="B111" i="16"/>
  <c r="J109" i="16"/>
  <c r="N109" i="16" s="1"/>
  <c r="D109" i="16"/>
  <c r="P109" i="16"/>
  <c r="Q109" i="16"/>
  <c r="R109" i="16"/>
  <c r="T109" i="16"/>
  <c r="C80" i="7"/>
  <c r="G80" i="7" s="1"/>
  <c r="U46" i="4"/>
  <c r="S46" i="4"/>
  <c r="F50" i="7"/>
  <c r="F46" i="5"/>
  <c r="G46" i="5"/>
  <c r="H46" i="5"/>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G47" i="5" s="1"/>
  <c r="R47" i="4"/>
  <c r="H47" i="5" s="1"/>
  <c r="T47" i="4"/>
  <c r="V47" i="4"/>
  <c r="L48" i="4"/>
  <c r="C48" i="4"/>
  <c r="K48" i="4" s="1"/>
  <c r="E48" i="4"/>
  <c r="F48" i="4"/>
  <c r="C48" i="5" s="1"/>
  <c r="E48" i="5" s="1"/>
  <c r="G48" i="4"/>
  <c r="BA48" i="4" s="1"/>
  <c r="I48" i="4"/>
  <c r="B49" i="4"/>
  <c r="B48" i="5"/>
  <c r="BB16" i="4"/>
  <c r="B95" i="7"/>
  <c r="I95"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4187" i="16"/>
  <c r="S4187" i="16"/>
  <c r="U4133" i="16"/>
  <c r="S4133" i="16"/>
  <c r="U3509" i="16"/>
  <c r="S3509" i="16"/>
  <c r="U3185" i="16"/>
  <c r="S3185" i="16"/>
  <c r="U3023" i="16"/>
  <c r="S3023" i="16"/>
  <c r="U2915" i="16"/>
  <c r="S2915" i="16"/>
  <c r="U2861" i="16"/>
  <c r="S2861" i="16"/>
  <c r="U2645" i="16"/>
  <c r="S2645" i="16"/>
  <c r="U2429" i="16"/>
  <c r="S2429" i="16"/>
  <c r="U2375" i="16"/>
  <c r="S2375" i="16"/>
  <c r="U2159" i="16"/>
  <c r="S2159" i="16"/>
  <c r="U2105" i="16"/>
  <c r="S2105" i="16"/>
  <c r="U1943" i="16"/>
  <c r="S1943" i="16"/>
  <c r="S1889" i="16"/>
  <c r="U1889" i="16"/>
  <c r="U1835" i="16"/>
  <c r="S1835" i="16"/>
  <c r="S1673" i="16"/>
  <c r="U1673" i="16"/>
  <c r="U1619" i="16"/>
  <c r="S1619" i="16"/>
  <c r="U1403" i="16"/>
  <c r="S1403" i="16"/>
  <c r="U1349" i="16"/>
  <c r="S1349" i="16"/>
  <c r="U1295" i="16"/>
  <c r="S1295" i="16"/>
  <c r="U539" i="16"/>
  <c r="S539" i="16"/>
  <c r="U323" i="16"/>
  <c r="S323" i="16"/>
  <c r="U161" i="16"/>
  <c r="S161" i="16"/>
  <c r="S107" i="16"/>
  <c r="U107" i="16"/>
  <c r="N4188" i="16"/>
  <c r="M4188" i="16"/>
  <c r="M3672" i="16"/>
  <c r="N3672" i="16"/>
  <c r="M3510" i="16"/>
  <c r="N3510" i="16"/>
  <c r="N3024" i="16"/>
  <c r="M3024" i="16"/>
  <c r="N2862" i="16"/>
  <c r="M2862" i="16"/>
  <c r="M2700" i="16"/>
  <c r="N2700" i="16"/>
  <c r="M2646" i="16"/>
  <c r="N2646" i="16"/>
  <c r="N2592" i="16"/>
  <c r="M2592" i="16"/>
  <c r="M2322" i="16"/>
  <c r="N2322" i="16"/>
  <c r="M1998" i="16"/>
  <c r="N1998" i="16"/>
  <c r="M1944" i="16"/>
  <c r="N1944" i="16"/>
  <c r="M1674" i="16"/>
  <c r="N1674" i="16"/>
  <c r="N1350" i="16"/>
  <c r="M1350" i="16"/>
  <c r="N1296" i="16"/>
  <c r="M1296" i="16"/>
  <c r="M1080" i="16"/>
  <c r="N1080" i="16"/>
  <c r="M864" i="16"/>
  <c r="N864" i="16"/>
  <c r="M810" i="16"/>
  <c r="N810" i="16"/>
  <c r="M324" i="16"/>
  <c r="N324" i="16"/>
  <c r="M162" i="16"/>
  <c r="N162" i="16"/>
  <c r="N108" i="16"/>
  <c r="M108" i="16"/>
  <c r="K4597" i="16"/>
  <c r="F4597" i="16"/>
  <c r="F4081" i="16"/>
  <c r="O4081" i="16" s="1"/>
  <c r="K4081" i="16"/>
  <c r="K3673" i="16"/>
  <c r="F3673" i="16"/>
  <c r="O3673" i="16" s="1"/>
  <c r="K3565" i="16"/>
  <c r="F3565" i="16"/>
  <c r="O3565" i="16" s="1"/>
  <c r="K3511" i="16"/>
  <c r="F3511" i="16"/>
  <c r="O3511" i="16" s="1"/>
  <c r="F3187" i="16"/>
  <c r="O3187" i="16" s="1"/>
  <c r="K3187" i="16"/>
  <c r="F3079" i="16"/>
  <c r="O3079" i="16" s="1"/>
  <c r="K3079" i="16"/>
  <c r="K2971" i="16"/>
  <c r="F2971" i="16"/>
  <c r="O2971" i="16" s="1"/>
  <c r="F2863" i="16"/>
  <c r="O2863" i="16" s="1"/>
  <c r="K2863" i="16"/>
  <c r="K2701" i="16"/>
  <c r="F2701" i="16"/>
  <c r="O2701" i="16" s="1"/>
  <c r="F2647" i="16"/>
  <c r="O2647" i="16" s="1"/>
  <c r="K2647" i="16"/>
  <c r="K2431" i="16"/>
  <c r="F2431" i="16"/>
  <c r="O2431" i="16" s="1"/>
  <c r="F2377" i="16"/>
  <c r="O2377" i="16" s="1"/>
  <c r="K2377" i="16"/>
  <c r="F2161" i="16"/>
  <c r="O2161" i="16" s="1"/>
  <c r="K2161" i="16"/>
  <c r="K2107" i="16"/>
  <c r="F2107" i="16"/>
  <c r="O2107" i="16" s="1"/>
  <c r="F1891" i="16"/>
  <c r="O1891" i="16" s="1"/>
  <c r="K1891" i="16"/>
  <c r="F1837" i="16"/>
  <c r="O1837" i="16" s="1"/>
  <c r="K1837" i="16"/>
  <c r="K1621" i="16"/>
  <c r="F1621" i="16"/>
  <c r="O1621" i="16" s="1"/>
  <c r="F1567" i="16"/>
  <c r="O1567" i="16" s="1"/>
  <c r="K1567" i="16"/>
  <c r="K1459" i="16"/>
  <c r="F1459" i="16"/>
  <c r="O1459" i="16" s="1"/>
  <c r="K1351" i="16"/>
  <c r="F1351" i="16"/>
  <c r="O1351" i="16" s="1"/>
  <c r="F1297" i="16"/>
  <c r="O1297" i="16" s="1"/>
  <c r="K1297" i="16"/>
  <c r="F1243" i="16"/>
  <c r="O1243" i="16" s="1"/>
  <c r="K1243" i="16"/>
  <c r="K1027" i="16"/>
  <c r="F1027" i="16"/>
  <c r="O1027" i="16" s="1"/>
  <c r="F541" i="16"/>
  <c r="O541" i="16" s="1"/>
  <c r="K541" i="16"/>
  <c r="K163" i="16"/>
  <c r="F163" i="16"/>
  <c r="O163" i="16" s="1"/>
  <c r="K2864" i="16" l="1"/>
  <c r="F2864" i="16"/>
  <c r="O2864" i="16" s="1"/>
  <c r="K1298" i="16"/>
  <c r="F1298" i="16"/>
  <c r="O1298" i="16" s="1"/>
  <c r="F1028" i="16"/>
  <c r="O1028" i="16" s="1"/>
  <c r="K1028" i="16"/>
  <c r="T4704" i="16"/>
  <c r="D35" i="11" s="1"/>
  <c r="S4705" i="16"/>
  <c r="T4705" i="16" s="1"/>
  <c r="D36" i="11" s="1"/>
  <c r="U4705" i="16"/>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M4598" i="16"/>
  <c r="D4598" i="16"/>
  <c r="J4598" i="16"/>
  <c r="N4598" i="16" s="1"/>
  <c r="P4598" i="16"/>
  <c r="Q4598" i="16"/>
  <c r="R4598" i="16"/>
  <c r="L4599" i="16"/>
  <c r="C4599" i="16"/>
  <c r="E4599" i="16"/>
  <c r="G4599" i="16"/>
  <c r="I4599" i="16"/>
  <c r="B4600" i="16"/>
  <c r="E4545" i="16"/>
  <c r="L4545" i="16"/>
  <c r="B4546" i="16"/>
  <c r="C4545" i="16"/>
  <c r="G4545" i="16"/>
  <c r="I4545" i="16"/>
  <c r="J4544" i="16"/>
  <c r="D4544" i="16"/>
  <c r="P4544" i="16"/>
  <c r="Q4544" i="16"/>
  <c r="R4544" i="16"/>
  <c r="U4243" i="16"/>
  <c r="S4243" i="16"/>
  <c r="D4244" i="16"/>
  <c r="J4244" i="16"/>
  <c r="P4244" i="16"/>
  <c r="Q4244" i="16"/>
  <c r="R4244" i="16"/>
  <c r="T4244" i="16"/>
  <c r="L4245" i="16"/>
  <c r="C4245" i="16"/>
  <c r="K4245" i="16" s="1"/>
  <c r="E4245" i="16"/>
  <c r="F4245" i="16"/>
  <c r="O4245" i="16" s="1"/>
  <c r="G4245" i="16"/>
  <c r="I4245" i="16"/>
  <c r="B4246" i="16"/>
  <c r="U4189" i="16"/>
  <c r="S4189" i="16"/>
  <c r="D4190" i="16"/>
  <c r="J4190" i="16"/>
  <c r="N4190" i="16" s="1"/>
  <c r="P4190" i="16"/>
  <c r="Q4190" i="16"/>
  <c r="R4190" i="16"/>
  <c r="T4190" i="16"/>
  <c r="M4190" i="16"/>
  <c r="C4191" i="16"/>
  <c r="E4191" i="16"/>
  <c r="F4191" i="16"/>
  <c r="O4191" i="16" s="1"/>
  <c r="G4191" i="16"/>
  <c r="I4191" i="16"/>
  <c r="K4191" i="16"/>
  <c r="L4191" i="16"/>
  <c r="B4192" i="16"/>
  <c r="U4135" i="16"/>
  <c r="S4135" i="16"/>
  <c r="D4136" i="16"/>
  <c r="J4136" i="16"/>
  <c r="N4136" i="16" s="1"/>
  <c r="P4136" i="16"/>
  <c r="R4136" i="16"/>
  <c r="Q4136" i="16"/>
  <c r="T4136" i="16"/>
  <c r="M4136" i="16"/>
  <c r="G4137" i="16"/>
  <c r="B4138" i="16"/>
  <c r="C4137" i="16"/>
  <c r="K4137" i="16" s="1"/>
  <c r="E4137" i="16"/>
  <c r="F4137" i="16"/>
  <c r="O4137" i="16" s="1"/>
  <c r="L4137" i="16"/>
  <c r="I4137" i="16"/>
  <c r="M4082" i="16"/>
  <c r="D4082" i="16"/>
  <c r="J4082" i="16"/>
  <c r="N4082" i="16" s="1"/>
  <c r="P4082" i="16"/>
  <c r="Q4082" i="16"/>
  <c r="R4082" i="16"/>
  <c r="T4082" i="16"/>
  <c r="L4083" i="16"/>
  <c r="C4083" i="16"/>
  <c r="E4083" i="16"/>
  <c r="G4083" i="16"/>
  <c r="I4083" i="16"/>
  <c r="B4084" i="16"/>
  <c r="U3781" i="16"/>
  <c r="S3781" i="16"/>
  <c r="D3782" i="16"/>
  <c r="J3782" i="16"/>
  <c r="P3782" i="16"/>
  <c r="Q3782" i="16"/>
  <c r="R3782" i="16"/>
  <c r="T3782" i="16"/>
  <c r="L3783" i="16"/>
  <c r="C3783" i="16"/>
  <c r="K3783" i="16" s="1"/>
  <c r="E3783" i="16"/>
  <c r="F3783" i="16"/>
  <c r="O3783" i="16" s="1"/>
  <c r="G3783" i="16"/>
  <c r="I3783" i="16"/>
  <c r="B3784" i="16"/>
  <c r="U3727" i="16"/>
  <c r="S3727" i="16"/>
  <c r="M3728" i="16"/>
  <c r="D3728" i="16"/>
  <c r="J3728" i="16"/>
  <c r="N3728" i="16" s="1"/>
  <c r="P3728" i="16"/>
  <c r="Q3728" i="16"/>
  <c r="R3728" i="16"/>
  <c r="T3728" i="16"/>
  <c r="L3729" i="16"/>
  <c r="C3729" i="16"/>
  <c r="E3729" i="16"/>
  <c r="G3729" i="16"/>
  <c r="I3729" i="16"/>
  <c r="B3730" i="16"/>
  <c r="P3674" i="16"/>
  <c r="Q3674" i="16"/>
  <c r="R3674" i="16"/>
  <c r="T3674" i="16"/>
  <c r="L3675" i="16"/>
  <c r="C3675" i="16"/>
  <c r="K3675" i="16" s="1"/>
  <c r="E3675" i="16"/>
  <c r="G3675" i="16"/>
  <c r="B3676" i="16"/>
  <c r="F3675" i="16"/>
  <c r="O3675" i="16" s="1"/>
  <c r="I3675" i="16"/>
  <c r="J3674" i="16"/>
  <c r="D3674" i="16"/>
  <c r="U3619" i="16"/>
  <c r="S3619" i="16"/>
  <c r="M3620" i="16"/>
  <c r="D3620" i="16"/>
  <c r="J3620" i="16"/>
  <c r="N3620" i="16" s="1"/>
  <c r="P3620" i="16"/>
  <c r="Q3620" i="16"/>
  <c r="R3620" i="16"/>
  <c r="T3620" i="16"/>
  <c r="L3621" i="16"/>
  <c r="C3621" i="16"/>
  <c r="E3621" i="16"/>
  <c r="G3621" i="16"/>
  <c r="I3621" i="16"/>
  <c r="B3622" i="16"/>
  <c r="M3566" i="16"/>
  <c r="D3566" i="16"/>
  <c r="J3566" i="16"/>
  <c r="N3566" i="16" s="1"/>
  <c r="P3566" i="16"/>
  <c r="Q3566" i="16"/>
  <c r="R3566" i="16"/>
  <c r="T3566" i="16"/>
  <c r="L3567" i="16"/>
  <c r="C3567" i="16"/>
  <c r="K3567" i="16" s="1"/>
  <c r="E3567" i="16"/>
  <c r="F3567" i="16"/>
  <c r="O3567" i="16" s="1"/>
  <c r="G3567" i="16"/>
  <c r="I3567" i="16"/>
  <c r="B3568" i="16"/>
  <c r="M3512" i="16"/>
  <c r="D3512" i="16"/>
  <c r="J3512" i="16"/>
  <c r="N3512" i="16" s="1"/>
  <c r="P3512" i="16"/>
  <c r="Q3512" i="16"/>
  <c r="R3512" i="16"/>
  <c r="T3512" i="16"/>
  <c r="L3513" i="16"/>
  <c r="C3513" i="16"/>
  <c r="K3513" i="16" s="1"/>
  <c r="E3513" i="16"/>
  <c r="F3513" i="16"/>
  <c r="O3513" i="16" s="1"/>
  <c r="G3513" i="16"/>
  <c r="I3513" i="16"/>
  <c r="B3514" i="16"/>
  <c r="S3457" i="16"/>
  <c r="U3457" i="16"/>
  <c r="D3458" i="16"/>
  <c r="J3458" i="16"/>
  <c r="P3458" i="16"/>
  <c r="Q3458" i="16"/>
  <c r="R3458" i="16"/>
  <c r="T3458" i="16"/>
  <c r="L3459" i="16"/>
  <c r="C3459" i="16"/>
  <c r="E3459" i="16"/>
  <c r="G3459" i="16"/>
  <c r="B3460" i="16"/>
  <c r="I3459" i="16"/>
  <c r="U3403" i="16"/>
  <c r="S3403" i="16"/>
  <c r="M3404" i="16"/>
  <c r="D3404" i="16"/>
  <c r="J3404" i="16"/>
  <c r="N3404" i="16" s="1"/>
  <c r="P3404" i="16"/>
  <c r="Q3404" i="16"/>
  <c r="R3404" i="16"/>
  <c r="T3404" i="16"/>
  <c r="L3405" i="16"/>
  <c r="C3405" i="16"/>
  <c r="K3405" i="16" s="1"/>
  <c r="E3405" i="16"/>
  <c r="F3405" i="16"/>
  <c r="O3405" i="16" s="1"/>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U3295" i="16"/>
  <c r="S3295" i="16"/>
  <c r="M3296" i="16"/>
  <c r="D3296" i="16"/>
  <c r="J3296" i="16"/>
  <c r="N3296" i="16" s="1"/>
  <c r="P3296" i="16"/>
  <c r="Q3296" i="16"/>
  <c r="R3296" i="16"/>
  <c r="T3296" i="16"/>
  <c r="L3297" i="16"/>
  <c r="C3297" i="16"/>
  <c r="K3297" i="16" s="1"/>
  <c r="E3297" i="16"/>
  <c r="F3297" i="16"/>
  <c r="O3297" i="16" s="1"/>
  <c r="G3297" i="16"/>
  <c r="I3297" i="16"/>
  <c r="B3298" i="16"/>
  <c r="S3241" i="16"/>
  <c r="U3241" i="16"/>
  <c r="D3242" i="16"/>
  <c r="J3242" i="16"/>
  <c r="P3242" i="16"/>
  <c r="Q3242" i="16"/>
  <c r="R3242" i="16"/>
  <c r="T3242" i="16"/>
  <c r="L3243" i="16"/>
  <c r="C3243" i="16"/>
  <c r="E3243" i="16"/>
  <c r="G3243" i="16"/>
  <c r="I3243" i="16"/>
  <c r="B3244" i="16"/>
  <c r="D3188" i="16"/>
  <c r="M3188" i="16" s="1"/>
  <c r="N3188" i="16" s="1"/>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K3135" i="16" s="1"/>
  <c r="E3135" i="16"/>
  <c r="F3135" i="16"/>
  <c r="O3135" i="16" s="1"/>
  <c r="G3135" i="16"/>
  <c r="I3135" i="16"/>
  <c r="B3136" i="16"/>
  <c r="D3080" i="16"/>
  <c r="J3080" i="16"/>
  <c r="P3080" i="16"/>
  <c r="Q3080" i="16"/>
  <c r="R3080" i="16"/>
  <c r="T3080" i="16"/>
  <c r="L3081" i="16"/>
  <c r="B3082" i="16"/>
  <c r="I3081" i="16"/>
  <c r="C3081" i="16"/>
  <c r="E3081" i="16"/>
  <c r="G3081" i="16"/>
  <c r="U3025" i="16"/>
  <c r="S3025" i="16"/>
  <c r="P3026" i="16"/>
  <c r="Q3026" i="16"/>
  <c r="R3026" i="16"/>
  <c r="T3026" i="16"/>
  <c r="J3026" i="16"/>
  <c r="D3026" i="16"/>
  <c r="L3027" i="16"/>
  <c r="C3027" i="16"/>
  <c r="B3028" i="16"/>
  <c r="E3027" i="16"/>
  <c r="G3027" i="16"/>
  <c r="I3027" i="16"/>
  <c r="D2972" i="16"/>
  <c r="J2972" i="16"/>
  <c r="P2972" i="16"/>
  <c r="Q2972" i="16"/>
  <c r="R2972" i="16"/>
  <c r="T2972" i="16"/>
  <c r="L2973" i="16"/>
  <c r="C2973" i="16"/>
  <c r="E2973" i="16"/>
  <c r="G2973" i="16"/>
  <c r="I2973" i="16"/>
  <c r="B2974" i="16"/>
  <c r="U2917" i="16"/>
  <c r="S2917" i="16"/>
  <c r="M2918" i="16"/>
  <c r="D2918" i="16"/>
  <c r="J2918" i="16"/>
  <c r="N2918" i="16" s="1"/>
  <c r="P2918" i="16"/>
  <c r="Q2918" i="16"/>
  <c r="R2918" i="16"/>
  <c r="T2918" i="16"/>
  <c r="L2919" i="16"/>
  <c r="C2919" i="16"/>
  <c r="K2919" i="16" s="1"/>
  <c r="E2919" i="16"/>
  <c r="F2919" i="16"/>
  <c r="O2919" i="16" s="1"/>
  <c r="G2919" i="16"/>
  <c r="I2919" i="16"/>
  <c r="B2920" i="16"/>
  <c r="M2864" i="16"/>
  <c r="L2865" i="16"/>
  <c r="G2865" i="16"/>
  <c r="I2865" i="16"/>
  <c r="B2866" i="16"/>
  <c r="C2865" i="16"/>
  <c r="E2865" i="16"/>
  <c r="D2864" i="16"/>
  <c r="J2864" i="16"/>
  <c r="N2864" i="16" s="1"/>
  <c r="P2864" i="16"/>
  <c r="Q2864" i="16"/>
  <c r="R2864" i="16"/>
  <c r="T2864" i="16"/>
  <c r="P2810" i="16"/>
  <c r="Q2810" i="16"/>
  <c r="R2810" i="16"/>
  <c r="T2810" i="16"/>
  <c r="U2810" i="16" s="1"/>
  <c r="D2810" i="16"/>
  <c r="J2810" i="16"/>
  <c r="L2811" i="16"/>
  <c r="C2811" i="16"/>
  <c r="K2811" i="16" s="1"/>
  <c r="B2812" i="16"/>
  <c r="F2811" i="16"/>
  <c r="O2811" i="16" s="1"/>
  <c r="E2811" i="16"/>
  <c r="G2811" i="16"/>
  <c r="I2811" i="16"/>
  <c r="U2755" i="16"/>
  <c r="S2755" i="16"/>
  <c r="M2756" i="16"/>
  <c r="D2756" i="16"/>
  <c r="J2756" i="16"/>
  <c r="N2756" i="16" s="1"/>
  <c r="P2756" i="16"/>
  <c r="Q2756" i="16"/>
  <c r="R2756" i="16"/>
  <c r="T2756" i="16"/>
  <c r="L2757" i="16"/>
  <c r="C2757" i="16"/>
  <c r="K2757" i="16" s="1"/>
  <c r="E2757" i="16"/>
  <c r="F2757" i="16"/>
  <c r="O2757" i="16" s="1"/>
  <c r="G2757" i="16"/>
  <c r="I2757" i="16"/>
  <c r="B2758" i="16"/>
  <c r="L2703" i="16"/>
  <c r="G2703" i="16"/>
  <c r="B2704" i="16"/>
  <c r="I2703" i="16"/>
  <c r="C2703" i="16"/>
  <c r="E2703" i="16"/>
  <c r="D2702" i="16"/>
  <c r="J2702" i="16"/>
  <c r="P2702" i="16"/>
  <c r="Q2702" i="16"/>
  <c r="R2702" i="16"/>
  <c r="T2702" i="16"/>
  <c r="L2649" i="16"/>
  <c r="G2649" i="16"/>
  <c r="C2649" i="16"/>
  <c r="E2649" i="16"/>
  <c r="B2650" i="16"/>
  <c r="I2649" i="16"/>
  <c r="J2648" i="16"/>
  <c r="D2648" i="16"/>
  <c r="P2648" i="16"/>
  <c r="Q2648" i="16"/>
  <c r="R2648" i="16"/>
  <c r="T2648" i="16"/>
  <c r="U2593" i="16"/>
  <c r="S2593" i="16"/>
  <c r="L2595" i="16"/>
  <c r="E2595" i="16"/>
  <c r="G2595" i="16"/>
  <c r="C2595" i="16"/>
  <c r="B2596" i="16"/>
  <c r="I2595" i="16"/>
  <c r="D2594" i="16"/>
  <c r="J2594" i="16"/>
  <c r="P2594" i="16"/>
  <c r="Q2594" i="16"/>
  <c r="R2594" i="16"/>
  <c r="T2594"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M2432" i="16"/>
  <c r="D2432" i="16"/>
  <c r="J2432" i="16"/>
  <c r="N2432" i="16" s="1"/>
  <c r="P2432" i="16"/>
  <c r="Q2432" i="16"/>
  <c r="R2432" i="16"/>
  <c r="T2432" i="16"/>
  <c r="L2433" i="16"/>
  <c r="C2433" i="16"/>
  <c r="K2433" i="16" s="1"/>
  <c r="E2433" i="16"/>
  <c r="F2433" i="16"/>
  <c r="O2433" i="16" s="1"/>
  <c r="G2433" i="16"/>
  <c r="I2433" i="16"/>
  <c r="B2434" i="16"/>
  <c r="D2378" i="16"/>
  <c r="J2378" i="16"/>
  <c r="P2378" i="16"/>
  <c r="Q2378" i="16"/>
  <c r="R2378" i="16"/>
  <c r="T2378" i="16"/>
  <c r="L2379" i="16"/>
  <c r="C2379" i="16"/>
  <c r="K2379" i="16" s="1"/>
  <c r="E2379" i="16"/>
  <c r="F2379" i="16"/>
  <c r="O2379" i="16" s="1"/>
  <c r="G2379" i="16"/>
  <c r="I2379" i="16"/>
  <c r="B2380" i="16"/>
  <c r="U2323" i="16"/>
  <c r="S2323" i="16"/>
  <c r="M2324" i="16"/>
  <c r="J2324" i="16"/>
  <c r="N2324" i="16" s="1"/>
  <c r="D2324" i="16"/>
  <c r="L2325" i="16"/>
  <c r="G2325" i="16"/>
  <c r="I2325" i="16"/>
  <c r="B2326" i="16"/>
  <c r="E2325" i="16"/>
  <c r="C2325" i="16"/>
  <c r="P2324" i="16"/>
  <c r="Q2324" i="16"/>
  <c r="R2324" i="16"/>
  <c r="T2324" i="16"/>
  <c r="U2269" i="16"/>
  <c r="S2269" i="16"/>
  <c r="M2270" i="16"/>
  <c r="D2270" i="16"/>
  <c r="J2270" i="16"/>
  <c r="N2270" i="16" s="1"/>
  <c r="P2270" i="16"/>
  <c r="Q2270" i="16"/>
  <c r="R2270" i="16"/>
  <c r="T2270" i="16"/>
  <c r="L2271" i="16"/>
  <c r="C2271" i="16"/>
  <c r="K2271" i="16" s="1"/>
  <c r="E2271" i="16"/>
  <c r="F2271" i="16"/>
  <c r="O2271" i="16" s="1"/>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M2162" i="16"/>
  <c r="D2162" i="16"/>
  <c r="J2162" i="16"/>
  <c r="N2162" i="16" s="1"/>
  <c r="P2162" i="16"/>
  <c r="Q2162" i="16"/>
  <c r="R2162" i="16"/>
  <c r="T2162" i="16"/>
  <c r="L2163" i="16"/>
  <c r="C2163" i="16"/>
  <c r="E2163" i="16"/>
  <c r="G2163" i="16"/>
  <c r="I2163" i="16"/>
  <c r="B2164" i="16"/>
  <c r="D2108" i="16"/>
  <c r="M2108" i="16" s="1"/>
  <c r="J2108" i="16"/>
  <c r="P2108" i="16"/>
  <c r="Q2108" i="16"/>
  <c r="R2108" i="16"/>
  <c r="T2108" i="16"/>
  <c r="L2109" i="16"/>
  <c r="B2110" i="16"/>
  <c r="C2109" i="16"/>
  <c r="I2109" i="16"/>
  <c r="G2109" i="16"/>
  <c r="E2109" i="16"/>
  <c r="U2053" i="16"/>
  <c r="S2053" i="16"/>
  <c r="D2054" i="16"/>
  <c r="J2054" i="16"/>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K2001" i="16" s="1"/>
  <c r="E2001" i="16"/>
  <c r="F2001" i="16"/>
  <c r="O2001" i="16" s="1"/>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M1892" i="16"/>
  <c r="D1892" i="16"/>
  <c r="J1892" i="16"/>
  <c r="N1892" i="16" s="1"/>
  <c r="P1892" i="16"/>
  <c r="Q1892" i="16"/>
  <c r="R1892" i="16"/>
  <c r="T1892" i="16"/>
  <c r="L1893" i="16"/>
  <c r="C1893" i="16"/>
  <c r="E1893" i="16"/>
  <c r="G1893" i="16"/>
  <c r="I1893" i="16"/>
  <c r="B1894" i="16"/>
  <c r="D1838" i="16"/>
  <c r="J1838" i="16"/>
  <c r="P1838" i="16"/>
  <c r="Q1838" i="16"/>
  <c r="R1838" i="16"/>
  <c r="T1838" i="16"/>
  <c r="L1839" i="16"/>
  <c r="C1839" i="16"/>
  <c r="K1839" i="16" s="1"/>
  <c r="E1839" i="16"/>
  <c r="F1839" i="16"/>
  <c r="O1839" i="16" s="1"/>
  <c r="G1839" i="16"/>
  <c r="I1839" i="16"/>
  <c r="B1840" i="16"/>
  <c r="U1783" i="16"/>
  <c r="S1783" i="16"/>
  <c r="D1784" i="16"/>
  <c r="J1784" i="16"/>
  <c r="P1784" i="16"/>
  <c r="Q1784" i="16"/>
  <c r="R1784" i="16"/>
  <c r="T1784" i="16"/>
  <c r="L1785" i="16"/>
  <c r="C1785" i="16"/>
  <c r="K1785" i="16" s="1"/>
  <c r="E1785" i="16"/>
  <c r="F1785" i="16"/>
  <c r="O1785" i="16" s="1"/>
  <c r="G1785" i="16"/>
  <c r="I1785" i="16"/>
  <c r="B1786" i="16"/>
  <c r="U1729" i="16"/>
  <c r="S1729" i="16"/>
  <c r="M1730" i="16"/>
  <c r="D1730" i="16"/>
  <c r="J1730" i="16"/>
  <c r="N1730" i="16" s="1"/>
  <c r="P1730" i="16"/>
  <c r="Q1730" i="16"/>
  <c r="R1730" i="16"/>
  <c r="T1730" i="16"/>
  <c r="L1731" i="16"/>
  <c r="C1731" i="16"/>
  <c r="K1731" i="16" s="1"/>
  <c r="E1731" i="16"/>
  <c r="F1731" i="16"/>
  <c r="O1731" i="16" s="1"/>
  <c r="G1731" i="16"/>
  <c r="I1731" i="16"/>
  <c r="B1732" i="16"/>
  <c r="S1675" i="16"/>
  <c r="U1675" i="16"/>
  <c r="M1676" i="16"/>
  <c r="D1676" i="16"/>
  <c r="J1676" i="16"/>
  <c r="N1676" i="16" s="1"/>
  <c r="P1676" i="16"/>
  <c r="Q1676" i="16"/>
  <c r="R1676" i="16"/>
  <c r="T1676" i="16"/>
  <c r="L1677" i="16"/>
  <c r="C1677" i="16"/>
  <c r="K1677" i="16" s="1"/>
  <c r="E1677" i="16"/>
  <c r="F1677" i="16"/>
  <c r="O1677" i="16" s="1"/>
  <c r="G1677" i="16"/>
  <c r="I1677" i="16"/>
  <c r="B1678" i="16"/>
  <c r="M1622" i="16"/>
  <c r="D1622" i="16"/>
  <c r="J1622" i="16"/>
  <c r="N1622" i="16" s="1"/>
  <c r="P1622" i="16"/>
  <c r="Q1622" i="16"/>
  <c r="R1622" i="16"/>
  <c r="T1622" i="16"/>
  <c r="L1623" i="16"/>
  <c r="C1623" i="16"/>
  <c r="E1623" i="16"/>
  <c r="G1623" i="16"/>
  <c r="I1623" i="16"/>
  <c r="B1624" i="16"/>
  <c r="D1568" i="16"/>
  <c r="J1568" i="16"/>
  <c r="P1568" i="16"/>
  <c r="Q1568" i="16"/>
  <c r="R1568" i="16"/>
  <c r="T1568" i="16"/>
  <c r="L1569" i="16"/>
  <c r="C1569" i="16"/>
  <c r="K1569" i="16" s="1"/>
  <c r="E1569" i="16"/>
  <c r="F1569" i="16"/>
  <c r="O1569" i="16" s="1"/>
  <c r="G1569" i="16"/>
  <c r="I1569" i="16"/>
  <c r="B1570" i="16"/>
  <c r="U1513" i="16"/>
  <c r="S1513" i="16"/>
  <c r="M1514" i="16"/>
  <c r="D1514" i="16"/>
  <c r="J1514" i="16"/>
  <c r="N1514" i="16" s="1"/>
  <c r="P1514" i="16"/>
  <c r="Q1514" i="16"/>
  <c r="R1514" i="16"/>
  <c r="T1514" i="16"/>
  <c r="L1515" i="16"/>
  <c r="C1515" i="16"/>
  <c r="E1515" i="16"/>
  <c r="G1515" i="16"/>
  <c r="I1515" i="16"/>
  <c r="B1516" i="16"/>
  <c r="L1461" i="16"/>
  <c r="I1461" i="16"/>
  <c r="E1461" i="16"/>
  <c r="B1462" i="16"/>
  <c r="C1461" i="16"/>
  <c r="K1461" i="16" s="1"/>
  <c r="F1461" i="16"/>
  <c r="O1461" i="16" s="1"/>
  <c r="G1461" i="16"/>
  <c r="P1460" i="16"/>
  <c r="Q1460" i="16"/>
  <c r="R1460" i="16"/>
  <c r="T1460" i="16"/>
  <c r="D1460" i="16"/>
  <c r="J1460" i="16"/>
  <c r="U1405" i="16"/>
  <c r="S1405" i="16"/>
  <c r="L1407" i="16"/>
  <c r="C1407" i="16"/>
  <c r="K1407" i="16" s="1"/>
  <c r="I1407" i="16"/>
  <c r="E1407" i="16"/>
  <c r="G1407" i="16"/>
  <c r="B1408" i="16"/>
  <c r="F1407" i="16"/>
  <c r="O1407" i="16" s="1"/>
  <c r="D1406" i="16"/>
  <c r="J1406" i="16"/>
  <c r="P1406" i="16"/>
  <c r="Q1406" i="16"/>
  <c r="R1406" i="16"/>
  <c r="T1406" i="16"/>
  <c r="M1352" i="16"/>
  <c r="P1352" i="16"/>
  <c r="Q1352" i="16"/>
  <c r="R1352" i="16"/>
  <c r="T1352" i="16"/>
  <c r="L1353" i="16"/>
  <c r="B1354" i="16"/>
  <c r="C1353" i="16"/>
  <c r="K1353" i="16" s="1"/>
  <c r="E1353" i="16"/>
  <c r="F1353" i="16"/>
  <c r="O1353" i="16" s="1"/>
  <c r="G1353" i="16"/>
  <c r="I1353" i="16"/>
  <c r="J1352" i="16"/>
  <c r="N1352" i="16" s="1"/>
  <c r="D1352" i="16"/>
  <c r="M1298" i="16"/>
  <c r="D1298" i="16"/>
  <c r="J1298" i="16"/>
  <c r="N1298" i="16" s="1"/>
  <c r="P1298" i="16"/>
  <c r="Q1298" i="16"/>
  <c r="R1298" i="16"/>
  <c r="T1298" i="16"/>
  <c r="L1299" i="16"/>
  <c r="E1299" i="16"/>
  <c r="G1299" i="16"/>
  <c r="B1300" i="16"/>
  <c r="C1299" i="16"/>
  <c r="I1299" i="16"/>
  <c r="P1244" i="16"/>
  <c r="Q1244" i="16"/>
  <c r="R1244" i="16"/>
  <c r="T1244" i="16"/>
  <c r="D1244" i="16"/>
  <c r="J1244" i="16"/>
  <c r="I1245" i="16"/>
  <c r="C1245" i="16"/>
  <c r="K1245" i="16"/>
  <c r="F1245" i="16"/>
  <c r="O1245" i="16" s="1"/>
  <c r="G1245" i="16"/>
  <c r="E1245" i="16"/>
  <c r="B1246" i="16"/>
  <c r="L1245"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M1082" i="16"/>
  <c r="D1082" i="16"/>
  <c r="J1082" i="16"/>
  <c r="N1082" i="16" s="1"/>
  <c r="P1082" i="16"/>
  <c r="Q1082" i="16"/>
  <c r="R1082" i="16"/>
  <c r="T1082" i="16"/>
  <c r="L1083" i="16"/>
  <c r="C1083" i="16"/>
  <c r="K1083" i="16" s="1"/>
  <c r="E1083" i="16"/>
  <c r="F1083" i="16"/>
  <c r="O1083" i="16" s="1"/>
  <c r="G1083" i="16"/>
  <c r="I1083" i="16"/>
  <c r="B1084" i="16"/>
  <c r="D1028" i="16"/>
  <c r="J1028" i="16"/>
  <c r="P1028" i="16"/>
  <c r="Q1028" i="16"/>
  <c r="R1028" i="16"/>
  <c r="T1028" i="16"/>
  <c r="L1029" i="16"/>
  <c r="C1029" i="16"/>
  <c r="K1029" i="16" s="1"/>
  <c r="E1029" i="16"/>
  <c r="F1029" i="16"/>
  <c r="O1029" i="16" s="1"/>
  <c r="G1029" i="16"/>
  <c r="I1029" i="16"/>
  <c r="B1030" i="16"/>
  <c r="U973" i="16"/>
  <c r="S973" i="16"/>
  <c r="D974" i="16"/>
  <c r="J974" i="16"/>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K867" i="16" s="1"/>
  <c r="E867" i="16"/>
  <c r="F867" i="16"/>
  <c r="O867" i="16" s="1"/>
  <c r="G867" i="16"/>
  <c r="I867" i="16"/>
  <c r="B868" i="16"/>
  <c r="U811" i="16"/>
  <c r="S811" i="16"/>
  <c r="M812" i="16"/>
  <c r="D812" i="16"/>
  <c r="J812" i="16"/>
  <c r="N812" i="16" s="1"/>
  <c r="P812" i="16"/>
  <c r="Q812" i="16"/>
  <c r="R812" i="16"/>
  <c r="T812" i="16"/>
  <c r="L813" i="16"/>
  <c r="C813" i="16"/>
  <c r="K813" i="16" s="1"/>
  <c r="E813" i="16"/>
  <c r="F813" i="16"/>
  <c r="O813" i="16" s="1"/>
  <c r="G813" i="16"/>
  <c r="I813" i="16"/>
  <c r="B814" i="16"/>
  <c r="U757" i="16"/>
  <c r="S757" i="16"/>
  <c r="D758" i="16"/>
  <c r="J758" i="16"/>
  <c r="P758" i="16"/>
  <c r="Q758" i="16"/>
  <c r="R758" i="16"/>
  <c r="T758" i="16"/>
  <c r="L759" i="16"/>
  <c r="C759" i="16"/>
  <c r="K759" i="16" s="1"/>
  <c r="E759" i="16"/>
  <c r="F759" i="16"/>
  <c r="O759" i="16" s="1"/>
  <c r="G759" i="16"/>
  <c r="I759" i="16"/>
  <c r="B760" i="16"/>
  <c r="U703" i="16"/>
  <c r="S703" i="16"/>
  <c r="D704" i="16"/>
  <c r="J704" i="16"/>
  <c r="P704" i="16"/>
  <c r="Q704" i="16"/>
  <c r="R704" i="16"/>
  <c r="T704" i="16"/>
  <c r="L705" i="16"/>
  <c r="C705" i="16"/>
  <c r="E705" i="16"/>
  <c r="G705" i="16"/>
  <c r="I705" i="16"/>
  <c r="B706" i="16"/>
  <c r="U649" i="16"/>
  <c r="S649" i="16"/>
  <c r="M650" i="16"/>
  <c r="D650" i="16"/>
  <c r="J650" i="16"/>
  <c r="N650" i="16" s="1"/>
  <c r="P650" i="16"/>
  <c r="Q650" i="16"/>
  <c r="R650" i="16"/>
  <c r="T650" i="16"/>
  <c r="L651" i="16"/>
  <c r="C651" i="16"/>
  <c r="E651" i="16"/>
  <c r="G651" i="16"/>
  <c r="I651" i="16"/>
  <c r="B652" i="16"/>
  <c r="U595" i="16"/>
  <c r="S595" i="16"/>
  <c r="M596" i="16"/>
  <c r="D596" i="16"/>
  <c r="J596" i="16"/>
  <c r="N596" i="16" s="1"/>
  <c r="P596" i="16"/>
  <c r="Q596" i="16"/>
  <c r="R596" i="16"/>
  <c r="T596" i="16"/>
  <c r="L597" i="16"/>
  <c r="C597" i="16"/>
  <c r="E597" i="16"/>
  <c r="G597" i="16"/>
  <c r="I597" i="16"/>
  <c r="B598" i="16"/>
  <c r="M542" i="16"/>
  <c r="D542" i="16"/>
  <c r="J542" i="16"/>
  <c r="N542" i="16" s="1"/>
  <c r="P542" i="16"/>
  <c r="Q542" i="16"/>
  <c r="R542" i="16"/>
  <c r="T542" i="16"/>
  <c r="L543" i="16"/>
  <c r="C543" i="16"/>
  <c r="K543" i="16" s="1"/>
  <c r="E543" i="16"/>
  <c r="F543" i="16"/>
  <c r="O543" i="16" s="1"/>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D434" i="16"/>
  <c r="J434" i="16"/>
  <c r="P434" i="16"/>
  <c r="Q434" i="16"/>
  <c r="R434" i="16"/>
  <c r="T434" i="16"/>
  <c r="L435" i="16"/>
  <c r="C435" i="16"/>
  <c r="K435" i="16" s="1"/>
  <c r="E435" i="16"/>
  <c r="F435" i="16"/>
  <c r="O435" i="16" s="1"/>
  <c r="G435" i="16"/>
  <c r="I435" i="16"/>
  <c r="B436" i="16"/>
  <c r="U379" i="16"/>
  <c r="S379" i="16"/>
  <c r="M380" i="16"/>
  <c r="D380" i="16"/>
  <c r="J380" i="16"/>
  <c r="N380" i="16" s="1"/>
  <c r="P380" i="16"/>
  <c r="Q380" i="16"/>
  <c r="R380" i="16"/>
  <c r="T380" i="16"/>
  <c r="L381" i="16"/>
  <c r="C381" i="16"/>
  <c r="K381" i="16" s="1"/>
  <c r="E381" i="16"/>
  <c r="F381" i="16"/>
  <c r="O381" i="16" s="1"/>
  <c r="G381" i="16"/>
  <c r="I381" i="16"/>
  <c r="B382" i="16"/>
  <c r="S325" i="16"/>
  <c r="U325" i="16"/>
  <c r="M326" i="16"/>
  <c r="D326" i="16"/>
  <c r="J326" i="16"/>
  <c r="N326" i="16" s="1"/>
  <c r="P326" i="16"/>
  <c r="Q326" i="16"/>
  <c r="R326" i="16"/>
  <c r="T326" i="16"/>
  <c r="L327" i="16"/>
  <c r="C327" i="16"/>
  <c r="E327" i="16"/>
  <c r="G327" i="16"/>
  <c r="I327" i="16"/>
  <c r="B328" i="16"/>
  <c r="U271" i="16"/>
  <c r="S271" i="16"/>
  <c r="M272" i="16"/>
  <c r="D272" i="16"/>
  <c r="J272" i="16"/>
  <c r="N272" i="16" s="1"/>
  <c r="P272" i="16"/>
  <c r="Q272" i="16"/>
  <c r="R272" i="16"/>
  <c r="T272" i="16"/>
  <c r="L273" i="16"/>
  <c r="C273" i="16"/>
  <c r="K273" i="16" s="1"/>
  <c r="E273" i="16"/>
  <c r="F273" i="16"/>
  <c r="O273" i="16" s="1"/>
  <c r="G273" i="16"/>
  <c r="I273" i="16"/>
  <c r="B274" i="16"/>
  <c r="U217" i="16"/>
  <c r="S217" i="16"/>
  <c r="P218" i="16"/>
  <c r="Q218" i="16"/>
  <c r="R218" i="16"/>
  <c r="T218" i="16"/>
  <c r="L219" i="16"/>
  <c r="C219" i="16"/>
  <c r="E219" i="16"/>
  <c r="G219" i="16"/>
  <c r="I219" i="16"/>
  <c r="B220" i="16"/>
  <c r="J218" i="16"/>
  <c r="D218" i="16"/>
  <c r="M164" i="16"/>
  <c r="D164" i="16"/>
  <c r="J164" i="16"/>
  <c r="N164" i="16" s="1"/>
  <c r="P164" i="16"/>
  <c r="Q164" i="16"/>
  <c r="R164" i="16"/>
  <c r="T164" i="16"/>
  <c r="L165" i="16"/>
  <c r="I165" i="16"/>
  <c r="C165" i="16"/>
  <c r="E165" i="16"/>
  <c r="G165" i="16"/>
  <c r="B166" i="16"/>
  <c r="S109" i="16"/>
  <c r="U109" i="16"/>
  <c r="M110" i="16"/>
  <c r="P110" i="16"/>
  <c r="Q110" i="16"/>
  <c r="R110" i="16"/>
  <c r="T110" i="16"/>
  <c r="D110" i="16"/>
  <c r="J110" i="16"/>
  <c r="N110" i="16" s="1"/>
  <c r="L111" i="16"/>
  <c r="C111" i="16"/>
  <c r="E111" i="16"/>
  <c r="G111" i="16"/>
  <c r="B112" i="16"/>
  <c r="I111"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C49" i="4"/>
  <c r="K49" i="4" s="1"/>
  <c r="E49" i="4"/>
  <c r="F49" i="4"/>
  <c r="C49" i="5" s="1"/>
  <c r="E49" i="5" s="1"/>
  <c r="G49" i="4"/>
  <c r="BB49" i="4" s="1"/>
  <c r="I49" i="4"/>
  <c r="B50" i="4"/>
  <c r="B49" i="5"/>
  <c r="BC16" i="4"/>
  <c r="B96" i="7"/>
  <c r="I96"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188" i="16"/>
  <c r="S4188" i="16"/>
  <c r="S3672" i="16"/>
  <c r="U3672" i="16"/>
  <c r="U3510" i="16"/>
  <c r="S3510" i="16"/>
  <c r="U3024" i="16"/>
  <c r="S3024" i="16"/>
  <c r="U2862" i="16"/>
  <c r="S2862" i="16"/>
  <c r="U2700" i="16"/>
  <c r="S2700" i="16"/>
  <c r="U2646" i="16"/>
  <c r="S2646" i="16"/>
  <c r="U2592" i="16"/>
  <c r="S2592" i="16"/>
  <c r="U2322" i="16"/>
  <c r="S2322" i="16"/>
  <c r="U1998" i="16"/>
  <c r="S1998" i="16"/>
  <c r="U1944" i="16"/>
  <c r="S1944" i="16"/>
  <c r="S1674" i="16"/>
  <c r="U1674" i="16"/>
  <c r="U1350" i="16"/>
  <c r="S1350" i="16"/>
  <c r="U1296" i="16"/>
  <c r="S1296" i="16"/>
  <c r="U1080" i="16"/>
  <c r="S1080" i="16"/>
  <c r="U864" i="16"/>
  <c r="S864" i="16"/>
  <c r="U810" i="16"/>
  <c r="S810" i="16"/>
  <c r="S324" i="16"/>
  <c r="U324" i="16"/>
  <c r="U162" i="16"/>
  <c r="S162" i="16"/>
  <c r="S108" i="16"/>
  <c r="U108" i="16"/>
  <c r="M4597" i="16"/>
  <c r="N4597" i="16"/>
  <c r="M4081" i="16"/>
  <c r="N4081" i="16"/>
  <c r="M3673" i="16"/>
  <c r="N3673" i="16"/>
  <c r="M3565" i="16"/>
  <c r="N3565" i="16"/>
  <c r="M3511" i="16"/>
  <c r="N3511" i="16"/>
  <c r="M3187" i="16"/>
  <c r="N3187" i="16"/>
  <c r="M3079" i="16"/>
  <c r="N3079" i="16"/>
  <c r="M2971" i="16"/>
  <c r="N2971" i="16"/>
  <c r="N2863" i="16"/>
  <c r="M2863" i="16"/>
  <c r="N2701" i="16"/>
  <c r="M2701" i="16"/>
  <c r="M2647" i="16"/>
  <c r="N2647" i="16"/>
  <c r="M2431" i="16"/>
  <c r="N2431" i="16"/>
  <c r="M2377" i="16"/>
  <c r="N2377" i="16"/>
  <c r="M2161" i="16"/>
  <c r="N2161" i="16"/>
  <c r="M2107" i="16"/>
  <c r="N2107" i="16"/>
  <c r="M1891" i="16"/>
  <c r="N1891" i="16"/>
  <c r="M1837" i="16"/>
  <c r="N1837" i="16"/>
  <c r="M1621" i="16"/>
  <c r="N1621" i="16"/>
  <c r="M1567" i="16"/>
  <c r="N1567" i="16"/>
  <c r="M1459" i="16"/>
  <c r="N1459" i="16"/>
  <c r="M1351" i="16"/>
  <c r="N1351" i="16"/>
  <c r="M1297" i="16"/>
  <c r="N1297" i="16"/>
  <c r="M1243" i="16"/>
  <c r="N1243" i="16"/>
  <c r="M1027" i="16"/>
  <c r="N1027" i="16"/>
  <c r="M541" i="16"/>
  <c r="N541" i="16"/>
  <c r="M163" i="16"/>
  <c r="N163" i="16"/>
  <c r="F4544" i="16"/>
  <c r="K4544" i="16"/>
  <c r="F4244" i="16"/>
  <c r="O4244" i="16" s="1"/>
  <c r="K4244" i="16"/>
  <c r="K3782" i="16"/>
  <c r="F3782" i="16"/>
  <c r="O3782" i="16" s="1"/>
  <c r="K3674" i="16"/>
  <c r="F3674" i="16"/>
  <c r="O3674" i="16" s="1"/>
  <c r="F3458" i="16"/>
  <c r="O3458" i="16" s="1"/>
  <c r="K3458" i="16"/>
  <c r="F3242" i="16"/>
  <c r="O3242" i="16" s="1"/>
  <c r="K3242" i="16"/>
  <c r="K3080" i="16"/>
  <c r="F3080" i="16"/>
  <c r="O3080" i="16" s="1"/>
  <c r="K3026" i="16"/>
  <c r="F3026" i="16"/>
  <c r="O3026" i="16" s="1"/>
  <c r="K2972" i="16"/>
  <c r="F2972" i="16"/>
  <c r="O2972" i="16" s="1"/>
  <c r="F2810" i="16"/>
  <c r="O2810" i="16" s="1"/>
  <c r="K2810" i="16"/>
  <c r="F2702" i="16"/>
  <c r="O2702" i="16" s="1"/>
  <c r="K2702" i="16"/>
  <c r="F2648" i="16"/>
  <c r="O2648" i="16" s="1"/>
  <c r="K2648" i="16"/>
  <c r="F2594" i="16"/>
  <c r="O2594" i="16" s="1"/>
  <c r="K2594" i="16"/>
  <c r="F2378" i="16"/>
  <c r="O2378" i="16" s="1"/>
  <c r="K2378" i="16"/>
  <c r="F2054" i="16"/>
  <c r="O2054" i="16" s="1"/>
  <c r="K2054" i="16"/>
  <c r="F1838" i="16"/>
  <c r="O1838" i="16" s="1"/>
  <c r="K1838" i="16"/>
  <c r="F1784" i="16"/>
  <c r="O1784" i="16" s="1"/>
  <c r="K1784" i="16"/>
  <c r="K1568" i="16"/>
  <c r="F1568" i="16"/>
  <c r="O1568" i="16" s="1"/>
  <c r="K1460" i="16"/>
  <c r="F1460" i="16"/>
  <c r="O1460" i="16" s="1"/>
  <c r="K1406" i="16"/>
  <c r="F1406" i="16"/>
  <c r="O1406" i="16" s="1"/>
  <c r="F1244" i="16"/>
  <c r="O1244" i="16" s="1"/>
  <c r="K1244" i="16"/>
  <c r="K974" i="16"/>
  <c r="F974" i="16"/>
  <c r="O974" i="16" s="1"/>
  <c r="F758" i="16"/>
  <c r="O758" i="16" s="1"/>
  <c r="K758" i="16"/>
  <c r="F704" i="16"/>
  <c r="O704" i="16" s="1"/>
  <c r="K704" i="16"/>
  <c r="F434" i="16"/>
  <c r="O434" i="16" s="1"/>
  <c r="K434" i="16"/>
  <c r="F218" i="16"/>
  <c r="O218" i="16" s="1"/>
  <c r="K218" i="16"/>
  <c r="N2108" i="16" l="1"/>
  <c r="M1028" i="16"/>
  <c r="N1028" i="16" s="1"/>
  <c r="K4083" i="16"/>
  <c r="F4083" i="16"/>
  <c r="O4083" i="16" s="1"/>
  <c r="K3621" i="16"/>
  <c r="F3621" i="16"/>
  <c r="O3621" i="16" s="1"/>
  <c r="K2865" i="16"/>
  <c r="F2865" i="16"/>
  <c r="O2865" i="16" s="1"/>
  <c r="K2109" i="16"/>
  <c r="F2109" i="16"/>
  <c r="O2109" i="16" s="1"/>
  <c r="K1515" i="16"/>
  <c r="F1515" i="16"/>
  <c r="O1515" i="16" s="1"/>
  <c r="K705" i="16"/>
  <c r="F705" i="16"/>
  <c r="O705" i="16" s="1"/>
  <c r="S4706" i="16"/>
  <c r="U4706" i="16"/>
  <c r="M4707" i="16"/>
  <c r="D4707" i="16"/>
  <c r="J4707" i="16"/>
  <c r="N4707" i="16" s="1"/>
  <c r="P4707" i="16"/>
  <c r="Q4707" i="16"/>
  <c r="R4707" i="16"/>
  <c r="L4708" i="16"/>
  <c r="C4708" i="16"/>
  <c r="K4708" i="16" s="1"/>
  <c r="E4708" i="16"/>
  <c r="F4708" i="16"/>
  <c r="G4708" i="16"/>
  <c r="I4708" i="16"/>
  <c r="B4709" i="16"/>
  <c r="P4653" i="16"/>
  <c r="Q4653" i="16"/>
  <c r="R4653" i="16"/>
  <c r="C4654" i="16"/>
  <c r="D4654" i="16" s="1"/>
  <c r="E4654" i="16"/>
  <c r="F4654" i="16"/>
  <c r="O4654" i="16" s="1"/>
  <c r="G4654" i="16"/>
  <c r="B4655" i="16"/>
  <c r="D4599" i="16"/>
  <c r="J4599" i="16"/>
  <c r="P4599" i="16"/>
  <c r="Q4599" i="16"/>
  <c r="R4599" i="16"/>
  <c r="L4600" i="16"/>
  <c r="C4600" i="16"/>
  <c r="K4600" i="16" s="1"/>
  <c r="E4600" i="16"/>
  <c r="F4600" i="16"/>
  <c r="G4600" i="16"/>
  <c r="I4600" i="16"/>
  <c r="B4601" i="16"/>
  <c r="I4546" i="16"/>
  <c r="C4546" i="16"/>
  <c r="E4546" i="16"/>
  <c r="G4546" i="16"/>
  <c r="L4546" i="16"/>
  <c r="B4547" i="16"/>
  <c r="D4545" i="16"/>
  <c r="J4545" i="16"/>
  <c r="P4545" i="16"/>
  <c r="Q4545" i="16"/>
  <c r="R4545" i="16"/>
  <c r="M4245" i="16"/>
  <c r="D4245" i="16"/>
  <c r="J4245" i="16"/>
  <c r="N4245" i="16" s="1"/>
  <c r="P4245" i="16"/>
  <c r="Q4245" i="16"/>
  <c r="R4245" i="16"/>
  <c r="T4245" i="16"/>
  <c r="L4246" i="16"/>
  <c r="C4246" i="16"/>
  <c r="E4246" i="16"/>
  <c r="G4246" i="16"/>
  <c r="I4246" i="16"/>
  <c r="B4247" i="16"/>
  <c r="U4190" i="16"/>
  <c r="S4190" i="16"/>
  <c r="D4191" i="16"/>
  <c r="J4191" i="16"/>
  <c r="N4191" i="16" s="1"/>
  <c r="P4191" i="16"/>
  <c r="Q4191" i="16"/>
  <c r="R4191" i="16"/>
  <c r="T4191" i="16"/>
  <c r="M4191" i="16"/>
  <c r="C4192" i="16"/>
  <c r="E4192" i="16"/>
  <c r="F4192" i="16"/>
  <c r="O4192" i="16" s="1"/>
  <c r="G4192" i="16"/>
  <c r="I4192" i="16"/>
  <c r="K4192" i="16"/>
  <c r="L4192" i="16"/>
  <c r="B4193" i="16"/>
  <c r="U4136" i="16"/>
  <c r="S4136" i="16"/>
  <c r="Q4137" i="16"/>
  <c r="P4137" i="16"/>
  <c r="R4137" i="16"/>
  <c r="T4137" i="16"/>
  <c r="M4137" i="16"/>
  <c r="C4138" i="16"/>
  <c r="E4138" i="16"/>
  <c r="F4138" i="16"/>
  <c r="O4138" i="16" s="1"/>
  <c r="G4138" i="16"/>
  <c r="L4138" i="16"/>
  <c r="I4138" i="16"/>
  <c r="K4138" i="16"/>
  <c r="B4139" i="16"/>
  <c r="D4137" i="16"/>
  <c r="J4137" i="16"/>
  <c r="N4137" i="16" s="1"/>
  <c r="U4082" i="16"/>
  <c r="S4082" i="16"/>
  <c r="M4083" i="16"/>
  <c r="D4083" i="16"/>
  <c r="J4083" i="16"/>
  <c r="N4083" i="16" s="1"/>
  <c r="P4083" i="16"/>
  <c r="Q4083" i="16"/>
  <c r="R4083" i="16"/>
  <c r="T4083" i="16"/>
  <c r="L4084" i="16"/>
  <c r="C4084" i="16"/>
  <c r="K4084" i="16" s="1"/>
  <c r="E4084" i="16"/>
  <c r="F4084" i="16"/>
  <c r="O4084" i="16" s="1"/>
  <c r="G4084" i="16"/>
  <c r="I4084" i="16"/>
  <c r="B4085" i="16"/>
  <c r="M3783" i="16"/>
  <c r="D3783" i="16"/>
  <c r="J3783" i="16"/>
  <c r="N3783" i="16" s="1"/>
  <c r="P3783" i="16"/>
  <c r="Q3783" i="16"/>
  <c r="R3783" i="16"/>
  <c r="T3783" i="16"/>
  <c r="L3784" i="16"/>
  <c r="C3784" i="16"/>
  <c r="E3784" i="16"/>
  <c r="G3784" i="16"/>
  <c r="I3784" i="16"/>
  <c r="B3785" i="16"/>
  <c r="U3728" i="16"/>
  <c r="S3728" i="16"/>
  <c r="D3729" i="16"/>
  <c r="J3729" i="16"/>
  <c r="P3729" i="16"/>
  <c r="Q3729" i="16"/>
  <c r="R3729" i="16"/>
  <c r="T3729" i="16"/>
  <c r="L3730" i="16"/>
  <c r="C3730" i="16"/>
  <c r="K3730" i="16" s="1"/>
  <c r="E3730" i="16"/>
  <c r="F3730" i="16"/>
  <c r="O3730" i="16" s="1"/>
  <c r="G3730" i="16"/>
  <c r="I3730" i="16"/>
  <c r="B3731" i="16"/>
  <c r="M3675" i="16"/>
  <c r="D3675" i="16"/>
  <c r="J3675" i="16"/>
  <c r="N3675" i="16" s="1"/>
  <c r="P3675" i="16"/>
  <c r="Q3675" i="16"/>
  <c r="R3675" i="16"/>
  <c r="T3675" i="16"/>
  <c r="L3676" i="16"/>
  <c r="C3676" i="16"/>
  <c r="E3676" i="16"/>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M3513" i="16"/>
  <c r="D3513" i="16"/>
  <c r="J3513" i="16"/>
  <c r="N3513" i="16" s="1"/>
  <c r="P3513" i="16"/>
  <c r="Q3513" i="16"/>
  <c r="R3513" i="16"/>
  <c r="T3513" i="16"/>
  <c r="L3514" i="16"/>
  <c r="C3514" i="16"/>
  <c r="K3514" i="16" s="1"/>
  <c r="E3514" i="16"/>
  <c r="F3514" i="16"/>
  <c r="O3514" i="16" s="1"/>
  <c r="G3514" i="16"/>
  <c r="I3514" i="16"/>
  <c r="B3515" i="16"/>
  <c r="D3459" i="16"/>
  <c r="J3459" i="16"/>
  <c r="P3459" i="16"/>
  <c r="Q3459" i="16"/>
  <c r="R3459" i="16"/>
  <c r="T3459" i="16"/>
  <c r="L3460" i="16"/>
  <c r="C3460" i="16"/>
  <c r="E3460" i="16"/>
  <c r="G3460" i="16"/>
  <c r="I3460" i="16"/>
  <c r="B3461" i="16"/>
  <c r="U3404" i="16"/>
  <c r="S3404" i="16"/>
  <c r="M3405" i="16"/>
  <c r="D3405" i="16"/>
  <c r="J3405" i="16"/>
  <c r="N3405" i="16" s="1"/>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M3297" i="16"/>
  <c r="D3297" i="16"/>
  <c r="J3297" i="16"/>
  <c r="N3297" i="16" s="1"/>
  <c r="P3297" i="16"/>
  <c r="Q3297" i="16"/>
  <c r="R3297" i="16"/>
  <c r="T3297" i="16"/>
  <c r="L3298" i="16"/>
  <c r="C3298" i="16"/>
  <c r="E3298" i="16"/>
  <c r="G3298" i="16"/>
  <c r="I3298" i="16"/>
  <c r="B3299" i="16"/>
  <c r="D3243" i="16"/>
  <c r="J3243" i="16"/>
  <c r="P3243" i="16"/>
  <c r="Q3243" i="16"/>
  <c r="R3243" i="16"/>
  <c r="T3243" i="16"/>
  <c r="L3244" i="16"/>
  <c r="C3244" i="16"/>
  <c r="E3244" i="16"/>
  <c r="G3244" i="16"/>
  <c r="I3244" i="16"/>
  <c r="B3245" i="16"/>
  <c r="U3188" i="16"/>
  <c r="S3188" i="16"/>
  <c r="D3189" i="16"/>
  <c r="J3189" i="16"/>
  <c r="P3189" i="16"/>
  <c r="Q3189" i="16"/>
  <c r="R3189" i="16"/>
  <c r="T3189" i="16"/>
  <c r="L3190" i="16"/>
  <c r="C3190" i="16"/>
  <c r="E3190" i="16"/>
  <c r="G3190" i="16"/>
  <c r="I3190" i="16"/>
  <c r="B3191" i="16"/>
  <c r="U3134" i="16"/>
  <c r="S3134" i="16"/>
  <c r="M3135" i="16"/>
  <c r="D3135" i="16"/>
  <c r="J3135" i="16"/>
  <c r="N3135" i="16" s="1"/>
  <c r="P3135" i="16"/>
  <c r="Q3135" i="16"/>
  <c r="R3135" i="16"/>
  <c r="T3135" i="16"/>
  <c r="L3136" i="16"/>
  <c r="C3136" i="16"/>
  <c r="E3136" i="16"/>
  <c r="G3136" i="16"/>
  <c r="I3136" i="16"/>
  <c r="B3137" i="16"/>
  <c r="L3082" i="16"/>
  <c r="I3082" i="16"/>
  <c r="C3082" i="16"/>
  <c r="K3082" i="16" s="1"/>
  <c r="E3082" i="16"/>
  <c r="F3082" i="16"/>
  <c r="O3082" i="16" s="1"/>
  <c r="G3082" i="16"/>
  <c r="B3083" i="16"/>
  <c r="D3081" i="16"/>
  <c r="J3081" i="16"/>
  <c r="P3081" i="16"/>
  <c r="Q3081" i="16"/>
  <c r="R3081" i="16"/>
  <c r="T3081" i="16"/>
  <c r="J3027" i="16"/>
  <c r="D3027" i="16"/>
  <c r="L3028" i="16"/>
  <c r="I3028" i="16"/>
  <c r="C3028" i="16"/>
  <c r="G3028" i="16"/>
  <c r="E3028" i="16"/>
  <c r="B3029" i="16"/>
  <c r="P3027" i="16"/>
  <c r="Q3027" i="16"/>
  <c r="R3027" i="16"/>
  <c r="T3027" i="16"/>
  <c r="D2973" i="16"/>
  <c r="J2973" i="16"/>
  <c r="P2973" i="16"/>
  <c r="Q2973" i="16"/>
  <c r="R2973" i="16"/>
  <c r="T2973" i="16"/>
  <c r="L2974" i="16"/>
  <c r="C2974" i="16"/>
  <c r="K2974" i="16" s="1"/>
  <c r="E2974" i="16"/>
  <c r="F2974" i="16"/>
  <c r="O2974" i="16" s="1"/>
  <c r="G2974" i="16"/>
  <c r="I2974" i="16"/>
  <c r="B2975" i="16"/>
  <c r="U2918" i="16"/>
  <c r="S2918" i="16"/>
  <c r="M2919" i="16"/>
  <c r="D2919" i="16"/>
  <c r="J2919" i="16"/>
  <c r="N2919" i="16" s="1"/>
  <c r="P2919" i="16"/>
  <c r="Q2919" i="16"/>
  <c r="R2919" i="16"/>
  <c r="T2919" i="16"/>
  <c r="L2920" i="16"/>
  <c r="C2920" i="16"/>
  <c r="K2920" i="16" s="1"/>
  <c r="E2920" i="16"/>
  <c r="F2920" i="16"/>
  <c r="O2920" i="16" s="1"/>
  <c r="G2920" i="16"/>
  <c r="I2920" i="16"/>
  <c r="B2921" i="16"/>
  <c r="U2864" i="16"/>
  <c r="S2864" i="16"/>
  <c r="M2865" i="16"/>
  <c r="P2865" i="16"/>
  <c r="Q2865" i="16"/>
  <c r="R2865" i="16"/>
  <c r="T2865" i="16"/>
  <c r="L2866" i="16"/>
  <c r="C2866" i="16"/>
  <c r="K2866" i="16" s="1"/>
  <c r="E2866" i="16"/>
  <c r="F2866" i="16"/>
  <c r="O2866" i="16" s="1"/>
  <c r="G2866" i="16"/>
  <c r="I2866" i="16"/>
  <c r="B2867" i="16"/>
  <c r="J2865" i="16"/>
  <c r="N2865" i="16" s="1"/>
  <c r="D2865" i="16"/>
  <c r="M2811" i="16"/>
  <c r="J2811" i="16"/>
  <c r="N2811" i="16" s="1"/>
  <c r="S2811" i="16" s="1"/>
  <c r="D2811" i="16"/>
  <c r="L2812" i="16"/>
  <c r="G2812" i="16"/>
  <c r="I2812" i="16"/>
  <c r="B2813" i="16"/>
  <c r="C2812" i="16"/>
  <c r="E2812" i="16"/>
  <c r="P2811" i="16"/>
  <c r="Q2811" i="16"/>
  <c r="R2811" i="16"/>
  <c r="T2811" i="16"/>
  <c r="U2811" i="16" s="1"/>
  <c r="U2756" i="16"/>
  <c r="S2756" i="16"/>
  <c r="M2757" i="16"/>
  <c r="D2757" i="16"/>
  <c r="J2757" i="16"/>
  <c r="N2757" i="16" s="1"/>
  <c r="P2757" i="16"/>
  <c r="Q2757" i="16"/>
  <c r="R2757" i="16"/>
  <c r="T2757" i="16"/>
  <c r="L2758" i="16"/>
  <c r="C2758" i="16"/>
  <c r="K2758" i="16" s="1"/>
  <c r="E2758" i="16"/>
  <c r="F2758" i="16"/>
  <c r="O2758" i="16" s="1"/>
  <c r="G2758" i="16"/>
  <c r="I2758" i="16"/>
  <c r="B2759" i="16"/>
  <c r="P2703" i="16"/>
  <c r="Q2703" i="16"/>
  <c r="R2703" i="16"/>
  <c r="T2703" i="16"/>
  <c r="L2704" i="16"/>
  <c r="B2705" i="16"/>
  <c r="C2704" i="16"/>
  <c r="I2704" i="16"/>
  <c r="E2704" i="16"/>
  <c r="G2704" i="16"/>
  <c r="D2703" i="16"/>
  <c r="J2703" i="16"/>
  <c r="P2649" i="16"/>
  <c r="Q2649" i="16"/>
  <c r="R2649" i="16"/>
  <c r="T2649" i="16"/>
  <c r="D2649" i="16"/>
  <c r="J2649" i="16"/>
  <c r="L2650" i="16"/>
  <c r="B2651" i="16"/>
  <c r="G2650" i="16"/>
  <c r="I2650" i="16"/>
  <c r="C2650" i="16"/>
  <c r="E2650" i="16"/>
  <c r="P2595" i="16"/>
  <c r="Q2595" i="16"/>
  <c r="R2595" i="16"/>
  <c r="T2595" i="16"/>
  <c r="D2595" i="16"/>
  <c r="J2595" i="16"/>
  <c r="L2596" i="16"/>
  <c r="E2596" i="16"/>
  <c r="G2596" i="16"/>
  <c r="B2597" i="16"/>
  <c r="C2596" i="16"/>
  <c r="I2596"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M2379" i="16"/>
  <c r="D2379" i="16"/>
  <c r="J2379" i="16"/>
  <c r="N2379" i="16" s="1"/>
  <c r="P2379" i="16"/>
  <c r="Q2379" i="16"/>
  <c r="R2379" i="16"/>
  <c r="T2379" i="16"/>
  <c r="L2380" i="16"/>
  <c r="C2380" i="16"/>
  <c r="K2380" i="16" s="1"/>
  <c r="E2380" i="16"/>
  <c r="F2380" i="16"/>
  <c r="O2380" i="16" s="1"/>
  <c r="G2380" i="16"/>
  <c r="I2380" i="16"/>
  <c r="B2381" i="16"/>
  <c r="S2324" i="16"/>
  <c r="U2324" i="16"/>
  <c r="P2325" i="16"/>
  <c r="Q2325" i="16"/>
  <c r="R2325" i="16"/>
  <c r="T2325" i="16"/>
  <c r="L2326" i="16"/>
  <c r="B2327" i="16"/>
  <c r="C2326" i="16"/>
  <c r="E2326" i="16"/>
  <c r="G2326" i="16"/>
  <c r="I2326" i="16"/>
  <c r="J2325" i="16"/>
  <c r="D2325" i="16"/>
  <c r="U2270" i="16"/>
  <c r="S2270" i="16"/>
  <c r="M2271" i="16"/>
  <c r="D2271" i="16"/>
  <c r="J2271" i="16"/>
  <c r="N2271" i="16" s="1"/>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U2162" i="16"/>
  <c r="S2162" i="16"/>
  <c r="D2163" i="16"/>
  <c r="J2163" i="16"/>
  <c r="P2163" i="16"/>
  <c r="Q2163" i="16"/>
  <c r="R2163" i="16"/>
  <c r="T2163" i="16"/>
  <c r="L2164" i="16"/>
  <c r="C2164" i="16"/>
  <c r="E2164" i="16"/>
  <c r="G2164" i="16"/>
  <c r="I2164" i="16"/>
  <c r="B2165" i="16"/>
  <c r="U2108" i="16"/>
  <c r="S2108" i="16"/>
  <c r="M2109" i="16"/>
  <c r="L2110" i="16"/>
  <c r="C2110" i="16"/>
  <c r="I2110" i="16"/>
  <c r="B2111" i="16"/>
  <c r="E2110" i="16"/>
  <c r="G2110" i="16"/>
  <c r="J2109" i="16"/>
  <c r="N2109" i="16" s="1"/>
  <c r="D2109" i="16"/>
  <c r="P2109" i="16"/>
  <c r="Q2109" i="16"/>
  <c r="R2109" i="16"/>
  <c r="T2109" i="16"/>
  <c r="M2055" i="16"/>
  <c r="D2055" i="16"/>
  <c r="J2055" i="16"/>
  <c r="N2055" i="16" s="1"/>
  <c r="P2055" i="16"/>
  <c r="Q2055" i="16"/>
  <c r="R2055" i="16"/>
  <c r="T2055" i="16"/>
  <c r="L2056" i="16"/>
  <c r="C2056" i="16"/>
  <c r="E2056" i="16"/>
  <c r="G2056" i="16"/>
  <c r="I2056" i="16"/>
  <c r="B2057" i="16"/>
  <c r="U2000" i="16"/>
  <c r="S2000" i="16"/>
  <c r="M2001" i="16"/>
  <c r="D2001" i="16"/>
  <c r="J2001" i="16"/>
  <c r="N2001" i="16" s="1"/>
  <c r="P2001" i="16"/>
  <c r="Q2001" i="16"/>
  <c r="R2001" i="16"/>
  <c r="T2001" i="16"/>
  <c r="L2002" i="16"/>
  <c r="C2002" i="16"/>
  <c r="K2002" i="16" s="1"/>
  <c r="E2002" i="16"/>
  <c r="F2002" i="16"/>
  <c r="O2002" i="16" s="1"/>
  <c r="G2002" i="16"/>
  <c r="I2002" i="16"/>
  <c r="B2003" i="16"/>
  <c r="U1946" i="16"/>
  <c r="S1946" i="16"/>
  <c r="M1947" i="16"/>
  <c r="D1947" i="16"/>
  <c r="J1947" i="16"/>
  <c r="N1947" i="16" s="1"/>
  <c r="P1947" i="16"/>
  <c r="Q1947" i="16"/>
  <c r="R1947" i="16"/>
  <c r="T1947" i="16"/>
  <c r="L1948" i="16"/>
  <c r="C1948" i="16"/>
  <c r="E1948" i="16"/>
  <c r="G1948" i="16"/>
  <c r="I1948" i="16"/>
  <c r="B1949" i="16"/>
  <c r="S1892" i="16"/>
  <c r="U1892" i="16"/>
  <c r="D1893" i="16"/>
  <c r="J1893" i="16"/>
  <c r="P1893" i="16"/>
  <c r="Q1893" i="16"/>
  <c r="R1893" i="16"/>
  <c r="T1893" i="16"/>
  <c r="L1894" i="16"/>
  <c r="C1894" i="16"/>
  <c r="K1894" i="16" s="1"/>
  <c r="E1894" i="16"/>
  <c r="F1894" i="16"/>
  <c r="O1894" i="16" s="1"/>
  <c r="G1894" i="16"/>
  <c r="I1894" i="16"/>
  <c r="B1895" i="16"/>
  <c r="M1839" i="16"/>
  <c r="D1839" i="16"/>
  <c r="J1839" i="16"/>
  <c r="N1839" i="16" s="1"/>
  <c r="P1839" i="16"/>
  <c r="Q1839" i="16"/>
  <c r="R1839" i="16"/>
  <c r="T1839" i="16"/>
  <c r="L1840" i="16"/>
  <c r="C1840" i="16"/>
  <c r="E1840" i="16"/>
  <c r="G1840" i="16"/>
  <c r="I1840" i="16"/>
  <c r="B1841" i="16"/>
  <c r="M1785" i="16"/>
  <c r="D1785" i="16"/>
  <c r="J1785" i="16"/>
  <c r="N1785" i="16" s="1"/>
  <c r="P1785" i="16"/>
  <c r="Q1785" i="16"/>
  <c r="R1785" i="16"/>
  <c r="T1785" i="16"/>
  <c r="L1786" i="16"/>
  <c r="C1786" i="16"/>
  <c r="E1786" i="16"/>
  <c r="G1786" i="16"/>
  <c r="I1786" i="16"/>
  <c r="B1787" i="16"/>
  <c r="U1730" i="16"/>
  <c r="S1730" i="16"/>
  <c r="M1731" i="16"/>
  <c r="D1731" i="16"/>
  <c r="J1731" i="16"/>
  <c r="N1731" i="16" s="1"/>
  <c r="P1731" i="16"/>
  <c r="Q1731" i="16"/>
  <c r="R1731" i="16"/>
  <c r="T1731" i="16"/>
  <c r="L1732" i="16"/>
  <c r="C1732" i="16"/>
  <c r="E1732" i="16"/>
  <c r="G1732" i="16"/>
  <c r="I1732" i="16"/>
  <c r="B1733" i="16"/>
  <c r="S1676" i="16"/>
  <c r="U1676" i="16"/>
  <c r="M1677" i="16"/>
  <c r="D1677" i="16"/>
  <c r="J1677" i="16"/>
  <c r="N1677" i="16" s="1"/>
  <c r="P1677" i="16"/>
  <c r="Q1677" i="16"/>
  <c r="R1677" i="16"/>
  <c r="T1677" i="16"/>
  <c r="L1678" i="16"/>
  <c r="C1678" i="16"/>
  <c r="K1678" i="16" s="1"/>
  <c r="E1678" i="16"/>
  <c r="F1678" i="16"/>
  <c r="O1678" i="16" s="1"/>
  <c r="G1678" i="16"/>
  <c r="I1678" i="16"/>
  <c r="B1679" i="16"/>
  <c r="U1622" i="16"/>
  <c r="S1622" i="16"/>
  <c r="D1623" i="16"/>
  <c r="J1623" i="16"/>
  <c r="P1623" i="16"/>
  <c r="Q1623" i="16"/>
  <c r="R1623" i="16"/>
  <c r="T1623" i="16"/>
  <c r="L1624" i="16"/>
  <c r="C1624" i="16"/>
  <c r="K1624" i="16" s="1"/>
  <c r="E1624" i="16"/>
  <c r="F1624" i="16"/>
  <c r="O1624" i="16" s="1"/>
  <c r="G1624" i="16"/>
  <c r="I1624" i="16"/>
  <c r="B1625" i="16"/>
  <c r="M1569" i="16"/>
  <c r="D1569" i="16"/>
  <c r="J1569" i="16"/>
  <c r="N1569" i="16" s="1"/>
  <c r="P1569" i="16"/>
  <c r="Q1569" i="16"/>
  <c r="R1569" i="16"/>
  <c r="T1569" i="16"/>
  <c r="L1570" i="16"/>
  <c r="C1570" i="16"/>
  <c r="K1570" i="16" s="1"/>
  <c r="E1570" i="16"/>
  <c r="F1570" i="16"/>
  <c r="O1570" i="16" s="1"/>
  <c r="G1570" i="16"/>
  <c r="I1570" i="16"/>
  <c r="B1571" i="16"/>
  <c r="U1514" i="16"/>
  <c r="S1514" i="16"/>
  <c r="M1515" i="16"/>
  <c r="D1515" i="16"/>
  <c r="J1515" i="16"/>
  <c r="N1515" i="16" s="1"/>
  <c r="P1515" i="16"/>
  <c r="Q1515" i="16"/>
  <c r="R1515" i="16"/>
  <c r="T1515" i="16"/>
  <c r="L1516" i="16"/>
  <c r="C1516" i="16"/>
  <c r="E1516" i="16"/>
  <c r="G1516" i="16"/>
  <c r="I1516" i="16"/>
  <c r="B1517" i="16"/>
  <c r="M1461" i="16"/>
  <c r="L1462" i="16"/>
  <c r="E1462" i="16"/>
  <c r="B1463" i="16"/>
  <c r="G1462" i="16"/>
  <c r="C1462" i="16"/>
  <c r="K1462" i="16" s="1"/>
  <c r="F1462" i="16"/>
  <c r="O1462" i="16" s="1"/>
  <c r="I1462" i="16"/>
  <c r="J1461" i="16"/>
  <c r="N1461" i="16" s="1"/>
  <c r="D1461" i="16"/>
  <c r="P1461" i="16"/>
  <c r="Q1461" i="16"/>
  <c r="R1461" i="16"/>
  <c r="T1461" i="16"/>
  <c r="M1407" i="16"/>
  <c r="D1407" i="16"/>
  <c r="J1407" i="16"/>
  <c r="N1407" i="16" s="1"/>
  <c r="P1407" i="16"/>
  <c r="Q1407" i="16"/>
  <c r="R1407" i="16"/>
  <c r="T1407" i="16"/>
  <c r="L1408" i="16"/>
  <c r="C1408" i="16"/>
  <c r="K1408" i="16" s="1"/>
  <c r="B1409" i="16"/>
  <c r="I1408" i="16"/>
  <c r="F1408" i="16"/>
  <c r="O1408" i="16" s="1"/>
  <c r="G1408" i="16"/>
  <c r="E1408" i="16"/>
  <c r="U1352" i="16"/>
  <c r="S1352" i="16"/>
  <c r="M1353" i="16"/>
  <c r="L1354" i="16"/>
  <c r="E1354" i="16"/>
  <c r="I1354" i="16"/>
  <c r="C1354" i="16"/>
  <c r="B1355" i="16"/>
  <c r="G1354" i="16"/>
  <c r="D1353" i="16"/>
  <c r="J1353" i="16"/>
  <c r="N1353" i="16" s="1"/>
  <c r="P1353" i="16"/>
  <c r="Q1353" i="16"/>
  <c r="R1353" i="16"/>
  <c r="T1353" i="16"/>
  <c r="U1298" i="16"/>
  <c r="S1298" i="16"/>
  <c r="P1299" i="16"/>
  <c r="Q1299" i="16"/>
  <c r="R1299" i="16"/>
  <c r="T1299" i="16"/>
  <c r="L1300" i="16"/>
  <c r="G1300" i="16"/>
  <c r="B1301" i="16"/>
  <c r="I1300" i="16"/>
  <c r="E1300" i="16"/>
  <c r="C1300" i="16"/>
  <c r="D1299" i="16"/>
  <c r="J1299" i="16"/>
  <c r="J1245" i="16"/>
  <c r="N1245" i="16" s="1"/>
  <c r="D1245" i="16"/>
  <c r="M1245" i="16"/>
  <c r="P1245" i="16"/>
  <c r="Q1245" i="16"/>
  <c r="R1245" i="16"/>
  <c r="T1245" i="16"/>
  <c r="C1246" i="16"/>
  <c r="B1247" i="16"/>
  <c r="I1246" i="16"/>
  <c r="K1246" i="16"/>
  <c r="L1246" i="16"/>
  <c r="F1246" i="16"/>
  <c r="O1246" i="16" s="1"/>
  <c r="G1246" i="16"/>
  <c r="E1246" i="16"/>
  <c r="U1190" i="16"/>
  <c r="S1190" i="16"/>
  <c r="M1191" i="16"/>
  <c r="D1191" i="16"/>
  <c r="J1191" i="16"/>
  <c r="N1191" i="16" s="1"/>
  <c r="P1191" i="16"/>
  <c r="Q1191" i="16"/>
  <c r="R1191" i="16"/>
  <c r="T1191" i="16"/>
  <c r="L1192" i="16"/>
  <c r="C1192" i="16"/>
  <c r="E1192" i="16"/>
  <c r="G1192" i="16"/>
  <c r="I1192" i="16"/>
  <c r="B1193" i="16"/>
  <c r="U1136" i="16"/>
  <c r="S1136" i="16"/>
  <c r="M1137" i="16"/>
  <c r="D1137" i="16"/>
  <c r="J1137" i="16"/>
  <c r="N1137" i="16" s="1"/>
  <c r="P1137" i="16"/>
  <c r="Q1137" i="16"/>
  <c r="R1137" i="16"/>
  <c r="T1137" i="16"/>
  <c r="L1138" i="16"/>
  <c r="C1138" i="16"/>
  <c r="E1138" i="16"/>
  <c r="G1138" i="16"/>
  <c r="I1138" i="16"/>
  <c r="B1139" i="16"/>
  <c r="U1082" i="16"/>
  <c r="S1082" i="16"/>
  <c r="M1083" i="16"/>
  <c r="D1083" i="16"/>
  <c r="J1083" i="16"/>
  <c r="N1083" i="16" s="1"/>
  <c r="P1083" i="16"/>
  <c r="Q1083" i="16"/>
  <c r="R1083" i="16"/>
  <c r="T1083" i="16"/>
  <c r="L1084" i="16"/>
  <c r="C1084" i="16"/>
  <c r="K1084" i="16" s="1"/>
  <c r="E1084" i="16"/>
  <c r="F1084" i="16"/>
  <c r="O1084" i="16" s="1"/>
  <c r="G1084" i="16"/>
  <c r="I1084" i="16"/>
  <c r="B1085" i="16"/>
  <c r="U1028" i="16"/>
  <c r="S1028" i="16"/>
  <c r="M1029" i="16"/>
  <c r="D1029" i="16"/>
  <c r="J1029" i="16"/>
  <c r="N1029" i="16" s="1"/>
  <c r="P1029" i="16"/>
  <c r="Q1029" i="16"/>
  <c r="R1029" i="16"/>
  <c r="T1029" i="16"/>
  <c r="L1030" i="16"/>
  <c r="C1030" i="16"/>
  <c r="K1030" i="16" s="1"/>
  <c r="E1030" i="16"/>
  <c r="F1030" i="16"/>
  <c r="O1030" i="16" s="1"/>
  <c r="G1030" i="16"/>
  <c r="I1030" i="16"/>
  <c r="B1031" i="16"/>
  <c r="M975" i="16"/>
  <c r="D975" i="16"/>
  <c r="J975" i="16"/>
  <c r="N975" i="16" s="1"/>
  <c r="P975" i="16"/>
  <c r="Q975" i="16"/>
  <c r="R975" i="16"/>
  <c r="T975" i="16"/>
  <c r="L976" i="16"/>
  <c r="C976" i="16"/>
  <c r="E976" i="16"/>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K868" i="16" s="1"/>
  <c r="E868" i="16"/>
  <c r="F868" i="16"/>
  <c r="O868" i="16" s="1"/>
  <c r="G868" i="16"/>
  <c r="I868" i="16"/>
  <c r="B869" i="16"/>
  <c r="U812" i="16"/>
  <c r="S812" i="16"/>
  <c r="M813" i="16"/>
  <c r="D813" i="16"/>
  <c r="J813" i="16"/>
  <c r="N813" i="16" s="1"/>
  <c r="P813" i="16"/>
  <c r="Q813" i="16"/>
  <c r="R813" i="16"/>
  <c r="T813" i="16"/>
  <c r="L814" i="16"/>
  <c r="C814" i="16"/>
  <c r="K814" i="16" s="1"/>
  <c r="E814" i="16"/>
  <c r="F814" i="16"/>
  <c r="O814" i="16" s="1"/>
  <c r="G814" i="16"/>
  <c r="I814" i="16"/>
  <c r="B815" i="16"/>
  <c r="M759" i="16"/>
  <c r="D759" i="16"/>
  <c r="J759" i="16"/>
  <c r="N759" i="16" s="1"/>
  <c r="P759" i="16"/>
  <c r="Q759" i="16"/>
  <c r="R759" i="16"/>
  <c r="T759" i="16"/>
  <c r="L760" i="16"/>
  <c r="C760" i="16"/>
  <c r="K760" i="16" s="1"/>
  <c r="E760" i="16"/>
  <c r="F760" i="16"/>
  <c r="O760" i="16" s="1"/>
  <c r="G760" i="16"/>
  <c r="I760" i="16"/>
  <c r="B761" i="16"/>
  <c r="M705" i="16"/>
  <c r="D705" i="16"/>
  <c r="J705" i="16"/>
  <c r="N705" i="16" s="1"/>
  <c r="P705" i="16"/>
  <c r="Q705" i="16"/>
  <c r="R705" i="16"/>
  <c r="T705" i="16"/>
  <c r="L706" i="16"/>
  <c r="C706" i="16"/>
  <c r="E706" i="16"/>
  <c r="G706" i="16"/>
  <c r="I706" i="16"/>
  <c r="B707" i="16"/>
  <c r="U650" i="16"/>
  <c r="S650" i="16"/>
  <c r="D651" i="16"/>
  <c r="J651" i="16"/>
  <c r="P651" i="16"/>
  <c r="Q651" i="16"/>
  <c r="R651" i="16"/>
  <c r="T651" i="16"/>
  <c r="L652" i="16"/>
  <c r="C652" i="16"/>
  <c r="K652" i="16" s="1"/>
  <c r="E652" i="16"/>
  <c r="F652" i="16"/>
  <c r="O652" i="16" s="1"/>
  <c r="G652" i="16"/>
  <c r="I652" i="16"/>
  <c r="B653" i="16"/>
  <c r="U596" i="16"/>
  <c r="S596" i="16"/>
  <c r="D597" i="16"/>
  <c r="J597" i="16"/>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K490" i="16" s="1"/>
  <c r="E490" i="16"/>
  <c r="F490" i="16"/>
  <c r="O490" i="16" s="1"/>
  <c r="G490" i="16"/>
  <c r="I490" i="16"/>
  <c r="B491" i="16"/>
  <c r="M435" i="16"/>
  <c r="D435" i="16"/>
  <c r="J435" i="16"/>
  <c r="N435" i="16" s="1"/>
  <c r="P435" i="16"/>
  <c r="Q435" i="16"/>
  <c r="R435" i="16"/>
  <c r="T435" i="16"/>
  <c r="L436" i="16"/>
  <c r="C436" i="16"/>
  <c r="E436" i="16"/>
  <c r="G436" i="16"/>
  <c r="I436" i="16"/>
  <c r="B437" i="16"/>
  <c r="U380" i="16"/>
  <c r="S380" i="16"/>
  <c r="M381" i="16"/>
  <c r="D381" i="16"/>
  <c r="J381" i="16"/>
  <c r="N381" i="16" s="1"/>
  <c r="P381" i="16"/>
  <c r="Q381" i="16"/>
  <c r="R381" i="16"/>
  <c r="T381" i="16"/>
  <c r="L382" i="16"/>
  <c r="C382" i="16"/>
  <c r="K382" i="16" s="1"/>
  <c r="E382" i="16"/>
  <c r="F382" i="16"/>
  <c r="O382" i="16" s="1"/>
  <c r="G382" i="16"/>
  <c r="I382" i="16"/>
  <c r="B383" i="16"/>
  <c r="S326" i="16"/>
  <c r="U326" i="16"/>
  <c r="D327" i="16"/>
  <c r="J327" i="16"/>
  <c r="P327" i="16"/>
  <c r="Q327" i="16"/>
  <c r="R327" i="16"/>
  <c r="T327" i="16"/>
  <c r="L328" i="16"/>
  <c r="C328" i="16"/>
  <c r="K328" i="16" s="1"/>
  <c r="E328" i="16"/>
  <c r="F328" i="16"/>
  <c r="O328" i="16" s="1"/>
  <c r="G328" i="16"/>
  <c r="I328" i="16"/>
  <c r="B329" i="16"/>
  <c r="U272" i="16"/>
  <c r="S272" i="16"/>
  <c r="M273" i="16"/>
  <c r="D273" i="16"/>
  <c r="J273" i="16"/>
  <c r="N273" i="16" s="1"/>
  <c r="P273" i="16"/>
  <c r="Q273" i="16"/>
  <c r="R273" i="16"/>
  <c r="T273" i="16"/>
  <c r="L274" i="16"/>
  <c r="C274" i="16"/>
  <c r="K274" i="16" s="1"/>
  <c r="E274" i="16"/>
  <c r="F274" i="16"/>
  <c r="O274" i="16" s="1"/>
  <c r="G274" i="16"/>
  <c r="I274" i="16"/>
  <c r="B275" i="16"/>
  <c r="D219" i="16"/>
  <c r="J219" i="16"/>
  <c r="P219" i="16"/>
  <c r="Q219" i="16"/>
  <c r="R219" i="16"/>
  <c r="T219" i="16"/>
  <c r="L220" i="16"/>
  <c r="C220" i="16"/>
  <c r="K220" i="16" s="1"/>
  <c r="E220" i="16"/>
  <c r="I220" i="16"/>
  <c r="B221" i="16"/>
  <c r="F220" i="16"/>
  <c r="O220" i="16" s="1"/>
  <c r="G220" i="16"/>
  <c r="U164" i="16"/>
  <c r="S164" i="16"/>
  <c r="D165" i="16"/>
  <c r="J165" i="16"/>
  <c r="P165" i="16"/>
  <c r="Q165" i="16"/>
  <c r="R165" i="16"/>
  <c r="T165" i="16"/>
  <c r="L166" i="16"/>
  <c r="I166" i="16"/>
  <c r="B167" i="16"/>
  <c r="C166" i="16"/>
  <c r="E166" i="16"/>
  <c r="G166" i="16"/>
  <c r="S110" i="16"/>
  <c r="U110" i="16"/>
  <c r="D111" i="16"/>
  <c r="J111" i="16"/>
  <c r="P111" i="16"/>
  <c r="Q111" i="16"/>
  <c r="R111" i="16"/>
  <c r="T111" i="16"/>
  <c r="L112" i="16"/>
  <c r="G112" i="16"/>
  <c r="I112" i="16"/>
  <c r="B113" i="16"/>
  <c r="C112" i="16"/>
  <c r="E112" i="16"/>
  <c r="C82" i="7"/>
  <c r="G82" i="7" s="1"/>
  <c r="U48" i="4"/>
  <c r="S48" i="4"/>
  <c r="F48" i="5"/>
  <c r="G48" i="5"/>
  <c r="H48" i="5"/>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BC50" i="4" s="1"/>
  <c r="I50" i="4"/>
  <c r="B51" i="4"/>
  <c r="B50" i="5"/>
  <c r="BD16" i="4"/>
  <c r="B97" i="7"/>
  <c r="I97"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081" i="16"/>
  <c r="S4081" i="16"/>
  <c r="S3673" i="16"/>
  <c r="U3673" i="16"/>
  <c r="U3565" i="16"/>
  <c r="S3565" i="16"/>
  <c r="U3511" i="16"/>
  <c r="S3511" i="16"/>
  <c r="U3187" i="16"/>
  <c r="S3187" i="16"/>
  <c r="U3079" i="16"/>
  <c r="S3079" i="16"/>
  <c r="U2971" i="16"/>
  <c r="S2971" i="16"/>
  <c r="U2863" i="16"/>
  <c r="S2863" i="16"/>
  <c r="U2701" i="16"/>
  <c r="S2701" i="16"/>
  <c r="U2647" i="16"/>
  <c r="S2647" i="16"/>
  <c r="U2431" i="16"/>
  <c r="S2431" i="16"/>
  <c r="U2377" i="16"/>
  <c r="S2377" i="16"/>
  <c r="U2161" i="16"/>
  <c r="S2161" i="16"/>
  <c r="U2107" i="16"/>
  <c r="S2107" i="16"/>
  <c r="S1891" i="16"/>
  <c r="U1891" i="16"/>
  <c r="U1837" i="16"/>
  <c r="S1837" i="16"/>
  <c r="U1621" i="16"/>
  <c r="S1621" i="16"/>
  <c r="U1567" i="16"/>
  <c r="S1567" i="16"/>
  <c r="S1459" i="16"/>
  <c r="U1459" i="16"/>
  <c r="U1351" i="16"/>
  <c r="S1351" i="16"/>
  <c r="U1297" i="16"/>
  <c r="S1297" i="16"/>
  <c r="U1243" i="16"/>
  <c r="S1243" i="16"/>
  <c r="U1027" i="16"/>
  <c r="S1027" i="16"/>
  <c r="U541" i="16"/>
  <c r="S541" i="16"/>
  <c r="U163" i="16"/>
  <c r="S163" i="16"/>
  <c r="N4544" i="16"/>
  <c r="M4544" i="16"/>
  <c r="M4244" i="16"/>
  <c r="N4244" i="16"/>
  <c r="M3782" i="16"/>
  <c r="N3782" i="16"/>
  <c r="M3674" i="16"/>
  <c r="N3674" i="16"/>
  <c r="M3458" i="16"/>
  <c r="N3458" i="16"/>
  <c r="M3242" i="16"/>
  <c r="N3242" i="16"/>
  <c r="M3080" i="16"/>
  <c r="N3080" i="16"/>
  <c r="M3026" i="16"/>
  <c r="N3026" i="16"/>
  <c r="M2972" i="16"/>
  <c r="N2972" i="16"/>
  <c r="N2810" i="16"/>
  <c r="S2810" i="16" s="1"/>
  <c r="M2810" i="16"/>
  <c r="M2702" i="16"/>
  <c r="N2702" i="16"/>
  <c r="M2648" i="16"/>
  <c r="N2648" i="16"/>
  <c r="N2594" i="16"/>
  <c r="M2594" i="16"/>
  <c r="M2378" i="16"/>
  <c r="N2378" i="16"/>
  <c r="M2054" i="16"/>
  <c r="N2054" i="16"/>
  <c r="M1838" i="16"/>
  <c r="N1838" i="16"/>
  <c r="M1784" i="16"/>
  <c r="N1784" i="16"/>
  <c r="M1568" i="16"/>
  <c r="N1568" i="16"/>
  <c r="N1460" i="16"/>
  <c r="M1460" i="16"/>
  <c r="N1406" i="16"/>
  <c r="M1406" i="16"/>
  <c r="M1244" i="16"/>
  <c r="N1244" i="16"/>
  <c r="M974" i="16"/>
  <c r="N974" i="16"/>
  <c r="M758" i="16"/>
  <c r="N758" i="16"/>
  <c r="M704" i="16"/>
  <c r="N704" i="16"/>
  <c r="M434" i="16"/>
  <c r="N434" i="16"/>
  <c r="M218" i="16"/>
  <c r="N218" i="16"/>
  <c r="D4653" i="16"/>
  <c r="F4653" i="16"/>
  <c r="O4653" i="16" s="1"/>
  <c r="K4599" i="16"/>
  <c r="F4599" i="16"/>
  <c r="F4545" i="16"/>
  <c r="K4545" i="16"/>
  <c r="F3729" i="16"/>
  <c r="O3729" i="16" s="1"/>
  <c r="K3729" i="16"/>
  <c r="K3459" i="16"/>
  <c r="F3459" i="16"/>
  <c r="O3459" i="16" s="1"/>
  <c r="K3243" i="16"/>
  <c r="F3243" i="16"/>
  <c r="O3243" i="16" s="1"/>
  <c r="K3189" i="16"/>
  <c r="F3189" i="16"/>
  <c r="O3189" i="16" s="1"/>
  <c r="F3081" i="16"/>
  <c r="O3081" i="16" s="1"/>
  <c r="K3081" i="16"/>
  <c r="F3027" i="16"/>
  <c r="O3027" i="16" s="1"/>
  <c r="K3027" i="16"/>
  <c r="F2973" i="16"/>
  <c r="O2973" i="16" s="1"/>
  <c r="K2973" i="16"/>
  <c r="F2703" i="16"/>
  <c r="O2703" i="16" s="1"/>
  <c r="K2703" i="16"/>
  <c r="F2649" i="16"/>
  <c r="O2649" i="16" s="1"/>
  <c r="K2649" i="16"/>
  <c r="K2595" i="16"/>
  <c r="F2595" i="16"/>
  <c r="O2595" i="16" s="1"/>
  <c r="K2325" i="16"/>
  <c r="F2325" i="16"/>
  <c r="O2325" i="16" s="1"/>
  <c r="F2163" i="16"/>
  <c r="O2163" i="16" s="1"/>
  <c r="K2163" i="16"/>
  <c r="F1893" i="16"/>
  <c r="O1893" i="16" s="1"/>
  <c r="K1893" i="16"/>
  <c r="K1623" i="16"/>
  <c r="F1623" i="16"/>
  <c r="O1623" i="16" s="1"/>
  <c r="K1299" i="16"/>
  <c r="F1299" i="16"/>
  <c r="O1299" i="16" s="1"/>
  <c r="K651" i="16"/>
  <c r="F651" i="16"/>
  <c r="O651" i="16" s="1"/>
  <c r="F597" i="16"/>
  <c r="O597" i="16" s="1"/>
  <c r="K597" i="16"/>
  <c r="K327" i="16"/>
  <c r="F327" i="16"/>
  <c r="O327" i="16" s="1"/>
  <c r="F219" i="16"/>
  <c r="O219" i="16" s="1"/>
  <c r="K219" i="16"/>
  <c r="F165" i="16"/>
  <c r="O165" i="16" s="1"/>
  <c r="K165" i="16"/>
  <c r="K111" i="16"/>
  <c r="F111" i="16"/>
  <c r="O111" i="16" s="1"/>
  <c r="K3298" i="16" l="1"/>
  <c r="F3298" i="16"/>
  <c r="O3298" i="16" s="1"/>
  <c r="K2164" i="16"/>
  <c r="F2164" i="16"/>
  <c r="O2164" i="16" s="1"/>
  <c r="K2110" i="16"/>
  <c r="F2110" i="16"/>
  <c r="O2110" i="16" s="1"/>
  <c r="K1948" i="16"/>
  <c r="F1948" i="16"/>
  <c r="O1948" i="16" s="1"/>
  <c r="K1732" i="16"/>
  <c r="F1732" i="16"/>
  <c r="O1732" i="16" s="1"/>
  <c r="K1300" i="16"/>
  <c r="F1300" i="16"/>
  <c r="O1300" i="16" s="1"/>
  <c r="K1192" i="16"/>
  <c r="F1192" i="16"/>
  <c r="O1192" i="16" s="1"/>
  <c r="K1138" i="16"/>
  <c r="F1138" i="16"/>
  <c r="O1138" i="16" s="1"/>
  <c r="T4706" i="16"/>
  <c r="D37" i="11" s="1"/>
  <c r="S4707" i="16"/>
  <c r="T4707" i="16" s="1"/>
  <c r="D38" i="11" s="1"/>
  <c r="U4707" i="16"/>
  <c r="M4708" i="16"/>
  <c r="D4708" i="16"/>
  <c r="J4708" i="16"/>
  <c r="N4708" i="16" s="1"/>
  <c r="P4708" i="16"/>
  <c r="Q4708" i="16"/>
  <c r="R4708" i="16"/>
  <c r="L4709" i="16"/>
  <c r="C4709" i="16"/>
  <c r="K4709" i="16" s="1"/>
  <c r="E4709" i="16"/>
  <c r="F4709" i="16"/>
  <c r="G4709" i="16"/>
  <c r="I4709" i="16"/>
  <c r="B4710" i="16"/>
  <c r="P4654" i="16"/>
  <c r="Q4654" i="16"/>
  <c r="R4654" i="16"/>
  <c r="C4655" i="16"/>
  <c r="E4655" i="16"/>
  <c r="G4655" i="16"/>
  <c r="B4656" i="16"/>
  <c r="M4600" i="16"/>
  <c r="D4600" i="16"/>
  <c r="J4600" i="16"/>
  <c r="N4600" i="16" s="1"/>
  <c r="P4600" i="16"/>
  <c r="Q4600" i="16"/>
  <c r="R4600" i="16"/>
  <c r="L4601" i="16"/>
  <c r="C4601" i="16"/>
  <c r="E4601" i="16"/>
  <c r="G4601" i="16"/>
  <c r="I4601" i="16"/>
  <c r="B4602" i="16"/>
  <c r="J4546" i="16"/>
  <c r="D4546" i="16"/>
  <c r="P4546" i="16"/>
  <c r="Q4546" i="16"/>
  <c r="R4546" i="16"/>
  <c r="E4547" i="16"/>
  <c r="G4547" i="16"/>
  <c r="L4547" i="16"/>
  <c r="C4547" i="16"/>
  <c r="F4547" i="16"/>
  <c r="I4547" i="16"/>
  <c r="K4547" i="16"/>
  <c r="B4548" i="16"/>
  <c r="U4245" i="16"/>
  <c r="S4245" i="16"/>
  <c r="D4246" i="16"/>
  <c r="J4246" i="16"/>
  <c r="P4246" i="16"/>
  <c r="Q4246" i="16"/>
  <c r="R4246" i="16"/>
  <c r="T4246" i="16"/>
  <c r="L4247" i="16"/>
  <c r="C4247" i="16"/>
  <c r="E4247" i="16"/>
  <c r="G4247" i="16"/>
  <c r="I4247" i="16"/>
  <c r="B4248" i="16"/>
  <c r="U4191" i="16"/>
  <c r="S4191" i="16"/>
  <c r="D4192" i="16"/>
  <c r="J4192" i="16"/>
  <c r="N4192" i="16" s="1"/>
  <c r="P4192" i="16"/>
  <c r="Q4192" i="16"/>
  <c r="R4192" i="16"/>
  <c r="T4192" i="16"/>
  <c r="M4192" i="16"/>
  <c r="C4193" i="16"/>
  <c r="E4193" i="16"/>
  <c r="F4193" i="16"/>
  <c r="O4193" i="16" s="1"/>
  <c r="G4193" i="16"/>
  <c r="I4193" i="16"/>
  <c r="K4193" i="16"/>
  <c r="L4193" i="16"/>
  <c r="B4194" i="16"/>
  <c r="U4137" i="16"/>
  <c r="S4137" i="16"/>
  <c r="D4138" i="16"/>
  <c r="J4138" i="16"/>
  <c r="N4138" i="16" s="1"/>
  <c r="P4138" i="16"/>
  <c r="Q4138" i="16"/>
  <c r="R4138" i="16"/>
  <c r="T4138" i="16"/>
  <c r="M4138" i="16"/>
  <c r="C4139" i="16"/>
  <c r="E4139" i="16"/>
  <c r="G4139" i="16"/>
  <c r="I4139" i="16"/>
  <c r="B4140" i="16"/>
  <c r="L4139" i="16"/>
  <c r="U4083" i="16"/>
  <c r="S4083" i="16"/>
  <c r="M4084" i="16"/>
  <c r="D4084" i="16"/>
  <c r="J4084" i="16"/>
  <c r="N4084" i="16" s="1"/>
  <c r="P4084" i="16"/>
  <c r="Q4084" i="16"/>
  <c r="R4084" i="16"/>
  <c r="T4084" i="16"/>
  <c r="L4085" i="16"/>
  <c r="C4085" i="16"/>
  <c r="K4085" i="16" s="1"/>
  <c r="E4085" i="16"/>
  <c r="F4085" i="16"/>
  <c r="O4085" i="16" s="1"/>
  <c r="G4085" i="16"/>
  <c r="I4085" i="16"/>
  <c r="B4086" i="16"/>
  <c r="U3783" i="16"/>
  <c r="S3783" i="16"/>
  <c r="D3784" i="16"/>
  <c r="J3784" i="16"/>
  <c r="P3784" i="16"/>
  <c r="Q3784" i="16"/>
  <c r="R3784" i="16"/>
  <c r="T3784" i="16"/>
  <c r="L3785" i="16"/>
  <c r="C3785" i="16"/>
  <c r="K3785" i="16" s="1"/>
  <c r="E3785" i="16"/>
  <c r="F3785" i="16"/>
  <c r="O3785" i="16" s="1"/>
  <c r="G3785" i="16"/>
  <c r="I3785" i="16"/>
  <c r="B3786" i="16"/>
  <c r="M3730" i="16"/>
  <c r="D3730" i="16"/>
  <c r="J3730" i="16"/>
  <c r="N3730" i="16" s="1"/>
  <c r="P3730" i="16"/>
  <c r="Q3730" i="16"/>
  <c r="R3730" i="16"/>
  <c r="T3730" i="16"/>
  <c r="L3731" i="16"/>
  <c r="C3731" i="16"/>
  <c r="K3731" i="16" s="1"/>
  <c r="E3731" i="16"/>
  <c r="F3731" i="16"/>
  <c r="O3731" i="16" s="1"/>
  <c r="G3731" i="16"/>
  <c r="I3731" i="16"/>
  <c r="B3732" i="16"/>
  <c r="U3675" i="16"/>
  <c r="S3675" i="16"/>
  <c r="D3676" i="16"/>
  <c r="J3676" i="16"/>
  <c r="P3676" i="16"/>
  <c r="Q3676" i="16"/>
  <c r="R3676" i="16"/>
  <c r="T3676" i="16"/>
  <c r="L3677" i="16"/>
  <c r="I3677" i="16"/>
  <c r="B3678" i="16"/>
  <c r="C3677" i="16"/>
  <c r="E3677" i="16"/>
  <c r="G3677"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U3513" i="16"/>
  <c r="S3513" i="16"/>
  <c r="M3514" i="16"/>
  <c r="D3514" i="16"/>
  <c r="J3514" i="16"/>
  <c r="N3514" i="16" s="1"/>
  <c r="P3514" i="16"/>
  <c r="Q3514" i="16"/>
  <c r="R3514" i="16"/>
  <c r="T3514" i="16"/>
  <c r="L3515" i="16"/>
  <c r="C3515" i="16"/>
  <c r="K3515" i="16" s="1"/>
  <c r="E3515" i="16"/>
  <c r="F3515" i="16"/>
  <c r="O3515" i="16" s="1"/>
  <c r="G3515" i="16"/>
  <c r="I3515" i="16"/>
  <c r="B3516" i="16"/>
  <c r="D3460" i="16"/>
  <c r="J3460" i="16"/>
  <c r="P3460" i="16"/>
  <c r="Q3460" i="16"/>
  <c r="R3460" i="16"/>
  <c r="T3460" i="16"/>
  <c r="L3461" i="16"/>
  <c r="C3461" i="16"/>
  <c r="K3461" i="16" s="1"/>
  <c r="E3461" i="16"/>
  <c r="F3461" i="16"/>
  <c r="O3461" i="16" s="1"/>
  <c r="G3461" i="16"/>
  <c r="B3462" i="16"/>
  <c r="I3461" i="16"/>
  <c r="U3405" i="16"/>
  <c r="S3405" i="16"/>
  <c r="D3406" i="16"/>
  <c r="J3406" i="16"/>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E3353" i="16"/>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D3244" i="16"/>
  <c r="J3244" i="16"/>
  <c r="P3244" i="16"/>
  <c r="Q3244" i="16"/>
  <c r="R3244" i="16"/>
  <c r="T3244" i="16"/>
  <c r="L3245" i="16"/>
  <c r="C3245" i="16"/>
  <c r="E3245" i="16"/>
  <c r="G3245" i="16"/>
  <c r="I3245" i="16"/>
  <c r="B3246" i="16"/>
  <c r="D3190" i="16"/>
  <c r="J3190" i="16"/>
  <c r="P3190" i="16"/>
  <c r="Q3190" i="16"/>
  <c r="R3190" i="16"/>
  <c r="T3190" i="16"/>
  <c r="L3191" i="16"/>
  <c r="C3191" i="16"/>
  <c r="K3191" i="16" s="1"/>
  <c r="E3191" i="16"/>
  <c r="F3191" i="16"/>
  <c r="O3191" i="16" s="1"/>
  <c r="G3191" i="16"/>
  <c r="I3191" i="16"/>
  <c r="B3192" i="16"/>
  <c r="U3135" i="16"/>
  <c r="S3135" i="16"/>
  <c r="D3136" i="16"/>
  <c r="J3136" i="16"/>
  <c r="P3136" i="16"/>
  <c r="Q3136" i="16"/>
  <c r="R3136" i="16"/>
  <c r="T3136" i="16"/>
  <c r="L3137" i="16"/>
  <c r="C3137" i="16"/>
  <c r="K3137" i="16" s="1"/>
  <c r="E3137" i="16"/>
  <c r="F3137" i="16"/>
  <c r="O3137" i="16" s="1"/>
  <c r="G3137" i="16"/>
  <c r="I3137" i="16"/>
  <c r="B3138" i="16"/>
  <c r="M3082" i="16"/>
  <c r="J3082" i="16"/>
  <c r="N3082" i="16" s="1"/>
  <c r="D3082" i="16"/>
  <c r="P3082" i="16"/>
  <c r="Q3082" i="16"/>
  <c r="R3082" i="16"/>
  <c r="T3082" i="16"/>
  <c r="L3083" i="16"/>
  <c r="I3083" i="16"/>
  <c r="B3084" i="16"/>
  <c r="C3083" i="16"/>
  <c r="K3083" i="16" s="1"/>
  <c r="F3083" i="16"/>
  <c r="O3083" i="16" s="1"/>
  <c r="E3083" i="16"/>
  <c r="G3083" i="16"/>
  <c r="D3028" i="16"/>
  <c r="J3028" i="16"/>
  <c r="P3028" i="16"/>
  <c r="Q3028" i="16"/>
  <c r="R3028" i="16"/>
  <c r="T3028" i="16"/>
  <c r="L3029" i="16"/>
  <c r="E3029" i="16"/>
  <c r="G3029" i="16"/>
  <c r="I3029" i="16"/>
  <c r="C3029" i="16"/>
  <c r="K3029" i="16" s="1"/>
  <c r="F3029" i="16"/>
  <c r="O3029" i="16" s="1"/>
  <c r="B3030" i="16"/>
  <c r="M2974" i="16"/>
  <c r="D2974" i="16"/>
  <c r="J2974" i="16"/>
  <c r="N2974" i="16" s="1"/>
  <c r="P2974" i="16"/>
  <c r="Q2974" i="16"/>
  <c r="R2974" i="16"/>
  <c r="T2974" i="16"/>
  <c r="L2975" i="16"/>
  <c r="C2975" i="16"/>
  <c r="E2975" i="16"/>
  <c r="G2975" i="16"/>
  <c r="I2975" i="16"/>
  <c r="B2976" i="16"/>
  <c r="U2919" i="16"/>
  <c r="S2919" i="16"/>
  <c r="M2920" i="16"/>
  <c r="D2920" i="16"/>
  <c r="J2920" i="16"/>
  <c r="N2920" i="16" s="1"/>
  <c r="P2920" i="16"/>
  <c r="Q2920" i="16"/>
  <c r="R2920" i="16"/>
  <c r="T2920" i="16"/>
  <c r="L2921" i="16"/>
  <c r="C2921" i="16"/>
  <c r="K2921" i="16" s="1"/>
  <c r="E2921" i="16"/>
  <c r="F2921" i="16"/>
  <c r="O2921" i="16" s="1"/>
  <c r="G2921" i="16"/>
  <c r="I2921" i="16"/>
  <c r="B2922" i="16"/>
  <c r="U2865" i="16"/>
  <c r="S2865" i="16"/>
  <c r="M2866" i="16"/>
  <c r="D2866" i="16"/>
  <c r="J2866" i="16"/>
  <c r="N2866" i="16" s="1"/>
  <c r="P2866" i="16"/>
  <c r="Q2866" i="16"/>
  <c r="R2866" i="16"/>
  <c r="T2866" i="16"/>
  <c r="L2867" i="16"/>
  <c r="C2867" i="16"/>
  <c r="E2867" i="16"/>
  <c r="G2867" i="16"/>
  <c r="I2867" i="16"/>
  <c r="B2868" i="16"/>
  <c r="P2812" i="16"/>
  <c r="Q2812" i="16"/>
  <c r="R2812" i="16"/>
  <c r="T2812" i="16"/>
  <c r="U2812" i="16" s="1"/>
  <c r="L2813" i="16"/>
  <c r="E2813" i="16"/>
  <c r="I2813" i="16"/>
  <c r="G2813" i="16"/>
  <c r="B2814" i="16"/>
  <c r="C2813" i="16"/>
  <c r="D2812" i="16"/>
  <c r="J2812" i="16"/>
  <c r="U2757" i="16"/>
  <c r="S2757" i="16"/>
  <c r="D2758" i="16"/>
  <c r="M2758" i="16" s="1"/>
  <c r="J2758" i="16"/>
  <c r="P2758" i="16"/>
  <c r="Q2758" i="16"/>
  <c r="R2758" i="16"/>
  <c r="T2758" i="16"/>
  <c r="L2759" i="16"/>
  <c r="C2759" i="16"/>
  <c r="K2759" i="16" s="1"/>
  <c r="E2759" i="16"/>
  <c r="F2759" i="16"/>
  <c r="O2759" i="16" s="1"/>
  <c r="G2759" i="16"/>
  <c r="I2759" i="16"/>
  <c r="B2760" i="16"/>
  <c r="L2705" i="16"/>
  <c r="B2706" i="16"/>
  <c r="C2705" i="16"/>
  <c r="E2705" i="16"/>
  <c r="G2705" i="16"/>
  <c r="I2705" i="16"/>
  <c r="D2704" i="16"/>
  <c r="J2704" i="16"/>
  <c r="P2704" i="16"/>
  <c r="Q2704" i="16"/>
  <c r="R2704" i="16"/>
  <c r="T2704" i="16"/>
  <c r="L2651" i="16"/>
  <c r="E2651" i="16"/>
  <c r="B2652" i="16"/>
  <c r="G2651" i="16"/>
  <c r="C2651" i="16"/>
  <c r="I2651" i="16"/>
  <c r="P2650" i="16"/>
  <c r="Q2650" i="16"/>
  <c r="R2650" i="16"/>
  <c r="T2650" i="16"/>
  <c r="J2650" i="16"/>
  <c r="D2650" i="16"/>
  <c r="P2596" i="16"/>
  <c r="Q2596" i="16"/>
  <c r="R2596" i="16"/>
  <c r="T2596" i="16"/>
  <c r="L2597" i="16"/>
  <c r="G2597" i="16"/>
  <c r="I2597" i="16"/>
  <c r="B2598" i="16"/>
  <c r="C2597" i="16"/>
  <c r="E2597" i="16"/>
  <c r="D2596" i="16"/>
  <c r="J2596"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U2379" i="16"/>
  <c r="S2379" i="16"/>
  <c r="M2380" i="16"/>
  <c r="D2380" i="16"/>
  <c r="J2380" i="16"/>
  <c r="N2380" i="16" s="1"/>
  <c r="P2380" i="16"/>
  <c r="Q2380" i="16"/>
  <c r="R2380" i="16"/>
  <c r="T2380" i="16"/>
  <c r="L2381" i="16"/>
  <c r="C2381" i="16"/>
  <c r="E2381" i="16"/>
  <c r="G2381" i="16"/>
  <c r="I2381" i="16"/>
  <c r="B2382" i="16"/>
  <c r="L2327" i="16"/>
  <c r="I2327" i="16"/>
  <c r="G2327" i="16"/>
  <c r="C2327" i="16"/>
  <c r="K2327" i="16" s="1"/>
  <c r="B2328" i="16"/>
  <c r="E2327" i="16"/>
  <c r="F2327" i="16"/>
  <c r="O2327" i="16" s="1"/>
  <c r="D2326" i="16"/>
  <c r="J2326" i="16"/>
  <c r="P2326" i="16"/>
  <c r="Q2326" i="16"/>
  <c r="R2326" i="16"/>
  <c r="T2326" i="16"/>
  <c r="U2271" i="16"/>
  <c r="S2271"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K2219" i="16" s="1"/>
  <c r="E2219" i="16"/>
  <c r="F2219" i="16"/>
  <c r="O2219" i="16" s="1"/>
  <c r="G2219" i="16"/>
  <c r="I2219" i="16"/>
  <c r="B2220" i="16"/>
  <c r="M2164" i="16"/>
  <c r="D2164" i="16"/>
  <c r="J2164" i="16"/>
  <c r="N2164" i="16" s="1"/>
  <c r="P2164" i="16"/>
  <c r="Q2164" i="16"/>
  <c r="R2164" i="16"/>
  <c r="T2164" i="16"/>
  <c r="L2165" i="16"/>
  <c r="C2165" i="16"/>
  <c r="K2165" i="16" s="1"/>
  <c r="E2165" i="16"/>
  <c r="F2165" i="16"/>
  <c r="O2165" i="16" s="1"/>
  <c r="G2165" i="16"/>
  <c r="I2165" i="16"/>
  <c r="B2166" i="16"/>
  <c r="U2109" i="16"/>
  <c r="S2109" i="16"/>
  <c r="M2110" i="16"/>
  <c r="D2110" i="16"/>
  <c r="J2110" i="16"/>
  <c r="N2110" i="16" s="1"/>
  <c r="L2111" i="16"/>
  <c r="E2111" i="16"/>
  <c r="B2112" i="16"/>
  <c r="C2111" i="16"/>
  <c r="I2111" i="16"/>
  <c r="G2111" i="16"/>
  <c r="P2110" i="16"/>
  <c r="Q2110" i="16"/>
  <c r="R2110" i="16"/>
  <c r="T2110" i="16"/>
  <c r="U2055" i="16"/>
  <c r="S2055" i="16"/>
  <c r="D2056" i="16"/>
  <c r="J2056" i="16"/>
  <c r="P2056" i="16"/>
  <c r="Q2056" i="16"/>
  <c r="R2056" i="16"/>
  <c r="T2056" i="16"/>
  <c r="L2057" i="16"/>
  <c r="C2057" i="16"/>
  <c r="K2057" i="16" s="1"/>
  <c r="E2057" i="16"/>
  <c r="F2057" i="16"/>
  <c r="O2057" i="16" s="1"/>
  <c r="G2057" i="16"/>
  <c r="I2057" i="16"/>
  <c r="B2058" i="16"/>
  <c r="U2001" i="16"/>
  <c r="S2001" i="16"/>
  <c r="M2002" i="16"/>
  <c r="D2002" i="16"/>
  <c r="J2002" i="16"/>
  <c r="N2002" i="16" s="1"/>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M1894" i="16"/>
  <c r="D1894" i="16"/>
  <c r="J1894" i="16"/>
  <c r="N1894" i="16" s="1"/>
  <c r="P1894" i="16"/>
  <c r="Q1894" i="16"/>
  <c r="R1894" i="16"/>
  <c r="T1894" i="16"/>
  <c r="L1895" i="16"/>
  <c r="C1895" i="16"/>
  <c r="K1895" i="16" s="1"/>
  <c r="E1895" i="16"/>
  <c r="F1895" i="16"/>
  <c r="O1895" i="16" s="1"/>
  <c r="G1895" i="16"/>
  <c r="I1895" i="16"/>
  <c r="B1896" i="16"/>
  <c r="U1839" i="16"/>
  <c r="S1839" i="16"/>
  <c r="D1840" i="16"/>
  <c r="J1840" i="16"/>
  <c r="P1840" i="16"/>
  <c r="Q1840" i="16"/>
  <c r="R1840" i="16"/>
  <c r="T1840" i="16"/>
  <c r="L1841" i="16"/>
  <c r="C1841" i="16"/>
  <c r="K1841" i="16" s="1"/>
  <c r="E1841" i="16"/>
  <c r="F1841" i="16"/>
  <c r="O1841" i="16" s="1"/>
  <c r="G1841" i="16"/>
  <c r="I1841" i="16"/>
  <c r="B1842" i="16"/>
  <c r="U1785" i="16"/>
  <c r="S1785" i="16"/>
  <c r="D1786" i="16"/>
  <c r="J1786" i="16"/>
  <c r="P1786" i="16"/>
  <c r="Q1786" i="16"/>
  <c r="R1786" i="16"/>
  <c r="T1786" i="16"/>
  <c r="L1787" i="16"/>
  <c r="C1787" i="16"/>
  <c r="E1787" i="16"/>
  <c r="G1787" i="16"/>
  <c r="I1787" i="16"/>
  <c r="B1788" i="16"/>
  <c r="U1731" i="16"/>
  <c r="S1731" i="16"/>
  <c r="M1732" i="16"/>
  <c r="D1732" i="16"/>
  <c r="J1732" i="16"/>
  <c r="N1732" i="16" s="1"/>
  <c r="P1732" i="16"/>
  <c r="Q1732" i="16"/>
  <c r="R1732" i="16"/>
  <c r="T1732" i="16"/>
  <c r="L1733" i="16"/>
  <c r="C1733" i="16"/>
  <c r="K1733" i="16" s="1"/>
  <c r="E1733" i="16"/>
  <c r="F1733" i="16"/>
  <c r="O1733" i="16" s="1"/>
  <c r="G1733" i="16"/>
  <c r="I1733" i="16"/>
  <c r="B1734" i="16"/>
  <c r="S1677" i="16"/>
  <c r="U1677" i="16"/>
  <c r="D1678" i="16"/>
  <c r="M1678" i="16" s="1"/>
  <c r="J1678" i="16"/>
  <c r="P1678" i="16"/>
  <c r="Q1678" i="16"/>
  <c r="R1678" i="16"/>
  <c r="T1678" i="16"/>
  <c r="L1679" i="16"/>
  <c r="C1679" i="16"/>
  <c r="K1679" i="16" s="1"/>
  <c r="E1679" i="16"/>
  <c r="F1679" i="16"/>
  <c r="O1679" i="16" s="1"/>
  <c r="G1679" i="16"/>
  <c r="I1679" i="16"/>
  <c r="B1680" i="16"/>
  <c r="M1624" i="16"/>
  <c r="D1624" i="16"/>
  <c r="J1624" i="16"/>
  <c r="N1624" i="16" s="1"/>
  <c r="P1624" i="16"/>
  <c r="Q1624" i="16"/>
  <c r="R1624" i="16"/>
  <c r="T1624" i="16"/>
  <c r="L1625" i="16"/>
  <c r="C1625" i="16"/>
  <c r="E1625" i="16"/>
  <c r="G1625" i="16"/>
  <c r="I1625" i="16"/>
  <c r="B1626" i="16"/>
  <c r="U1569" i="16"/>
  <c r="S1569" i="16"/>
  <c r="M1570" i="16"/>
  <c r="D1570" i="16"/>
  <c r="J1570" i="16"/>
  <c r="N1570" i="16" s="1"/>
  <c r="P1570" i="16"/>
  <c r="Q1570" i="16"/>
  <c r="R1570" i="16"/>
  <c r="T1570" i="16"/>
  <c r="L1571" i="16"/>
  <c r="C1571" i="16"/>
  <c r="K1571" i="16" s="1"/>
  <c r="E1571" i="16"/>
  <c r="F1571" i="16"/>
  <c r="O1571" i="16" s="1"/>
  <c r="G1571" i="16"/>
  <c r="I1571" i="16"/>
  <c r="B1572" i="16"/>
  <c r="U1515" i="16"/>
  <c r="S1515" i="16"/>
  <c r="D1516" i="16"/>
  <c r="J1516" i="16"/>
  <c r="P1516" i="16"/>
  <c r="Q1516" i="16"/>
  <c r="R1516" i="16"/>
  <c r="T1516" i="16"/>
  <c r="L1517" i="16"/>
  <c r="C1517" i="16"/>
  <c r="K1517" i="16" s="1"/>
  <c r="E1517" i="16"/>
  <c r="F1517" i="16"/>
  <c r="O1517" i="16" s="1"/>
  <c r="G1517" i="16"/>
  <c r="I1517" i="16"/>
  <c r="B1518" i="16"/>
  <c r="S1461" i="16"/>
  <c r="U1461" i="16"/>
  <c r="M1462" i="16"/>
  <c r="L1463" i="16"/>
  <c r="B1464" i="16"/>
  <c r="C1463" i="16"/>
  <c r="K1463" i="16" s="1"/>
  <c r="G1463" i="16"/>
  <c r="I1463" i="16"/>
  <c r="E1463" i="16"/>
  <c r="F1463" i="16"/>
  <c r="O1463" i="16" s="1"/>
  <c r="P1462" i="16"/>
  <c r="Q1462" i="16"/>
  <c r="R1462" i="16"/>
  <c r="T1462" i="16"/>
  <c r="D1462" i="16"/>
  <c r="J1462" i="16"/>
  <c r="N1462" i="16" s="1"/>
  <c r="U1407" i="16"/>
  <c r="S1407" i="16"/>
  <c r="M1408" i="16"/>
  <c r="J1408" i="16"/>
  <c r="N1408" i="16" s="1"/>
  <c r="D1408" i="16"/>
  <c r="L1409" i="16"/>
  <c r="I1409" i="16"/>
  <c r="E1409" i="16"/>
  <c r="C1409" i="16"/>
  <c r="K1409" i="16" s="1"/>
  <c r="G1409" i="16"/>
  <c r="F1409" i="16"/>
  <c r="O1409" i="16" s="1"/>
  <c r="B1410" i="16"/>
  <c r="P1408" i="16"/>
  <c r="Q1408" i="16"/>
  <c r="R1408" i="16"/>
  <c r="T1408" i="16"/>
  <c r="U1353" i="16"/>
  <c r="S1353" i="16"/>
  <c r="D1354" i="16"/>
  <c r="J1354" i="16"/>
  <c r="K1355" i="16"/>
  <c r="L1355" i="16"/>
  <c r="I1355" i="16"/>
  <c r="F1355" i="16"/>
  <c r="O1355" i="16" s="1"/>
  <c r="B1356" i="16"/>
  <c r="E1355" i="16"/>
  <c r="G1355" i="16"/>
  <c r="C1355" i="16"/>
  <c r="P1354" i="16"/>
  <c r="Q1354" i="16"/>
  <c r="R1354" i="16"/>
  <c r="T1354" i="16"/>
  <c r="M1300" i="16"/>
  <c r="Q1300" i="16"/>
  <c r="P1300" i="16"/>
  <c r="R1300" i="16"/>
  <c r="T1300" i="16"/>
  <c r="L1301" i="16"/>
  <c r="B1302" i="16"/>
  <c r="C1301" i="16"/>
  <c r="G1301" i="16"/>
  <c r="I1301" i="16"/>
  <c r="E1301" i="16"/>
  <c r="D1300" i="16"/>
  <c r="J1300" i="16"/>
  <c r="N1300" i="16" s="1"/>
  <c r="U1245" i="16"/>
  <c r="S1245" i="16"/>
  <c r="J1246" i="16"/>
  <c r="D1246" i="16"/>
  <c r="B1248" i="16"/>
  <c r="C1247" i="16"/>
  <c r="K1247" i="16" s="1"/>
  <c r="E1247" i="16"/>
  <c r="L1247" i="16"/>
  <c r="G1247" i="16"/>
  <c r="F1247" i="16"/>
  <c r="O1247" i="16" s="1"/>
  <c r="I1247" i="16"/>
  <c r="M1246" i="16"/>
  <c r="N1246" i="16"/>
  <c r="P1246" i="16"/>
  <c r="Q1246" i="16"/>
  <c r="R1246" i="16"/>
  <c r="T1246" i="16"/>
  <c r="U1191" i="16"/>
  <c r="S1191"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K1139" i="16" s="1"/>
  <c r="E1139" i="16"/>
  <c r="F1139" i="16"/>
  <c r="O1139" i="16" s="1"/>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M1030" i="16"/>
  <c r="D1030" i="16"/>
  <c r="J1030" i="16"/>
  <c r="N1030" i="16" s="1"/>
  <c r="P1030" i="16"/>
  <c r="Q1030" i="16"/>
  <c r="R1030" i="16"/>
  <c r="T1030" i="16"/>
  <c r="L1031" i="16"/>
  <c r="C1031" i="16"/>
  <c r="K1031" i="16" s="1"/>
  <c r="E1031" i="16"/>
  <c r="F1031" i="16"/>
  <c r="O1031" i="16" s="1"/>
  <c r="G1031" i="16"/>
  <c r="I1031" i="16"/>
  <c r="B1032" i="16"/>
  <c r="U975" i="16"/>
  <c r="S975" i="16"/>
  <c r="D976" i="16"/>
  <c r="J976" i="16"/>
  <c r="P976" i="16"/>
  <c r="Q976" i="16"/>
  <c r="R976" i="16"/>
  <c r="T976" i="16"/>
  <c r="L977" i="16"/>
  <c r="C977" i="16"/>
  <c r="E977" i="16"/>
  <c r="G977" i="16"/>
  <c r="I977" i="16"/>
  <c r="B978" i="16"/>
  <c r="U921" i="16"/>
  <c r="S921" i="16"/>
  <c r="M922" i="16"/>
  <c r="D922" i="16"/>
  <c r="J922" i="16"/>
  <c r="N922" i="16" s="1"/>
  <c r="P922" i="16"/>
  <c r="Q922" i="16"/>
  <c r="R922" i="16"/>
  <c r="T922" i="16"/>
  <c r="L923" i="16"/>
  <c r="C923" i="16"/>
  <c r="E923" i="16"/>
  <c r="G923" i="16"/>
  <c r="I923" i="16"/>
  <c r="B924" i="16"/>
  <c r="U867" i="16"/>
  <c r="S867" i="16"/>
  <c r="M868" i="16"/>
  <c r="D868" i="16"/>
  <c r="J868" i="16"/>
  <c r="N868" i="16" s="1"/>
  <c r="P868" i="16"/>
  <c r="Q868" i="16"/>
  <c r="R868" i="16"/>
  <c r="T868" i="16"/>
  <c r="L869" i="16"/>
  <c r="C869" i="16"/>
  <c r="K869" i="16" s="1"/>
  <c r="E869" i="16"/>
  <c r="F869" i="16"/>
  <c r="O869" i="16" s="1"/>
  <c r="G869" i="16"/>
  <c r="I869" i="16"/>
  <c r="B870" i="16"/>
  <c r="U813" i="16"/>
  <c r="S813" i="16"/>
  <c r="M814" i="16"/>
  <c r="D814" i="16"/>
  <c r="J814" i="16"/>
  <c r="N814" i="16" s="1"/>
  <c r="P814" i="16"/>
  <c r="Q814" i="16"/>
  <c r="R814" i="16"/>
  <c r="T814" i="16"/>
  <c r="L815" i="16"/>
  <c r="C815" i="16"/>
  <c r="K815" i="16" s="1"/>
  <c r="E815" i="16"/>
  <c r="F815" i="16"/>
  <c r="O815" i="16" s="1"/>
  <c r="G815" i="16"/>
  <c r="I815" i="16"/>
  <c r="B816" i="16"/>
  <c r="U759" i="16"/>
  <c r="S759" i="16"/>
  <c r="M760" i="16"/>
  <c r="D760" i="16"/>
  <c r="J760" i="16"/>
  <c r="N760" i="16" s="1"/>
  <c r="P760" i="16"/>
  <c r="Q760" i="16"/>
  <c r="R760" i="16"/>
  <c r="T760" i="16"/>
  <c r="L761" i="16"/>
  <c r="C761" i="16"/>
  <c r="E761" i="16"/>
  <c r="G761" i="16"/>
  <c r="I761" i="16"/>
  <c r="B762" i="16"/>
  <c r="U705" i="16"/>
  <c r="S705" i="16"/>
  <c r="D706" i="16"/>
  <c r="J706" i="16"/>
  <c r="P706" i="16"/>
  <c r="Q706" i="16"/>
  <c r="R706" i="16"/>
  <c r="T706" i="16"/>
  <c r="L707" i="16"/>
  <c r="C707" i="16"/>
  <c r="K707" i="16" s="1"/>
  <c r="E707" i="16"/>
  <c r="F707" i="16"/>
  <c r="O707" i="16" s="1"/>
  <c r="G707" i="16"/>
  <c r="I707" i="16"/>
  <c r="B708" i="16"/>
  <c r="M652" i="16"/>
  <c r="D652" i="16"/>
  <c r="J652" i="16"/>
  <c r="N652" i="16" s="1"/>
  <c r="P652" i="16"/>
  <c r="Q652" i="16"/>
  <c r="R652" i="16"/>
  <c r="T652" i="16"/>
  <c r="L653" i="16"/>
  <c r="C653" i="16"/>
  <c r="E653" i="16"/>
  <c r="G653" i="16"/>
  <c r="I653" i="16"/>
  <c r="B654" i="16"/>
  <c r="D598" i="16"/>
  <c r="M598" i="16" s="1"/>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E545" i="16"/>
  <c r="G545" i="16"/>
  <c r="I545" i="16"/>
  <c r="B546" i="16"/>
  <c r="U489" i="16"/>
  <c r="S489" i="16"/>
  <c r="M490" i="16"/>
  <c r="D490" i="16"/>
  <c r="J490" i="16"/>
  <c r="N490" i="16" s="1"/>
  <c r="P490" i="16"/>
  <c r="Q490" i="16"/>
  <c r="R490" i="16"/>
  <c r="T490" i="16"/>
  <c r="L491" i="16"/>
  <c r="C491" i="16"/>
  <c r="E491" i="16"/>
  <c r="G491" i="16"/>
  <c r="I491" i="16"/>
  <c r="B492" i="16"/>
  <c r="U435" i="16"/>
  <c r="S435" i="16"/>
  <c r="D436" i="16"/>
  <c r="J436" i="16"/>
  <c r="P436" i="16"/>
  <c r="Q436" i="16"/>
  <c r="R436" i="16"/>
  <c r="T436" i="16"/>
  <c r="L437" i="16"/>
  <c r="C437" i="16"/>
  <c r="E437" i="16"/>
  <c r="G437" i="16"/>
  <c r="I437" i="16"/>
  <c r="B438" i="16"/>
  <c r="U381" i="16"/>
  <c r="S381" i="16"/>
  <c r="M382" i="16"/>
  <c r="D382" i="16"/>
  <c r="J382" i="16"/>
  <c r="N382" i="16" s="1"/>
  <c r="P382" i="16"/>
  <c r="Q382" i="16"/>
  <c r="R382" i="16"/>
  <c r="T382" i="16"/>
  <c r="L383" i="16"/>
  <c r="C383" i="16"/>
  <c r="K383" i="16" s="1"/>
  <c r="E383" i="16"/>
  <c r="F383" i="16"/>
  <c r="O383" i="16" s="1"/>
  <c r="G383" i="16"/>
  <c r="I383" i="16"/>
  <c r="B384" i="16"/>
  <c r="M328" i="16"/>
  <c r="D328" i="16"/>
  <c r="J328" i="16"/>
  <c r="N328" i="16" s="1"/>
  <c r="P328" i="16"/>
  <c r="Q328" i="16"/>
  <c r="R328" i="16"/>
  <c r="T328" i="16"/>
  <c r="L329" i="16"/>
  <c r="C329" i="16"/>
  <c r="E329" i="16"/>
  <c r="G329" i="16"/>
  <c r="I329" i="16"/>
  <c r="B330" i="16"/>
  <c r="U273" i="16"/>
  <c r="S273" i="16"/>
  <c r="M274" i="16"/>
  <c r="D274" i="16"/>
  <c r="J274" i="16"/>
  <c r="N274" i="16" s="1"/>
  <c r="P274" i="16"/>
  <c r="Q274" i="16"/>
  <c r="R274" i="16"/>
  <c r="T274" i="16"/>
  <c r="L275" i="16"/>
  <c r="C275" i="16"/>
  <c r="K275" i="16" s="1"/>
  <c r="E275" i="16"/>
  <c r="F275" i="16"/>
  <c r="O275" i="16" s="1"/>
  <c r="G275" i="16"/>
  <c r="I275" i="16"/>
  <c r="B276" i="16"/>
  <c r="M220" i="16"/>
  <c r="D220" i="16"/>
  <c r="J220" i="16"/>
  <c r="N220" i="16" s="1"/>
  <c r="L221" i="16"/>
  <c r="E221" i="16"/>
  <c r="C221" i="16"/>
  <c r="K221" i="16" s="1"/>
  <c r="F221" i="16"/>
  <c r="O221" i="16" s="1"/>
  <c r="G221" i="16"/>
  <c r="I221" i="16"/>
  <c r="B222" i="16"/>
  <c r="P220" i="16"/>
  <c r="Q220" i="16"/>
  <c r="R220" i="16"/>
  <c r="T220" i="16"/>
  <c r="L167" i="16"/>
  <c r="I167" i="16"/>
  <c r="B168" i="16"/>
  <c r="C167" i="16"/>
  <c r="E167" i="16"/>
  <c r="G167" i="16"/>
  <c r="D166" i="16"/>
  <c r="J166" i="16"/>
  <c r="P166" i="16"/>
  <c r="Q166" i="16"/>
  <c r="R166" i="16"/>
  <c r="T166" i="16"/>
  <c r="P112" i="16"/>
  <c r="Q112" i="16"/>
  <c r="R112" i="16"/>
  <c r="T112" i="16"/>
  <c r="L113" i="16"/>
  <c r="G113" i="16"/>
  <c r="B114" i="16"/>
  <c r="I113" i="16"/>
  <c r="C113" i="16"/>
  <c r="E113" i="16"/>
  <c r="D112" i="16"/>
  <c r="J112" i="16"/>
  <c r="C83" i="7"/>
  <c r="G83" i="7" s="1"/>
  <c r="U49" i="4"/>
  <c r="S49" i="4"/>
  <c r="F51" i="7"/>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Q50" i="4"/>
  <c r="R50" i="4"/>
  <c r="T50" i="4"/>
  <c r="V50" i="4"/>
  <c r="L51" i="4"/>
  <c r="C51" i="4"/>
  <c r="E51" i="4"/>
  <c r="G51" i="4"/>
  <c r="BD51" i="4" s="1"/>
  <c r="I51" i="4"/>
  <c r="B52" i="4"/>
  <c r="B51" i="5"/>
  <c r="BE16" i="4"/>
  <c r="B99" i="7" s="1"/>
  <c r="I99" i="7" s="1"/>
  <c r="B98" i="7"/>
  <c r="I98" i="7"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3782" i="16"/>
  <c r="S3782" i="16"/>
  <c r="U3674" i="16"/>
  <c r="S3674" i="16"/>
  <c r="S3458" i="16"/>
  <c r="U3458" i="16"/>
  <c r="S3242" i="16"/>
  <c r="U3242" i="16"/>
  <c r="U3080" i="16"/>
  <c r="S3080" i="16"/>
  <c r="U3026" i="16"/>
  <c r="S3026" i="16"/>
  <c r="U2972" i="16"/>
  <c r="S2972" i="16"/>
  <c r="U2702" i="16"/>
  <c r="S2702" i="16"/>
  <c r="U2648" i="16"/>
  <c r="S2648" i="16"/>
  <c r="U2594" i="16"/>
  <c r="S2594" i="16"/>
  <c r="U2378" i="16"/>
  <c r="S2378" i="16"/>
  <c r="U2054" i="16"/>
  <c r="S2054" i="16"/>
  <c r="U1838" i="16"/>
  <c r="S1838" i="16"/>
  <c r="U1784" i="16"/>
  <c r="S1784" i="16"/>
  <c r="U1568" i="16"/>
  <c r="S1568" i="16"/>
  <c r="U1460" i="16"/>
  <c r="S1460" i="16"/>
  <c r="U1406" i="16"/>
  <c r="S1406" i="16"/>
  <c r="S1244" i="16"/>
  <c r="U1244" i="16"/>
  <c r="U974" i="16"/>
  <c r="S974" i="16"/>
  <c r="U758" i="16"/>
  <c r="S758" i="16"/>
  <c r="U704" i="16"/>
  <c r="S704" i="16"/>
  <c r="U434" i="16"/>
  <c r="S434" i="16"/>
  <c r="U218" i="16"/>
  <c r="S218" i="16"/>
  <c r="M4599" i="16"/>
  <c r="N4599" i="16"/>
  <c r="N4545" i="16"/>
  <c r="M4545" i="16"/>
  <c r="M3729" i="16"/>
  <c r="N3729" i="16"/>
  <c r="M3459" i="16"/>
  <c r="N3459" i="16"/>
  <c r="M3243" i="16"/>
  <c r="N3243" i="16"/>
  <c r="M3189" i="16"/>
  <c r="N3189" i="16"/>
  <c r="M3081" i="16"/>
  <c r="N3081" i="16"/>
  <c r="M3027" i="16"/>
  <c r="N3027" i="16"/>
  <c r="M2973" i="16"/>
  <c r="N2973" i="16"/>
  <c r="N2703" i="16"/>
  <c r="M2703" i="16"/>
  <c r="M2649" i="16"/>
  <c r="N2649" i="16"/>
  <c r="N2595" i="16"/>
  <c r="M2595" i="16"/>
  <c r="N2325" i="16"/>
  <c r="M2325" i="16"/>
  <c r="M2163" i="16"/>
  <c r="N2163" i="16"/>
  <c r="M1893" i="16"/>
  <c r="N1893" i="16"/>
  <c r="M1623" i="16"/>
  <c r="N1623" i="16"/>
  <c r="M1299" i="16"/>
  <c r="N1299" i="16"/>
  <c r="M651" i="16"/>
  <c r="N651" i="16"/>
  <c r="M597" i="16"/>
  <c r="N597" i="16"/>
  <c r="M327" i="16"/>
  <c r="N327" i="16"/>
  <c r="M219" i="16"/>
  <c r="N219" i="16"/>
  <c r="N165" i="16"/>
  <c r="M165" i="16"/>
  <c r="N111" i="16"/>
  <c r="M111" i="16"/>
  <c r="F4546" i="16"/>
  <c r="K4546" i="16"/>
  <c r="F4246" i="16"/>
  <c r="O4246" i="16" s="1"/>
  <c r="K4246" i="16"/>
  <c r="F3784" i="16"/>
  <c r="O3784" i="16" s="1"/>
  <c r="K3784" i="16"/>
  <c r="F3676" i="16"/>
  <c r="O3676" i="16" s="1"/>
  <c r="K3676" i="16"/>
  <c r="F3460" i="16"/>
  <c r="O3460" i="16" s="1"/>
  <c r="K3460" i="16"/>
  <c r="K3406" i="16"/>
  <c r="F3406" i="16"/>
  <c r="O3406" i="16" s="1"/>
  <c r="F3244" i="16"/>
  <c r="O3244" i="16" s="1"/>
  <c r="K3244" i="16"/>
  <c r="F3190" i="16"/>
  <c r="O3190" i="16" s="1"/>
  <c r="K3190" i="16"/>
  <c r="K3136" i="16"/>
  <c r="F3136" i="16"/>
  <c r="O3136" i="16" s="1"/>
  <c r="K3028" i="16"/>
  <c r="F3028" i="16"/>
  <c r="O3028" i="16" s="1"/>
  <c r="F2812" i="16"/>
  <c r="O2812" i="16" s="1"/>
  <c r="K2812" i="16"/>
  <c r="K2704" i="16"/>
  <c r="F2704" i="16"/>
  <c r="O2704" i="16" s="1"/>
  <c r="K2650" i="16"/>
  <c r="F2650" i="16"/>
  <c r="O2650" i="16" s="1"/>
  <c r="F2596" i="16"/>
  <c r="O2596" i="16" s="1"/>
  <c r="K2596" i="16"/>
  <c r="F2326" i="16"/>
  <c r="O2326" i="16" s="1"/>
  <c r="K2326" i="16"/>
  <c r="F2056" i="16"/>
  <c r="O2056" i="16" s="1"/>
  <c r="K2056" i="16"/>
  <c r="F1840" i="16"/>
  <c r="O1840" i="16" s="1"/>
  <c r="K1840" i="16"/>
  <c r="K1786" i="16"/>
  <c r="F1786" i="16"/>
  <c r="O1786" i="16" s="1"/>
  <c r="F1516" i="16"/>
  <c r="O1516" i="16" s="1"/>
  <c r="K1516" i="16"/>
  <c r="F1354" i="16"/>
  <c r="O1354" i="16" s="1"/>
  <c r="K1354" i="16"/>
  <c r="F976" i="16"/>
  <c r="O976" i="16" s="1"/>
  <c r="K976" i="16"/>
  <c r="K706" i="16"/>
  <c r="F706" i="16"/>
  <c r="O706" i="16" s="1"/>
  <c r="K436" i="16"/>
  <c r="F436" i="16"/>
  <c r="O436" i="16" s="1"/>
  <c r="K166" i="16"/>
  <c r="F166" i="16"/>
  <c r="O166" i="16" s="1"/>
  <c r="K112" i="16"/>
  <c r="F112" i="16"/>
  <c r="O112" i="16" s="1"/>
  <c r="F49" i="5"/>
  <c r="G49" i="5"/>
  <c r="H49" i="5"/>
  <c r="N2758" i="16" l="1"/>
  <c r="N1678" i="16"/>
  <c r="N598" i="16"/>
  <c r="D4655" i="16"/>
  <c r="F4655" i="16"/>
  <c r="O4655" i="16" s="1"/>
  <c r="K4601" i="16"/>
  <c r="F4601" i="16"/>
  <c r="K4139" i="16"/>
  <c r="F4139" i="16"/>
  <c r="O4139" i="16" s="1"/>
  <c r="K3353" i="16"/>
  <c r="F3353" i="16"/>
  <c r="O3353" i="16" s="1"/>
  <c r="K2867" i="16"/>
  <c r="F2867" i="16"/>
  <c r="O2867" i="16" s="1"/>
  <c r="K2003" i="16"/>
  <c r="F2003" i="16"/>
  <c r="O2003" i="16" s="1"/>
  <c r="K1787" i="16"/>
  <c r="F1787" i="16"/>
  <c r="O1787" i="16" s="1"/>
  <c r="K977" i="16"/>
  <c r="F977" i="16"/>
  <c r="O977" i="16" s="1"/>
  <c r="K761" i="16"/>
  <c r="F761" i="16"/>
  <c r="O761" i="16" s="1"/>
  <c r="K545" i="16"/>
  <c r="F545" i="16"/>
  <c r="O545" i="16" s="1"/>
  <c r="K329" i="16"/>
  <c r="F329" i="16"/>
  <c r="O329" i="16" s="1"/>
  <c r="S4708" i="16"/>
  <c r="U4708" i="16"/>
  <c r="M4709" i="16"/>
  <c r="D4709" i="16"/>
  <c r="J4709" i="16"/>
  <c r="N4709" i="16" s="1"/>
  <c r="P4709" i="16"/>
  <c r="Q4709" i="16"/>
  <c r="R4709" i="16"/>
  <c r="L4710" i="16"/>
  <c r="C4710" i="16"/>
  <c r="K4710" i="16" s="1"/>
  <c r="E4710" i="16"/>
  <c r="F4710" i="16"/>
  <c r="G4710" i="16"/>
  <c r="I4710" i="16"/>
  <c r="B4711" i="16"/>
  <c r="P4655" i="16"/>
  <c r="Q4655" i="16"/>
  <c r="R4655" i="16"/>
  <c r="C4656" i="16"/>
  <c r="D4656" i="16" s="1"/>
  <c r="E4656" i="16"/>
  <c r="F4656" i="16"/>
  <c r="O4656" i="16" s="1"/>
  <c r="G4656" i="16"/>
  <c r="B4657" i="16"/>
  <c r="M4601" i="16"/>
  <c r="D4601" i="16"/>
  <c r="J4601" i="16"/>
  <c r="N4601" i="16" s="1"/>
  <c r="P4601" i="16"/>
  <c r="Q4601" i="16"/>
  <c r="R4601" i="16"/>
  <c r="L4602" i="16"/>
  <c r="C4602" i="16"/>
  <c r="K4602" i="16" s="1"/>
  <c r="E4602" i="16"/>
  <c r="F4602" i="16"/>
  <c r="G4602" i="16"/>
  <c r="I4602" i="16"/>
  <c r="B4603" i="16"/>
  <c r="P4547" i="16"/>
  <c r="Q4547" i="16"/>
  <c r="R4547" i="16"/>
  <c r="D4547" i="16"/>
  <c r="J4547" i="16"/>
  <c r="N4547" i="16" s="1"/>
  <c r="M4547" i="16"/>
  <c r="E4548" i="16"/>
  <c r="L4548" i="16"/>
  <c r="C4548" i="16"/>
  <c r="G4548" i="16"/>
  <c r="I4548" i="16"/>
  <c r="B4549" i="16"/>
  <c r="D4247" i="16"/>
  <c r="J4247" i="16"/>
  <c r="P4247" i="16"/>
  <c r="Q4247" i="16"/>
  <c r="R4247" i="16"/>
  <c r="T4247" i="16"/>
  <c r="L4248" i="16"/>
  <c r="C4248" i="16"/>
  <c r="K4248" i="16" s="1"/>
  <c r="E4248" i="16"/>
  <c r="F4248" i="16"/>
  <c r="O4248" i="16" s="1"/>
  <c r="G4248" i="16"/>
  <c r="I4248" i="16"/>
  <c r="B4249" i="16"/>
  <c r="U4192" i="16"/>
  <c r="S4192" i="16"/>
  <c r="D4193" i="16"/>
  <c r="J4193" i="16"/>
  <c r="N4193" i="16" s="1"/>
  <c r="P4193" i="16"/>
  <c r="Q4193" i="16"/>
  <c r="R4193" i="16"/>
  <c r="T4193" i="16"/>
  <c r="M4193" i="16"/>
  <c r="C4194" i="16"/>
  <c r="F4194" i="16" s="1"/>
  <c r="O4194" i="16" s="1"/>
  <c r="E4194" i="16"/>
  <c r="G4194" i="16"/>
  <c r="I4194" i="16"/>
  <c r="K4194" i="16"/>
  <c r="L4194" i="16"/>
  <c r="B4195" i="16"/>
  <c r="U4138" i="16"/>
  <c r="S4138" i="16"/>
  <c r="D4139" i="16"/>
  <c r="J4139" i="16"/>
  <c r="N4139" i="16" s="1"/>
  <c r="P4139" i="16"/>
  <c r="R4139" i="16"/>
  <c r="Q4139" i="16"/>
  <c r="T4139" i="16"/>
  <c r="M4139" i="16"/>
  <c r="C4140" i="16"/>
  <c r="E4140" i="16"/>
  <c r="G4140" i="16"/>
  <c r="I4140" i="16"/>
  <c r="L4140" i="16"/>
  <c r="B4141" i="16"/>
  <c r="U4084" i="16"/>
  <c r="S4084" i="16"/>
  <c r="M4085" i="16"/>
  <c r="D4085" i="16"/>
  <c r="J4085" i="16"/>
  <c r="N4085" i="16" s="1"/>
  <c r="P4085" i="16"/>
  <c r="Q4085" i="16"/>
  <c r="R4085" i="16"/>
  <c r="T4085" i="16"/>
  <c r="L4086" i="16"/>
  <c r="C4086" i="16"/>
  <c r="K4086" i="16" s="1"/>
  <c r="E4086" i="16"/>
  <c r="F4086" i="16"/>
  <c r="O4086" i="16" s="1"/>
  <c r="G4086" i="16"/>
  <c r="I4086" i="16"/>
  <c r="B4087" i="16"/>
  <c r="M3785" i="16"/>
  <c r="D3785" i="16"/>
  <c r="J3785" i="16"/>
  <c r="N3785" i="16" s="1"/>
  <c r="P3785" i="16"/>
  <c r="Q3785" i="16"/>
  <c r="R3785" i="16"/>
  <c r="T3785" i="16"/>
  <c r="L3786" i="16"/>
  <c r="C3786" i="16"/>
  <c r="E3786" i="16"/>
  <c r="G3786" i="16"/>
  <c r="I3786" i="16"/>
  <c r="B3787" i="16"/>
  <c r="U3730" i="16"/>
  <c r="S3730" i="16"/>
  <c r="M3731" i="16"/>
  <c r="D3731" i="16"/>
  <c r="J3731" i="16"/>
  <c r="N3731" i="16" s="1"/>
  <c r="P3731" i="16"/>
  <c r="Q3731" i="16"/>
  <c r="R3731" i="16"/>
  <c r="T3731" i="16"/>
  <c r="L3732" i="16"/>
  <c r="C3732" i="16"/>
  <c r="E3732" i="16"/>
  <c r="G3732" i="16"/>
  <c r="I3732" i="16"/>
  <c r="B3733" i="16"/>
  <c r="L3678" i="16"/>
  <c r="E3678" i="16"/>
  <c r="G3678" i="16"/>
  <c r="C3678" i="16"/>
  <c r="I3678" i="16"/>
  <c r="B3679" i="16"/>
  <c r="J3677" i="16"/>
  <c r="D3677" i="16"/>
  <c r="P3677" i="16"/>
  <c r="Q3677" i="16"/>
  <c r="R3677" i="16"/>
  <c r="T3677"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U3514" i="16"/>
  <c r="S3514" i="16"/>
  <c r="M3515" i="16"/>
  <c r="D3515" i="16"/>
  <c r="J3515" i="16"/>
  <c r="N3515" i="16" s="1"/>
  <c r="P3515" i="16"/>
  <c r="Q3515" i="16"/>
  <c r="R3515" i="16"/>
  <c r="T3515" i="16"/>
  <c r="L3516" i="16"/>
  <c r="C3516" i="16"/>
  <c r="K3516" i="16" s="1"/>
  <c r="E3516" i="16"/>
  <c r="F3516" i="16"/>
  <c r="O3516" i="16" s="1"/>
  <c r="G3516" i="16"/>
  <c r="I3516" i="16"/>
  <c r="B3517" i="16"/>
  <c r="M3461" i="16"/>
  <c r="D3461" i="16"/>
  <c r="J3461" i="16"/>
  <c r="N3461" i="16" s="1"/>
  <c r="P3461" i="16"/>
  <c r="Q3461" i="16"/>
  <c r="R3461" i="16"/>
  <c r="T3461" i="16"/>
  <c r="L3462" i="16"/>
  <c r="B3463" i="16"/>
  <c r="C3462" i="16"/>
  <c r="E3462" i="16"/>
  <c r="G3462" i="16"/>
  <c r="I3462"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D3245" i="16"/>
  <c r="J3245" i="16"/>
  <c r="P3245" i="16"/>
  <c r="Q3245" i="16"/>
  <c r="R3245" i="16"/>
  <c r="T3245" i="16"/>
  <c r="L3246" i="16"/>
  <c r="C3246" i="16"/>
  <c r="K3246" i="16" s="1"/>
  <c r="E3246" i="16"/>
  <c r="F3246" i="16"/>
  <c r="O3246" i="16" s="1"/>
  <c r="G3246" i="16"/>
  <c r="I3246" i="16"/>
  <c r="B3247" i="16"/>
  <c r="M3191" i="16"/>
  <c r="D3191" i="16"/>
  <c r="J3191" i="16"/>
  <c r="N3191" i="16" s="1"/>
  <c r="P3191" i="16"/>
  <c r="Q3191" i="16"/>
  <c r="R3191" i="16"/>
  <c r="T3191" i="16"/>
  <c r="L3192" i="16"/>
  <c r="C3192" i="16"/>
  <c r="K3192" i="16" s="1"/>
  <c r="E3192" i="16"/>
  <c r="F3192" i="16"/>
  <c r="O3192" i="16" s="1"/>
  <c r="G3192" i="16"/>
  <c r="I3192" i="16"/>
  <c r="B3193" i="16"/>
  <c r="M3137" i="16"/>
  <c r="D3137" i="16"/>
  <c r="J3137" i="16"/>
  <c r="N3137" i="16" s="1"/>
  <c r="P3137" i="16"/>
  <c r="Q3137" i="16"/>
  <c r="R3137" i="16"/>
  <c r="T3137" i="16"/>
  <c r="L3138" i="16"/>
  <c r="C3138" i="16"/>
  <c r="E3138" i="16"/>
  <c r="G3138" i="16"/>
  <c r="I3138" i="16"/>
  <c r="B3139" i="16"/>
  <c r="U3082" i="16"/>
  <c r="S3082" i="16"/>
  <c r="M3083" i="16"/>
  <c r="L3084" i="16"/>
  <c r="E3084" i="16"/>
  <c r="C3084" i="16"/>
  <c r="K3084" i="16" s="1"/>
  <c r="F3084" i="16"/>
  <c r="O3084" i="16" s="1"/>
  <c r="G3084" i="16"/>
  <c r="B3085" i="16"/>
  <c r="I3084" i="16"/>
  <c r="J3083" i="16"/>
  <c r="N3083" i="16" s="1"/>
  <c r="D3083" i="16"/>
  <c r="P3083" i="16"/>
  <c r="Q3083" i="16"/>
  <c r="R3083" i="16"/>
  <c r="T3083" i="16"/>
  <c r="M3029" i="16"/>
  <c r="P3029" i="16"/>
  <c r="Q3029" i="16"/>
  <c r="R3029" i="16"/>
  <c r="T3029" i="16"/>
  <c r="D3029" i="16"/>
  <c r="J3029" i="16"/>
  <c r="N3029" i="16" s="1"/>
  <c r="L3030" i="16"/>
  <c r="E3030" i="16"/>
  <c r="C3030" i="16"/>
  <c r="B3031" i="16"/>
  <c r="I3030" i="16"/>
  <c r="G3030" i="16"/>
  <c r="U2974" i="16"/>
  <c r="S2974" i="16"/>
  <c r="D2975" i="16"/>
  <c r="J2975" i="16"/>
  <c r="P2975" i="16"/>
  <c r="Q2975" i="16"/>
  <c r="R2975" i="16"/>
  <c r="T2975" i="16"/>
  <c r="L2976" i="16"/>
  <c r="C2976" i="16"/>
  <c r="K2976" i="16" s="1"/>
  <c r="E2976" i="16"/>
  <c r="F2976" i="16"/>
  <c r="O2976" i="16" s="1"/>
  <c r="G2976" i="16"/>
  <c r="I2976" i="16"/>
  <c r="B2977" i="16"/>
  <c r="U2920" i="16"/>
  <c r="S2920" i="16"/>
  <c r="M2921" i="16"/>
  <c r="D2921" i="16"/>
  <c r="J2921" i="16"/>
  <c r="N2921" i="16" s="1"/>
  <c r="P2921" i="16"/>
  <c r="Q2921" i="16"/>
  <c r="R2921" i="16"/>
  <c r="T2921" i="16"/>
  <c r="L2922" i="16"/>
  <c r="C2922" i="16"/>
  <c r="E2922" i="16"/>
  <c r="G2922" i="16"/>
  <c r="I2922" i="16"/>
  <c r="B2923" i="16"/>
  <c r="U2866" i="16"/>
  <c r="S2866" i="16"/>
  <c r="M2867" i="16"/>
  <c r="D2867" i="16"/>
  <c r="J2867" i="16"/>
  <c r="N2867" i="16" s="1"/>
  <c r="P2867" i="16"/>
  <c r="Q2867" i="16"/>
  <c r="R2867" i="16"/>
  <c r="T2867" i="16"/>
  <c r="L2868" i="16"/>
  <c r="C2868" i="16"/>
  <c r="E2868" i="16"/>
  <c r="G2868" i="16"/>
  <c r="I2868" i="16"/>
  <c r="B2869" i="16"/>
  <c r="P2813" i="16"/>
  <c r="Q2813" i="16"/>
  <c r="R2813" i="16"/>
  <c r="T2813" i="16"/>
  <c r="U2813" i="16" s="1"/>
  <c r="L2814" i="16"/>
  <c r="I2814" i="16"/>
  <c r="C2814" i="16"/>
  <c r="K2814" i="16" s="1"/>
  <c r="E2814" i="16"/>
  <c r="F2814" i="16"/>
  <c r="O2814" i="16" s="1"/>
  <c r="G2814" i="16"/>
  <c r="B2815" i="16"/>
  <c r="D2813" i="16"/>
  <c r="J2813" i="16"/>
  <c r="U2758" i="16"/>
  <c r="S2758" i="16"/>
  <c r="M2759" i="16"/>
  <c r="D2759" i="16"/>
  <c r="J2759" i="16"/>
  <c r="N2759" i="16" s="1"/>
  <c r="P2759" i="16"/>
  <c r="Q2759" i="16"/>
  <c r="R2759" i="16"/>
  <c r="T2759" i="16"/>
  <c r="L2760" i="16"/>
  <c r="C2760" i="16"/>
  <c r="K2760" i="16" s="1"/>
  <c r="E2760" i="16"/>
  <c r="F2760" i="16"/>
  <c r="O2760" i="16" s="1"/>
  <c r="G2760" i="16"/>
  <c r="I2760" i="16"/>
  <c r="B2761" i="16"/>
  <c r="L2706" i="16"/>
  <c r="E2706" i="16"/>
  <c r="B2707" i="16"/>
  <c r="I2706" i="16"/>
  <c r="C2706" i="16"/>
  <c r="G2706" i="16"/>
  <c r="D2705" i="16"/>
  <c r="J2705" i="16"/>
  <c r="P2705" i="16"/>
  <c r="Q2705" i="16"/>
  <c r="R2705" i="16"/>
  <c r="T2705" i="16"/>
  <c r="L2652" i="16"/>
  <c r="E2652" i="16"/>
  <c r="G2652" i="16"/>
  <c r="C2652" i="16"/>
  <c r="I2652" i="16"/>
  <c r="B2653" i="16"/>
  <c r="P2651" i="16"/>
  <c r="Q2651" i="16"/>
  <c r="R2651" i="16"/>
  <c r="T2651" i="16"/>
  <c r="D2651" i="16"/>
  <c r="J2651" i="16"/>
  <c r="P2597" i="16"/>
  <c r="Q2597" i="16"/>
  <c r="R2597" i="16"/>
  <c r="T2597" i="16"/>
  <c r="L2598" i="16"/>
  <c r="C2598" i="16"/>
  <c r="K2598" i="16" s="1"/>
  <c r="B2599" i="16"/>
  <c r="E2598" i="16"/>
  <c r="G2598" i="16"/>
  <c r="F2598" i="16"/>
  <c r="O2598" i="16" s="1"/>
  <c r="I2598" i="16"/>
  <c r="D2597" i="16"/>
  <c r="J2597"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U2380" i="16"/>
  <c r="S2380" i="16"/>
  <c r="D2381" i="16"/>
  <c r="J2381" i="16"/>
  <c r="P2381" i="16"/>
  <c r="Q2381" i="16"/>
  <c r="R2381" i="16"/>
  <c r="T2381" i="16"/>
  <c r="L2382" i="16"/>
  <c r="C2382" i="16"/>
  <c r="E2382" i="16"/>
  <c r="G2382" i="16"/>
  <c r="I2382" i="16"/>
  <c r="B2383" i="16"/>
  <c r="M2327" i="16"/>
  <c r="P2327" i="16"/>
  <c r="Q2327" i="16"/>
  <c r="R2327" i="16"/>
  <c r="T2327" i="16"/>
  <c r="D2327" i="16"/>
  <c r="J2327" i="16"/>
  <c r="N2327" i="16" s="1"/>
  <c r="L2328" i="16"/>
  <c r="I2328" i="16"/>
  <c r="B2329" i="16"/>
  <c r="E2328" i="16"/>
  <c r="G2328" i="16"/>
  <c r="C2328"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U2110" i="16"/>
  <c r="S2110" i="16"/>
  <c r="L2112" i="16"/>
  <c r="I2112" i="16"/>
  <c r="E2112" i="16"/>
  <c r="G2112" i="16"/>
  <c r="C2112" i="16"/>
  <c r="B2113" i="16"/>
  <c r="J2111" i="16"/>
  <c r="D2111" i="16"/>
  <c r="P2111" i="16"/>
  <c r="Q2111" i="16"/>
  <c r="R2111" i="16"/>
  <c r="T2111" i="16"/>
  <c r="M2057" i="16"/>
  <c r="D2057" i="16"/>
  <c r="J2057" i="16"/>
  <c r="N2057" i="16" s="1"/>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U1948" i="16"/>
  <c r="S1948" i="16"/>
  <c r="M1949" i="16"/>
  <c r="D1949" i="16"/>
  <c r="J1949" i="16"/>
  <c r="N1949" i="16" s="1"/>
  <c r="P1949" i="16"/>
  <c r="Q1949" i="16"/>
  <c r="R1949" i="16"/>
  <c r="T1949" i="16"/>
  <c r="L1950" i="16"/>
  <c r="C1950" i="16"/>
  <c r="E1950" i="16"/>
  <c r="G1950" i="16"/>
  <c r="I1950" i="16"/>
  <c r="B1951" i="16"/>
  <c r="S1894" i="16"/>
  <c r="U1894" i="16"/>
  <c r="M1895" i="16"/>
  <c r="D1895" i="16"/>
  <c r="J1895" i="16"/>
  <c r="N1895" i="16" s="1"/>
  <c r="P1895" i="16"/>
  <c r="Q1895" i="16"/>
  <c r="R1895" i="16"/>
  <c r="T1895" i="16"/>
  <c r="L1896" i="16"/>
  <c r="C1896" i="16"/>
  <c r="K1896" i="16" s="1"/>
  <c r="E1896" i="16"/>
  <c r="F1896" i="16"/>
  <c r="O1896" i="16" s="1"/>
  <c r="G1896" i="16"/>
  <c r="I1896" i="16"/>
  <c r="B1897" i="16"/>
  <c r="M1841" i="16"/>
  <c r="D1841" i="16"/>
  <c r="J1841" i="16"/>
  <c r="N1841" i="16" s="1"/>
  <c r="P1841" i="16"/>
  <c r="Q1841" i="16"/>
  <c r="R1841" i="16"/>
  <c r="T1841" i="16"/>
  <c r="L1842" i="16"/>
  <c r="C1842" i="16"/>
  <c r="K1842" i="16" s="1"/>
  <c r="E1842" i="16"/>
  <c r="F1842" i="16"/>
  <c r="O1842" i="16" s="1"/>
  <c r="G1842" i="16"/>
  <c r="I1842" i="16"/>
  <c r="B1843" i="16"/>
  <c r="M1787" i="16"/>
  <c r="D1787" i="16"/>
  <c r="J1787" i="16"/>
  <c r="N1787" i="16" s="1"/>
  <c r="P1787" i="16"/>
  <c r="Q1787" i="16"/>
  <c r="R1787" i="16"/>
  <c r="T1787" i="16"/>
  <c r="L1788" i="16"/>
  <c r="C1788" i="16"/>
  <c r="E1788" i="16"/>
  <c r="G1788" i="16"/>
  <c r="I1788" i="16"/>
  <c r="B1789" i="16"/>
  <c r="U1732" i="16"/>
  <c r="S1732" i="16"/>
  <c r="M1733" i="16"/>
  <c r="D1733" i="16"/>
  <c r="J1733" i="16"/>
  <c r="N1733" i="16" s="1"/>
  <c r="P1733" i="16"/>
  <c r="Q1733" i="16"/>
  <c r="R1733" i="16"/>
  <c r="T1733" i="16"/>
  <c r="L1734" i="16"/>
  <c r="C1734" i="16"/>
  <c r="E1734" i="16"/>
  <c r="G1734" i="16"/>
  <c r="I1734" i="16"/>
  <c r="B1735" i="16"/>
  <c r="S1678" i="16"/>
  <c r="U1678" i="16"/>
  <c r="M1679" i="16"/>
  <c r="D1679" i="16"/>
  <c r="J1679" i="16"/>
  <c r="N1679" i="16" s="1"/>
  <c r="P1679" i="16"/>
  <c r="Q1679" i="16"/>
  <c r="R1679" i="16"/>
  <c r="T1679" i="16"/>
  <c r="L1680" i="16"/>
  <c r="C1680" i="16"/>
  <c r="K1680" i="16" s="1"/>
  <c r="E1680" i="16"/>
  <c r="F1680" i="16"/>
  <c r="O1680" i="16" s="1"/>
  <c r="G1680" i="16"/>
  <c r="I1680" i="16"/>
  <c r="B1681" i="16"/>
  <c r="U1624" i="16"/>
  <c r="S1624" i="16"/>
  <c r="D1625" i="16"/>
  <c r="J1625" i="16"/>
  <c r="P1625" i="16"/>
  <c r="Q1625" i="16"/>
  <c r="R1625" i="16"/>
  <c r="T1625" i="16"/>
  <c r="L1626" i="16"/>
  <c r="C1626" i="16"/>
  <c r="K1626" i="16" s="1"/>
  <c r="E1626" i="16"/>
  <c r="F1626" i="16"/>
  <c r="O1626" i="16" s="1"/>
  <c r="G1626" i="16"/>
  <c r="I1626" i="16"/>
  <c r="B1627" i="16"/>
  <c r="U1570" i="16"/>
  <c r="S1570" i="16"/>
  <c r="M1571" i="16"/>
  <c r="D1571" i="16"/>
  <c r="J1571" i="16"/>
  <c r="N1571" i="16" s="1"/>
  <c r="P1571" i="16"/>
  <c r="Q1571" i="16"/>
  <c r="R1571" i="16"/>
  <c r="T1571" i="16"/>
  <c r="L1572" i="16"/>
  <c r="C1572" i="16"/>
  <c r="E1572" i="16"/>
  <c r="G1572" i="16"/>
  <c r="I1572" i="16"/>
  <c r="B1573" i="16"/>
  <c r="M1517" i="16"/>
  <c r="D1517" i="16"/>
  <c r="J1517" i="16"/>
  <c r="N1517" i="16" s="1"/>
  <c r="P1517" i="16"/>
  <c r="Q1517" i="16"/>
  <c r="R1517" i="16"/>
  <c r="T1517" i="16"/>
  <c r="L1518" i="16"/>
  <c r="C1518" i="16"/>
  <c r="K1518" i="16" s="1"/>
  <c r="E1518" i="16"/>
  <c r="F1518" i="16"/>
  <c r="O1518" i="16" s="1"/>
  <c r="G1518" i="16"/>
  <c r="I1518" i="16"/>
  <c r="B1519" i="16"/>
  <c r="U1462" i="16"/>
  <c r="S1462" i="16"/>
  <c r="M1463" i="16"/>
  <c r="L1464" i="16"/>
  <c r="C1464" i="16"/>
  <c r="K1464" i="16" s="1"/>
  <c r="I1464" i="16"/>
  <c r="G1464" i="16"/>
  <c r="B1465" i="16"/>
  <c r="F1464" i="16"/>
  <c r="O1464" i="16" s="1"/>
  <c r="E1464" i="16"/>
  <c r="J1463" i="16"/>
  <c r="N1463" i="16" s="1"/>
  <c r="D1463" i="16"/>
  <c r="P1463" i="16"/>
  <c r="Q1463" i="16"/>
  <c r="R1463" i="16"/>
  <c r="T1463" i="16"/>
  <c r="U1408" i="16"/>
  <c r="S1408" i="16"/>
  <c r="M1409" i="16"/>
  <c r="J1409" i="16"/>
  <c r="N1409" i="16" s="1"/>
  <c r="D1409" i="16"/>
  <c r="P1409" i="16"/>
  <c r="Q1409" i="16"/>
  <c r="R1409" i="16"/>
  <c r="T1409" i="16"/>
  <c r="L1410" i="16"/>
  <c r="G1410" i="16"/>
  <c r="B1411" i="16"/>
  <c r="C1410" i="16"/>
  <c r="K1410" i="16" s="1"/>
  <c r="F1410" i="16"/>
  <c r="O1410" i="16" s="1"/>
  <c r="I1410" i="16"/>
  <c r="E1410" i="16"/>
  <c r="M1355" i="16"/>
  <c r="L1356" i="16"/>
  <c r="E1356" i="16"/>
  <c r="B1357" i="16"/>
  <c r="I1356" i="16"/>
  <c r="G1356" i="16"/>
  <c r="C1356" i="16"/>
  <c r="P1355" i="16"/>
  <c r="Q1355" i="16"/>
  <c r="R1355" i="16"/>
  <c r="T1355" i="16"/>
  <c r="J1355" i="16"/>
  <c r="N1355" i="16" s="1"/>
  <c r="D1355" i="16"/>
  <c r="U1300" i="16"/>
  <c r="S1300" i="16"/>
  <c r="L1302" i="16"/>
  <c r="C1302" i="16"/>
  <c r="E1302" i="16"/>
  <c r="G1302" i="16"/>
  <c r="B1303" i="16"/>
  <c r="I1302" i="16"/>
  <c r="J1301" i="16"/>
  <c r="D1301" i="16"/>
  <c r="P1301" i="16"/>
  <c r="Q1301" i="16"/>
  <c r="R1301" i="16"/>
  <c r="T1301" i="16"/>
  <c r="C1248" i="16"/>
  <c r="F1248" i="16" s="1"/>
  <c r="O1248" i="16" s="1"/>
  <c r="G1248" i="16"/>
  <c r="L1248" i="16"/>
  <c r="B1249" i="16"/>
  <c r="K1248" i="16"/>
  <c r="I1248" i="16"/>
  <c r="E1248" i="16"/>
  <c r="M1247" i="16"/>
  <c r="D1247" i="16"/>
  <c r="J1247" i="16"/>
  <c r="N1247" i="16" s="1"/>
  <c r="P1247" i="16"/>
  <c r="Q1247" i="16"/>
  <c r="R1247" i="16"/>
  <c r="T1247" i="16"/>
  <c r="U1246" i="16"/>
  <c r="S1246" i="16"/>
  <c r="U1192" i="16"/>
  <c r="S1192" i="16"/>
  <c r="M1193" i="16"/>
  <c r="D1193" i="16"/>
  <c r="J1193" i="16"/>
  <c r="N1193" i="16" s="1"/>
  <c r="P1193" i="16"/>
  <c r="Q1193" i="16"/>
  <c r="R1193" i="16"/>
  <c r="T1193" i="16"/>
  <c r="L1194" i="16"/>
  <c r="C1194" i="16"/>
  <c r="K1194" i="16" s="1"/>
  <c r="E1194" i="16"/>
  <c r="F1194" i="16"/>
  <c r="O1194" i="16" s="1"/>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K1086" i="16" s="1"/>
  <c r="E1086" i="16"/>
  <c r="F1086" i="16"/>
  <c r="O1086" i="16" s="1"/>
  <c r="G1086" i="16"/>
  <c r="I1086" i="16"/>
  <c r="B1087" i="16"/>
  <c r="U1030" i="16"/>
  <c r="S1030" i="16"/>
  <c r="M1031" i="16"/>
  <c r="D1031" i="16"/>
  <c r="J1031" i="16"/>
  <c r="N1031" i="16" s="1"/>
  <c r="P1031" i="16"/>
  <c r="Q1031" i="16"/>
  <c r="R1031" i="16"/>
  <c r="T1031" i="16"/>
  <c r="L1032" i="16"/>
  <c r="C1032" i="16"/>
  <c r="K1032" i="16" s="1"/>
  <c r="E1032" i="16"/>
  <c r="F1032" i="16"/>
  <c r="O1032" i="16" s="1"/>
  <c r="G1032" i="16"/>
  <c r="I1032" i="16"/>
  <c r="B1033" i="16"/>
  <c r="M977" i="16"/>
  <c r="D977" i="16"/>
  <c r="J977" i="16"/>
  <c r="N977" i="16" s="1"/>
  <c r="P977" i="16"/>
  <c r="Q977" i="16"/>
  <c r="R977" i="16"/>
  <c r="T977" i="16"/>
  <c r="L978" i="16"/>
  <c r="C978" i="16"/>
  <c r="K978" i="16" s="1"/>
  <c r="E978" i="16"/>
  <c r="F978" i="16"/>
  <c r="O978" i="16" s="1"/>
  <c r="G978" i="16"/>
  <c r="I978" i="16"/>
  <c r="B979" i="16"/>
  <c r="U922" i="16"/>
  <c r="S922" i="16"/>
  <c r="D923" i="16"/>
  <c r="J923" i="16"/>
  <c r="P923" i="16"/>
  <c r="Q923" i="16"/>
  <c r="R923" i="16"/>
  <c r="T923" i="16"/>
  <c r="L924" i="16"/>
  <c r="C924" i="16"/>
  <c r="E924" i="16"/>
  <c r="G924" i="16"/>
  <c r="I924" i="16"/>
  <c r="B925" i="16"/>
  <c r="U868" i="16"/>
  <c r="S868" i="16"/>
  <c r="M869" i="16"/>
  <c r="D869" i="16"/>
  <c r="J869" i="16"/>
  <c r="N869" i="16" s="1"/>
  <c r="P869" i="16"/>
  <c r="Q869" i="16"/>
  <c r="R869" i="16"/>
  <c r="T869" i="16"/>
  <c r="L870" i="16"/>
  <c r="C870" i="16"/>
  <c r="K870" i="16" s="1"/>
  <c r="E870" i="16"/>
  <c r="F870" i="16"/>
  <c r="O870" i="16" s="1"/>
  <c r="G870" i="16"/>
  <c r="I870" i="16"/>
  <c r="B871" i="16"/>
  <c r="U814" i="16"/>
  <c r="S814" i="16"/>
  <c r="M815" i="16"/>
  <c r="D815" i="16"/>
  <c r="J815" i="16"/>
  <c r="N815" i="16" s="1"/>
  <c r="P815" i="16"/>
  <c r="Q815" i="16"/>
  <c r="R815" i="16"/>
  <c r="T815" i="16"/>
  <c r="L816" i="16"/>
  <c r="C816" i="16"/>
  <c r="K816" i="16" s="1"/>
  <c r="E816" i="16"/>
  <c r="F816" i="16"/>
  <c r="O816" i="16" s="1"/>
  <c r="G816" i="16"/>
  <c r="I816" i="16"/>
  <c r="B817" i="16"/>
  <c r="U760" i="16"/>
  <c r="S760" i="16"/>
  <c r="M761" i="16"/>
  <c r="D761" i="16"/>
  <c r="J761" i="16"/>
  <c r="N761" i="16" s="1"/>
  <c r="P761" i="16"/>
  <c r="Q761" i="16"/>
  <c r="R761" i="16"/>
  <c r="T761" i="16"/>
  <c r="L762" i="16"/>
  <c r="C762" i="16"/>
  <c r="K762" i="16" s="1"/>
  <c r="E762" i="16"/>
  <c r="F762" i="16"/>
  <c r="O762" i="16" s="1"/>
  <c r="G762" i="16"/>
  <c r="I762" i="16"/>
  <c r="B763" i="16"/>
  <c r="M707" i="16"/>
  <c r="D707" i="16"/>
  <c r="J707" i="16"/>
  <c r="N707" i="16" s="1"/>
  <c r="P707" i="16"/>
  <c r="Q707" i="16"/>
  <c r="R707" i="16"/>
  <c r="T707" i="16"/>
  <c r="L708" i="16"/>
  <c r="C708" i="16"/>
  <c r="K708" i="16" s="1"/>
  <c r="E708" i="16"/>
  <c r="F708" i="16"/>
  <c r="O708" i="16" s="1"/>
  <c r="G708" i="16"/>
  <c r="I708" i="16"/>
  <c r="B709" i="16"/>
  <c r="U652" i="16"/>
  <c r="S652" i="16"/>
  <c r="D653" i="16"/>
  <c r="J653" i="16"/>
  <c r="P653" i="16"/>
  <c r="Q653" i="16"/>
  <c r="R653" i="16"/>
  <c r="T653" i="16"/>
  <c r="L654" i="16"/>
  <c r="C654" i="16"/>
  <c r="K654" i="16" s="1"/>
  <c r="E654" i="16"/>
  <c r="F654" i="16"/>
  <c r="O654" i="16" s="1"/>
  <c r="G654" i="16"/>
  <c r="I654" i="16"/>
  <c r="B655" i="16"/>
  <c r="U598" i="16"/>
  <c r="S598" i="16"/>
  <c r="M599" i="16"/>
  <c r="D599" i="16"/>
  <c r="J599" i="16"/>
  <c r="N599" i="16" s="1"/>
  <c r="P599" i="16"/>
  <c r="Q599" i="16"/>
  <c r="R599" i="16"/>
  <c r="T599" i="16"/>
  <c r="L600" i="16"/>
  <c r="C600" i="16"/>
  <c r="K600" i="16" s="1"/>
  <c r="E600" i="16"/>
  <c r="F600" i="16"/>
  <c r="O600" i="16" s="1"/>
  <c r="G600" i="16"/>
  <c r="I600" i="16"/>
  <c r="B601" i="16"/>
  <c r="U544" i="16"/>
  <c r="S544" i="16"/>
  <c r="M545" i="16"/>
  <c r="D545" i="16"/>
  <c r="J545" i="16"/>
  <c r="N545" i="16" s="1"/>
  <c r="P545" i="16"/>
  <c r="Q545" i="16"/>
  <c r="R545" i="16"/>
  <c r="T545" i="16"/>
  <c r="L546" i="16"/>
  <c r="C546" i="16"/>
  <c r="E546" i="16"/>
  <c r="G546" i="16"/>
  <c r="I546" i="16"/>
  <c r="B547" i="16"/>
  <c r="U490" i="16"/>
  <c r="S490" i="16"/>
  <c r="D491" i="16"/>
  <c r="J491" i="16"/>
  <c r="P491" i="16"/>
  <c r="Q491" i="16"/>
  <c r="R491" i="16"/>
  <c r="T491" i="16"/>
  <c r="L492" i="16"/>
  <c r="C492" i="16"/>
  <c r="K492" i="16" s="1"/>
  <c r="E492" i="16"/>
  <c r="F492" i="16"/>
  <c r="O492" i="16" s="1"/>
  <c r="G492" i="16"/>
  <c r="I492" i="16"/>
  <c r="B493" i="16"/>
  <c r="D437" i="16"/>
  <c r="J437" i="16"/>
  <c r="P437" i="16"/>
  <c r="Q437" i="16"/>
  <c r="R437" i="16"/>
  <c r="T437" i="16"/>
  <c r="L438" i="16"/>
  <c r="C438" i="16"/>
  <c r="K438" i="16" s="1"/>
  <c r="E438" i="16"/>
  <c r="F438" i="16"/>
  <c r="O438" i="16" s="1"/>
  <c r="G438" i="16"/>
  <c r="I438" i="16"/>
  <c r="B439" i="16"/>
  <c r="U382" i="16"/>
  <c r="S382" i="16"/>
  <c r="M383" i="16"/>
  <c r="D383" i="16"/>
  <c r="J383" i="16"/>
  <c r="N383" i="16" s="1"/>
  <c r="P383" i="16"/>
  <c r="Q383" i="16"/>
  <c r="R383" i="16"/>
  <c r="T383" i="16"/>
  <c r="L384" i="16"/>
  <c r="C384" i="16"/>
  <c r="K384" i="16" s="1"/>
  <c r="E384" i="16"/>
  <c r="F384" i="16"/>
  <c r="O384" i="16" s="1"/>
  <c r="G384" i="16"/>
  <c r="I384" i="16"/>
  <c r="B385" i="16"/>
  <c r="S328" i="16"/>
  <c r="U328" i="16"/>
  <c r="M329" i="16"/>
  <c r="D329" i="16"/>
  <c r="J329" i="16"/>
  <c r="N329" i="16" s="1"/>
  <c r="P329" i="16"/>
  <c r="Q329" i="16"/>
  <c r="R329" i="16"/>
  <c r="T329" i="16"/>
  <c r="L330" i="16"/>
  <c r="C330" i="16"/>
  <c r="E330" i="16"/>
  <c r="G330" i="16"/>
  <c r="I330" i="16"/>
  <c r="B331" i="16"/>
  <c r="U274" i="16"/>
  <c r="S274"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I222" i="16"/>
  <c r="C222" i="16"/>
  <c r="E222" i="16"/>
  <c r="G222" i="16"/>
  <c r="B223" i="16"/>
  <c r="L168" i="16"/>
  <c r="I168" i="16"/>
  <c r="B169" i="16"/>
  <c r="C168" i="16"/>
  <c r="K168" i="16" s="1"/>
  <c r="E168" i="16"/>
  <c r="F168" i="16"/>
  <c r="O168" i="16" s="1"/>
  <c r="G168" i="16"/>
  <c r="D167" i="16"/>
  <c r="J167" i="16"/>
  <c r="P167" i="16"/>
  <c r="Q167" i="16"/>
  <c r="R167" i="16"/>
  <c r="T167" i="16"/>
  <c r="P113" i="16"/>
  <c r="Q113" i="16"/>
  <c r="R113" i="16"/>
  <c r="T113" i="16"/>
  <c r="L114" i="16"/>
  <c r="B115" i="16"/>
  <c r="C114" i="16"/>
  <c r="E114" i="16"/>
  <c r="G114" i="16"/>
  <c r="I114" i="16"/>
  <c r="D113" i="16"/>
  <c r="J113" i="16"/>
  <c r="C84" i="7"/>
  <c r="G84" i="7" s="1"/>
  <c r="U50" i="4"/>
  <c r="S50" i="4"/>
  <c r="D51" i="4"/>
  <c r="J51" i="4"/>
  <c r="BC51" i="4"/>
  <c r="BB51" i="4"/>
  <c r="BA51" i="4"/>
  <c r="AZ51" i="4"/>
  <c r="AY51" i="4"/>
  <c r="AX51" i="4"/>
  <c r="BF51" i="4" s="1"/>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F51" i="5" s="1"/>
  <c r="Q51" i="4"/>
  <c r="G51" i="5" s="1"/>
  <c r="R51" i="4"/>
  <c r="H51" i="5" s="1"/>
  <c r="T51" i="4"/>
  <c r="V51" i="4"/>
  <c r="L52" i="4"/>
  <c r="C52" i="4"/>
  <c r="K52" i="4" s="1"/>
  <c r="E52" i="4"/>
  <c r="F52" i="4"/>
  <c r="C52" i="5" s="1"/>
  <c r="E52" i="5" s="1"/>
  <c r="G52" i="4"/>
  <c r="BE52" i="4" s="1"/>
  <c r="I52" i="4"/>
  <c r="B53" i="4"/>
  <c r="B52" i="5"/>
  <c r="BF49" i="4"/>
  <c r="BF48" i="4"/>
  <c r="BF47" i="4"/>
  <c r="BF46" i="4"/>
  <c r="BF45" i="4"/>
  <c r="BF44" i="4"/>
  <c r="BF43" i="4"/>
  <c r="BF42" i="4"/>
  <c r="BF41" i="4"/>
  <c r="BF40" i="4"/>
  <c r="BF39" i="4"/>
  <c r="BF38" i="4"/>
  <c r="BF37" i="4"/>
  <c r="BF36" i="4"/>
  <c r="BF35" i="4"/>
  <c r="BF34" i="4"/>
  <c r="BF33" i="4"/>
  <c r="BF32" i="4"/>
  <c r="BF31" i="4"/>
  <c r="BF30"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E31" i="4"/>
  <c r="BE32" i="4"/>
  <c r="BE33" i="4"/>
  <c r="BE34" i="4"/>
  <c r="BE35" i="4"/>
  <c r="BE36" i="4"/>
  <c r="BE37" i="4"/>
  <c r="BE38" i="4"/>
  <c r="BE39" i="4"/>
  <c r="BE40" i="4"/>
  <c r="BE41" i="4"/>
  <c r="BE42" i="4"/>
  <c r="BE43" i="4"/>
  <c r="BE44" i="4"/>
  <c r="BE45" i="4"/>
  <c r="BE46" i="4"/>
  <c r="BE47" i="4"/>
  <c r="BE48" i="4"/>
  <c r="BE49" i="4"/>
  <c r="BE50" i="4"/>
  <c r="BF50" i="4" s="1"/>
  <c r="BE51" i="4"/>
  <c r="U3729" i="16"/>
  <c r="S3729" i="16"/>
  <c r="S3459" i="16"/>
  <c r="U3459" i="16"/>
  <c r="S3243" i="16"/>
  <c r="U3243" i="16"/>
  <c r="U3189" i="16"/>
  <c r="S3189" i="16"/>
  <c r="U3081" i="16"/>
  <c r="S3081" i="16"/>
  <c r="U3027" i="16"/>
  <c r="S3027" i="16"/>
  <c r="U2973" i="16"/>
  <c r="S2973" i="16"/>
  <c r="U2703" i="16"/>
  <c r="S2703" i="16"/>
  <c r="U2649" i="16"/>
  <c r="S2649" i="16"/>
  <c r="U2595" i="16"/>
  <c r="S2595" i="16"/>
  <c r="U2325" i="16"/>
  <c r="S2325" i="16"/>
  <c r="U2163" i="16"/>
  <c r="S2163" i="16"/>
  <c r="S1893" i="16"/>
  <c r="U1893" i="16"/>
  <c r="U1623" i="16"/>
  <c r="S1623" i="16"/>
  <c r="U1299" i="16"/>
  <c r="S1299" i="16"/>
  <c r="U651" i="16"/>
  <c r="S651" i="16"/>
  <c r="U597" i="16"/>
  <c r="S597" i="16"/>
  <c r="S327" i="16"/>
  <c r="U327" i="16"/>
  <c r="U219" i="16"/>
  <c r="S219" i="16"/>
  <c r="U165" i="16"/>
  <c r="S165" i="16"/>
  <c r="S111" i="16"/>
  <c r="U111" i="16"/>
  <c r="N4546" i="16"/>
  <c r="M4546" i="16"/>
  <c r="M4246" i="16"/>
  <c r="N4246" i="16"/>
  <c r="M3784" i="16"/>
  <c r="N3784" i="16"/>
  <c r="M3676" i="16"/>
  <c r="N3676" i="16"/>
  <c r="M3460" i="16"/>
  <c r="N3460" i="16"/>
  <c r="M3406" i="16"/>
  <c r="N3406" i="16"/>
  <c r="M3244" i="16"/>
  <c r="N3244" i="16"/>
  <c r="M3190" i="16"/>
  <c r="N3190" i="16"/>
  <c r="M3136" i="16"/>
  <c r="N3136" i="16"/>
  <c r="M3028" i="16"/>
  <c r="N3028" i="16"/>
  <c r="N2812" i="16"/>
  <c r="S2812" i="16" s="1"/>
  <c r="M2812" i="16"/>
  <c r="N2704" i="16"/>
  <c r="M2704" i="16"/>
  <c r="N2650" i="16"/>
  <c r="M2650" i="16"/>
  <c r="N2596" i="16"/>
  <c r="M2596" i="16"/>
  <c r="M2326" i="16"/>
  <c r="N2326" i="16"/>
  <c r="M2056" i="16"/>
  <c r="N2056" i="16"/>
  <c r="M1840" i="16"/>
  <c r="N1840" i="16"/>
  <c r="M1786" i="16"/>
  <c r="N1786" i="16"/>
  <c r="M1516" i="16"/>
  <c r="N1516" i="16"/>
  <c r="N1354" i="16"/>
  <c r="M1354" i="16"/>
  <c r="M976" i="16"/>
  <c r="N976" i="16"/>
  <c r="M706" i="16"/>
  <c r="N706" i="16"/>
  <c r="M436" i="16"/>
  <c r="N436" i="16"/>
  <c r="M166" i="16"/>
  <c r="N166" i="16"/>
  <c r="N112" i="16"/>
  <c r="M112" i="16"/>
  <c r="K4247" i="16"/>
  <c r="F4247" i="16"/>
  <c r="O4247" i="16" s="1"/>
  <c r="K3677" i="16"/>
  <c r="F3677" i="16"/>
  <c r="O3677" i="16" s="1"/>
  <c r="F3245" i="16"/>
  <c r="O3245" i="16" s="1"/>
  <c r="K3245" i="16"/>
  <c r="K2975" i="16"/>
  <c r="F2975" i="16"/>
  <c r="O2975" i="16" s="1"/>
  <c r="K2813" i="16"/>
  <c r="F2813" i="16"/>
  <c r="O2813" i="16" s="1"/>
  <c r="K2705" i="16"/>
  <c r="F2705" i="16"/>
  <c r="O2705" i="16" s="1"/>
  <c r="F2651" i="16"/>
  <c r="O2651" i="16" s="1"/>
  <c r="K2651" i="16"/>
  <c r="K2597" i="16"/>
  <c r="F2597" i="16"/>
  <c r="O2597" i="16" s="1"/>
  <c r="K2381" i="16"/>
  <c r="F2381" i="16"/>
  <c r="O2381" i="16" s="1"/>
  <c r="F2111" i="16"/>
  <c r="O2111" i="16" s="1"/>
  <c r="K2111" i="16"/>
  <c r="F1625" i="16"/>
  <c r="O1625" i="16" s="1"/>
  <c r="K1625" i="16"/>
  <c r="F1301" i="16"/>
  <c r="O1301" i="16" s="1"/>
  <c r="K1301" i="16"/>
  <c r="F923" i="16"/>
  <c r="O923" i="16" s="1"/>
  <c r="K923" i="16"/>
  <c r="F653" i="16"/>
  <c r="O653" i="16" s="1"/>
  <c r="K653" i="16"/>
  <c r="F491" i="16"/>
  <c r="O491" i="16" s="1"/>
  <c r="K491" i="16"/>
  <c r="F437" i="16"/>
  <c r="O437" i="16" s="1"/>
  <c r="K437" i="16"/>
  <c r="K167" i="16"/>
  <c r="F167" i="16"/>
  <c r="O167" i="16" s="1"/>
  <c r="K113" i="16"/>
  <c r="F113" i="16"/>
  <c r="O113" i="16" s="1"/>
  <c r="F50" i="5"/>
  <c r="G50" i="5"/>
  <c r="H50" i="5"/>
  <c r="K51" i="4"/>
  <c r="F51" i="4"/>
  <c r="C51" i="5" s="1"/>
  <c r="E51" i="5" s="1"/>
  <c r="F4140" i="16" l="1"/>
  <c r="O4140" i="16" s="1"/>
  <c r="K4140" i="16"/>
  <c r="K3030" i="16"/>
  <c r="F3030" i="16"/>
  <c r="O3030" i="16" s="1"/>
  <c r="K2868" i="16"/>
  <c r="F2868" i="16"/>
  <c r="O2868" i="16" s="1"/>
  <c r="K2652" i="16"/>
  <c r="F2652" i="16"/>
  <c r="O2652" i="16" s="1"/>
  <c r="K1950" i="16"/>
  <c r="F1950" i="16"/>
  <c r="O1950" i="16" s="1"/>
  <c r="K1734" i="16"/>
  <c r="F1734" i="16"/>
  <c r="O1734" i="16" s="1"/>
  <c r="K1302" i="16"/>
  <c r="F1302" i="16"/>
  <c r="O1302" i="16" s="1"/>
  <c r="K1140" i="16"/>
  <c r="F1140" i="16"/>
  <c r="O1140" i="16" s="1"/>
  <c r="K924" i="16"/>
  <c r="F924" i="16"/>
  <c r="O924" i="16" s="1"/>
  <c r="T4708" i="16"/>
  <c r="D39" i="11" s="1"/>
  <c r="S4709" i="16"/>
  <c r="T4709" i="16" s="1"/>
  <c r="D40" i="11" s="1"/>
  <c r="U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M4602" i="16"/>
  <c r="D4602" i="16"/>
  <c r="J4602" i="16"/>
  <c r="N4602" i="16" s="1"/>
  <c r="P4602" i="16"/>
  <c r="Q4602" i="16"/>
  <c r="R4602" i="16"/>
  <c r="L4603" i="16"/>
  <c r="C4603" i="16"/>
  <c r="E4603" i="16"/>
  <c r="G4603" i="16"/>
  <c r="I4603" i="16"/>
  <c r="B4604" i="16"/>
  <c r="D4548" i="16"/>
  <c r="J4548" i="16"/>
  <c r="P4548" i="16"/>
  <c r="Q4548" i="16"/>
  <c r="R4548" i="16"/>
  <c r="I4549" i="16"/>
  <c r="C4549" i="16"/>
  <c r="E4549" i="16"/>
  <c r="G4549" i="16"/>
  <c r="L4549" i="16"/>
  <c r="B4550" i="16"/>
  <c r="M4248" i="16"/>
  <c r="D4248" i="16"/>
  <c r="J4248" i="16"/>
  <c r="N4248" i="16" s="1"/>
  <c r="P4248" i="16"/>
  <c r="Q4248" i="16"/>
  <c r="R4248" i="16"/>
  <c r="T4248" i="16"/>
  <c r="L4249" i="16"/>
  <c r="C4249" i="16"/>
  <c r="K4249" i="16" s="1"/>
  <c r="E4249" i="16"/>
  <c r="F4249" i="16"/>
  <c r="O4249" i="16" s="1"/>
  <c r="G4249" i="16"/>
  <c r="I4249" i="16"/>
  <c r="B4250" i="16"/>
  <c r="U4193" i="16"/>
  <c r="S4193" i="16"/>
  <c r="D4194" i="16"/>
  <c r="J4194" i="16"/>
  <c r="N4194" i="16" s="1"/>
  <c r="P4194" i="16"/>
  <c r="Q4194" i="16"/>
  <c r="R4194" i="16"/>
  <c r="T4194" i="16"/>
  <c r="M4194" i="16"/>
  <c r="C4195" i="16"/>
  <c r="E4195" i="16"/>
  <c r="F4195" i="16"/>
  <c r="O4195" i="16" s="1"/>
  <c r="G4195" i="16"/>
  <c r="I4195" i="16"/>
  <c r="K4195" i="16"/>
  <c r="L4195" i="16"/>
  <c r="B4196" i="16"/>
  <c r="U4139" i="16"/>
  <c r="S4139" i="16"/>
  <c r="D4140" i="16"/>
  <c r="J4140" i="16"/>
  <c r="N4140" i="16" s="1"/>
  <c r="Q4140" i="16"/>
  <c r="P4140" i="16"/>
  <c r="R4140" i="16"/>
  <c r="T4140" i="16"/>
  <c r="M4140" i="16"/>
  <c r="G4141" i="16"/>
  <c r="B4142" i="16"/>
  <c r="I4141" i="16"/>
  <c r="C4141" i="16"/>
  <c r="E4141" i="16"/>
  <c r="L4141"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K3787" i="16" s="1"/>
  <c r="E3787" i="16"/>
  <c r="F3787" i="16"/>
  <c r="O3787" i="16" s="1"/>
  <c r="G3787" i="16"/>
  <c r="I3787" i="16"/>
  <c r="B3788" i="16"/>
  <c r="U3731" i="16"/>
  <c r="S3731" i="16"/>
  <c r="D3732" i="16"/>
  <c r="J3732" i="16"/>
  <c r="P3732" i="16"/>
  <c r="Q3732" i="16"/>
  <c r="R3732" i="16"/>
  <c r="T3732" i="16"/>
  <c r="L3733" i="16"/>
  <c r="C3733" i="16"/>
  <c r="K3733" i="16" s="1"/>
  <c r="E3733" i="16"/>
  <c r="F3733" i="16"/>
  <c r="O3733" i="16" s="1"/>
  <c r="G3733" i="16"/>
  <c r="I3733" i="16"/>
  <c r="B3734" i="16"/>
  <c r="P3678" i="16"/>
  <c r="Q3678" i="16"/>
  <c r="R3678" i="16"/>
  <c r="T3678" i="16"/>
  <c r="D3678" i="16"/>
  <c r="J3678" i="16"/>
  <c r="L3679" i="16"/>
  <c r="G3679" i="16"/>
  <c r="C3679" i="16"/>
  <c r="K3679" i="16" s="1"/>
  <c r="E3679" i="16"/>
  <c r="F3679" i="16"/>
  <c r="O3679" i="16" s="1"/>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M3516" i="16"/>
  <c r="D3516" i="16"/>
  <c r="J3516" i="16"/>
  <c r="N3516" i="16" s="1"/>
  <c r="P3516" i="16"/>
  <c r="Q3516" i="16"/>
  <c r="R3516" i="16"/>
  <c r="T3516" i="16"/>
  <c r="L3517" i="16"/>
  <c r="C3517" i="16"/>
  <c r="E3517" i="16"/>
  <c r="G3517" i="16"/>
  <c r="I3517" i="16"/>
  <c r="B3518" i="16"/>
  <c r="S3461" i="16"/>
  <c r="U3461" i="16"/>
  <c r="L3463" i="16"/>
  <c r="C3463" i="16"/>
  <c r="K3463" i="16" s="1"/>
  <c r="E3463" i="16"/>
  <c r="F3463" i="16"/>
  <c r="O3463" i="16" s="1"/>
  <c r="G3463" i="16"/>
  <c r="I3463" i="16"/>
  <c r="B3464" i="16"/>
  <c r="D3462" i="16"/>
  <c r="J3462" i="16"/>
  <c r="P3462" i="16"/>
  <c r="Q3462" i="16"/>
  <c r="R3462" i="16"/>
  <c r="T3462"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E3301" i="16"/>
  <c r="G3301" i="16"/>
  <c r="I3301" i="16"/>
  <c r="B3302" i="16"/>
  <c r="M3246" i="16"/>
  <c r="D3246" i="16"/>
  <c r="J3246" i="16"/>
  <c r="N3246" i="16" s="1"/>
  <c r="P3246" i="16"/>
  <c r="Q3246" i="16"/>
  <c r="R3246" i="16"/>
  <c r="T3246" i="16"/>
  <c r="L3247" i="16"/>
  <c r="C3247" i="16"/>
  <c r="K3247" i="16" s="1"/>
  <c r="E3247" i="16"/>
  <c r="F3247" i="16"/>
  <c r="O3247" i="16" s="1"/>
  <c r="G3247" i="16"/>
  <c r="I3247" i="16"/>
  <c r="B3248" i="16"/>
  <c r="U3191" i="16"/>
  <c r="S3191" i="16"/>
  <c r="M3192" i="16"/>
  <c r="D3192" i="16"/>
  <c r="J3192" i="16"/>
  <c r="N3192" i="16" s="1"/>
  <c r="P3192" i="16"/>
  <c r="Q3192" i="16"/>
  <c r="R3192" i="16"/>
  <c r="T3192" i="16"/>
  <c r="L3193" i="16"/>
  <c r="C3193" i="16"/>
  <c r="K3193" i="16" s="1"/>
  <c r="E3193" i="16"/>
  <c r="F3193" i="16"/>
  <c r="O3193" i="16" s="1"/>
  <c r="G3193" i="16"/>
  <c r="I3193" i="16"/>
  <c r="B3194" i="16"/>
  <c r="U3137" i="16"/>
  <c r="S3137" i="16"/>
  <c r="D3138" i="16"/>
  <c r="J3138" i="16"/>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K3085" i="16" s="1"/>
  <c r="F3085" i="16"/>
  <c r="O3085" i="16" s="1"/>
  <c r="G3085" i="16"/>
  <c r="B3086" i="16"/>
  <c r="I3085" i="16"/>
  <c r="E3085" i="16"/>
  <c r="U3029" i="16"/>
  <c r="S3029" i="16"/>
  <c r="M3030" i="16"/>
  <c r="J3030" i="16"/>
  <c r="N3030" i="16" s="1"/>
  <c r="D3030" i="16"/>
  <c r="L3031" i="16"/>
  <c r="C3031" i="16"/>
  <c r="E3031" i="16"/>
  <c r="B3032" i="16"/>
  <c r="I3031" i="16"/>
  <c r="G3031" i="16"/>
  <c r="P3030" i="16"/>
  <c r="Q3030" i="16"/>
  <c r="R3030" i="16"/>
  <c r="T3030" i="16"/>
  <c r="M2976" i="16"/>
  <c r="D2976" i="16"/>
  <c r="J2976" i="16"/>
  <c r="N2976" i="16" s="1"/>
  <c r="P2976" i="16"/>
  <c r="Q2976" i="16"/>
  <c r="R2976" i="16"/>
  <c r="T2976" i="16"/>
  <c r="L2977" i="16"/>
  <c r="C2977" i="16"/>
  <c r="K2977" i="16" s="1"/>
  <c r="E2977" i="16"/>
  <c r="F2977" i="16"/>
  <c r="O2977" i="16" s="1"/>
  <c r="G2977" i="16"/>
  <c r="I2977" i="16"/>
  <c r="B2978" i="16"/>
  <c r="U2921" i="16"/>
  <c r="S2921" i="16"/>
  <c r="D2922" i="16"/>
  <c r="J2922" i="16"/>
  <c r="P2922" i="16"/>
  <c r="Q2922" i="16"/>
  <c r="R2922" i="16"/>
  <c r="T2922" i="16"/>
  <c r="L2923" i="16"/>
  <c r="C2923" i="16"/>
  <c r="K2923" i="16" s="1"/>
  <c r="E2923" i="16"/>
  <c r="F2923" i="16"/>
  <c r="O2923" i="16" s="1"/>
  <c r="G2923" i="16"/>
  <c r="I2923" i="16"/>
  <c r="B2924" i="16"/>
  <c r="U2867" i="16"/>
  <c r="S2867" i="16"/>
  <c r="M2868" i="16"/>
  <c r="D2868" i="16"/>
  <c r="J2868" i="16"/>
  <c r="N2868" i="16" s="1"/>
  <c r="P2868" i="16"/>
  <c r="Q2868" i="16"/>
  <c r="R2868" i="16"/>
  <c r="T2868" i="16"/>
  <c r="L2869" i="16"/>
  <c r="C2869" i="16"/>
  <c r="K2869" i="16" s="1"/>
  <c r="E2869" i="16"/>
  <c r="F2869" i="16"/>
  <c r="O2869" i="16" s="1"/>
  <c r="G2869" i="16"/>
  <c r="I2869" i="16"/>
  <c r="B2870" i="16"/>
  <c r="M2814" i="16"/>
  <c r="D2814" i="16"/>
  <c r="J2814" i="16"/>
  <c r="N2814" i="16" s="1"/>
  <c r="S2814" i="16" s="1"/>
  <c r="P2814" i="16"/>
  <c r="Q2814" i="16"/>
  <c r="R2814" i="16"/>
  <c r="T2814" i="16"/>
  <c r="U2814" i="16" s="1"/>
  <c r="L2815" i="16"/>
  <c r="E2815" i="16"/>
  <c r="B2816" i="16"/>
  <c r="I2815" i="16"/>
  <c r="G2815" i="16"/>
  <c r="C2815" i="16"/>
  <c r="U2759" i="16"/>
  <c r="S2759" i="16"/>
  <c r="M2760" i="16"/>
  <c r="D2760" i="16"/>
  <c r="J2760" i="16"/>
  <c r="N2760" i="16" s="1"/>
  <c r="P2760" i="16"/>
  <c r="Q2760" i="16"/>
  <c r="R2760" i="16"/>
  <c r="T2760" i="16"/>
  <c r="L2761" i="16"/>
  <c r="C2761" i="16"/>
  <c r="E2761" i="16"/>
  <c r="G2761" i="16"/>
  <c r="I2761" i="16"/>
  <c r="B2762" i="16"/>
  <c r="L2707" i="16"/>
  <c r="C2707" i="16"/>
  <c r="G2707" i="16"/>
  <c r="B2708" i="16"/>
  <c r="I2707" i="16"/>
  <c r="E2707" i="16"/>
  <c r="D2706" i="16"/>
  <c r="J2706" i="16"/>
  <c r="P2706" i="16"/>
  <c r="Q2706" i="16"/>
  <c r="R2706" i="16"/>
  <c r="T2706" i="16"/>
  <c r="M2652" i="16"/>
  <c r="P2652" i="16"/>
  <c r="Q2652" i="16"/>
  <c r="R2652" i="16"/>
  <c r="T2652" i="16"/>
  <c r="J2652" i="16"/>
  <c r="N2652" i="16" s="1"/>
  <c r="D2652" i="16"/>
  <c r="L2653" i="16"/>
  <c r="E2653" i="16"/>
  <c r="B2654" i="16"/>
  <c r="C2653" i="16"/>
  <c r="K2653" i="16" s="1"/>
  <c r="G2653" i="16"/>
  <c r="I2653" i="16"/>
  <c r="F2653" i="16"/>
  <c r="O2653" i="16" s="1"/>
  <c r="M2598" i="16"/>
  <c r="D2598" i="16"/>
  <c r="J2598" i="16"/>
  <c r="N2598" i="16" s="1"/>
  <c r="L2599" i="16"/>
  <c r="C2599" i="16"/>
  <c r="K2599" i="16" s="1"/>
  <c r="G2599" i="16"/>
  <c r="B2600" i="16"/>
  <c r="E2599" i="16"/>
  <c r="I2599" i="16"/>
  <c r="F2599" i="16"/>
  <c r="O2599" i="16" s="1"/>
  <c r="P2598" i="16"/>
  <c r="Q2598" i="16"/>
  <c r="R2598" i="16"/>
  <c r="T2598" i="16"/>
  <c r="U2543" i="16"/>
  <c r="S2543" i="16"/>
  <c r="M2544" i="16"/>
  <c r="D2544" i="16"/>
  <c r="J2544" i="16"/>
  <c r="N2544" i="16" s="1"/>
  <c r="P2544" i="16"/>
  <c r="Q2544" i="16"/>
  <c r="R2544" i="16"/>
  <c r="T2544" i="16"/>
  <c r="L2545" i="16"/>
  <c r="E2545" i="16"/>
  <c r="B2546" i="16"/>
  <c r="I2545" i="16"/>
  <c r="C2545" i="16"/>
  <c r="G2545" i="16"/>
  <c r="U2489" i="16"/>
  <c r="S2489" i="16"/>
  <c r="M2490" i="16"/>
  <c r="D2490" i="16"/>
  <c r="J2490" i="16"/>
  <c r="N2490" i="16" s="1"/>
  <c r="P2490" i="16"/>
  <c r="Q2490" i="16"/>
  <c r="R2490" i="16"/>
  <c r="T2490" i="16"/>
  <c r="L2491" i="16"/>
  <c r="C2491" i="16"/>
  <c r="E2491" i="16"/>
  <c r="G2491" i="16"/>
  <c r="I2491" i="16"/>
  <c r="B2492" i="16"/>
  <c r="U2435" i="16"/>
  <c r="S2435" i="16"/>
  <c r="M2436" i="16"/>
  <c r="D2436" i="16"/>
  <c r="J2436" i="16"/>
  <c r="N2436" i="16" s="1"/>
  <c r="P2436" i="16"/>
  <c r="Q2436" i="16"/>
  <c r="R2436" i="16"/>
  <c r="T2436" i="16"/>
  <c r="L2437" i="16"/>
  <c r="C2437" i="16"/>
  <c r="K2437" i="16" s="1"/>
  <c r="E2437" i="16"/>
  <c r="F2437" i="16"/>
  <c r="O2437" i="16" s="1"/>
  <c r="G2437" i="16"/>
  <c r="I2437" i="16"/>
  <c r="B2438" i="16"/>
  <c r="D2382" i="16"/>
  <c r="J2382" i="16"/>
  <c r="P2382" i="16"/>
  <c r="Q2382" i="16"/>
  <c r="R2382" i="16"/>
  <c r="T2382" i="16"/>
  <c r="L2383" i="16"/>
  <c r="C2383" i="16"/>
  <c r="K2383" i="16" s="1"/>
  <c r="E2383" i="16"/>
  <c r="F2383" i="16"/>
  <c r="O2383" i="16" s="1"/>
  <c r="G2383" i="16"/>
  <c r="I2383" i="16"/>
  <c r="B2384" i="16"/>
  <c r="S2327" i="16"/>
  <c r="U2327" i="16"/>
  <c r="L2329" i="16"/>
  <c r="C2329" i="16"/>
  <c r="B2330" i="16"/>
  <c r="I2329" i="16"/>
  <c r="G2329" i="16"/>
  <c r="E2329" i="16"/>
  <c r="P2328" i="16"/>
  <c r="Q2328" i="16"/>
  <c r="R2328" i="16"/>
  <c r="T2328" i="16"/>
  <c r="J2328" i="16"/>
  <c r="D2328" i="16"/>
  <c r="U2273" i="16"/>
  <c r="S2273" i="16"/>
  <c r="M2274" i="16"/>
  <c r="D2274" i="16"/>
  <c r="J2274" i="16"/>
  <c r="N2274" i="16" s="1"/>
  <c r="P2274" i="16"/>
  <c r="Q2274" i="16"/>
  <c r="R2274" i="16"/>
  <c r="T2274" i="16"/>
  <c r="L2275" i="16"/>
  <c r="C2275" i="16"/>
  <c r="E2275" i="16"/>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M2166" i="16"/>
  <c r="D2166" i="16"/>
  <c r="J2166" i="16"/>
  <c r="N2166" i="16" s="1"/>
  <c r="P2166" i="16"/>
  <c r="Q2166" i="16"/>
  <c r="R2166" i="16"/>
  <c r="T2166" i="16"/>
  <c r="L2167" i="16"/>
  <c r="C2167" i="16"/>
  <c r="K2167" i="16" s="1"/>
  <c r="E2167" i="16"/>
  <c r="F2167" i="16"/>
  <c r="O2167" i="16" s="1"/>
  <c r="G2167" i="16"/>
  <c r="I2167" i="16"/>
  <c r="B2168" i="16"/>
  <c r="P2112" i="16"/>
  <c r="Q2112" i="16"/>
  <c r="R2112" i="16"/>
  <c r="T2112" i="16"/>
  <c r="D2112" i="16"/>
  <c r="J2112" i="16"/>
  <c r="L2113" i="16"/>
  <c r="E2113" i="16"/>
  <c r="C2113" i="16"/>
  <c r="G2113" i="16"/>
  <c r="B2114" i="16"/>
  <c r="I2113" i="16"/>
  <c r="U2057" i="16"/>
  <c r="S2057" i="16"/>
  <c r="M2058" i="16"/>
  <c r="D2058" i="16"/>
  <c r="J2058" i="16"/>
  <c r="N2058" i="16" s="1"/>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K2005" i="16" s="1"/>
  <c r="E2005" i="16"/>
  <c r="F2005" i="16"/>
  <c r="O2005" i="16" s="1"/>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S1895" i="16"/>
  <c r="U1895" i="16"/>
  <c r="M1896" i="16"/>
  <c r="D1896" i="16"/>
  <c r="J1896" i="16"/>
  <c r="N1896" i="16" s="1"/>
  <c r="P1896" i="16"/>
  <c r="Q1896" i="16"/>
  <c r="R1896" i="16"/>
  <c r="T1896" i="16"/>
  <c r="L1897" i="16"/>
  <c r="C1897" i="16"/>
  <c r="K1897" i="16" s="1"/>
  <c r="E1897" i="16"/>
  <c r="F1897" i="16"/>
  <c r="O1897" i="16" s="1"/>
  <c r="G1897" i="16"/>
  <c r="I1897" i="16"/>
  <c r="B1898" i="16"/>
  <c r="U1841" i="16"/>
  <c r="S1841" i="16"/>
  <c r="M1842" i="16"/>
  <c r="D1842" i="16"/>
  <c r="J1842" i="16"/>
  <c r="N1842" i="16" s="1"/>
  <c r="P1842" i="16"/>
  <c r="Q1842" i="16"/>
  <c r="R1842" i="16"/>
  <c r="T1842" i="16"/>
  <c r="L1843" i="16"/>
  <c r="C1843" i="16"/>
  <c r="K1843" i="16" s="1"/>
  <c r="E1843" i="16"/>
  <c r="F1843" i="16"/>
  <c r="O1843" i="16" s="1"/>
  <c r="G1843" i="16"/>
  <c r="I1843" i="16"/>
  <c r="B1844" i="16"/>
  <c r="U1787" i="16"/>
  <c r="S1787" i="16"/>
  <c r="D1788" i="16"/>
  <c r="J1788" i="16"/>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S1679" i="16"/>
  <c r="U1679" i="16"/>
  <c r="M1680" i="16"/>
  <c r="D1680" i="16"/>
  <c r="J1680" i="16"/>
  <c r="N1680" i="16" s="1"/>
  <c r="P1680" i="16"/>
  <c r="Q1680" i="16"/>
  <c r="R1680" i="16"/>
  <c r="T1680" i="16"/>
  <c r="L1681" i="16"/>
  <c r="C1681" i="16"/>
  <c r="E1681" i="16"/>
  <c r="G1681" i="16"/>
  <c r="I1681" i="16"/>
  <c r="B1682" i="16"/>
  <c r="M1626" i="16"/>
  <c r="D1626" i="16"/>
  <c r="J1626" i="16"/>
  <c r="N1626" i="16" s="1"/>
  <c r="P1626" i="16"/>
  <c r="Q1626" i="16"/>
  <c r="R1626" i="16"/>
  <c r="T1626" i="16"/>
  <c r="L1627" i="16"/>
  <c r="C1627" i="16"/>
  <c r="K1627" i="16" s="1"/>
  <c r="E1627" i="16"/>
  <c r="F1627" i="16"/>
  <c r="O1627" i="16" s="1"/>
  <c r="G1627" i="16"/>
  <c r="I1627" i="16"/>
  <c r="B1628" i="16"/>
  <c r="U1571" i="16"/>
  <c r="S1571" i="16"/>
  <c r="D1572" i="16"/>
  <c r="J1572" i="16"/>
  <c r="P1572" i="16"/>
  <c r="Q1572" i="16"/>
  <c r="R1572" i="16"/>
  <c r="T1572" i="16"/>
  <c r="L1573" i="16"/>
  <c r="C1573" i="16"/>
  <c r="E1573" i="16"/>
  <c r="G1573" i="16"/>
  <c r="I1573" i="16"/>
  <c r="B1574" i="16"/>
  <c r="U1517" i="16"/>
  <c r="S1517" i="16"/>
  <c r="M1518" i="16"/>
  <c r="D1518" i="16"/>
  <c r="J1518" i="16"/>
  <c r="N1518" i="16" s="1"/>
  <c r="P1518" i="16"/>
  <c r="Q1518" i="16"/>
  <c r="R1518" i="16"/>
  <c r="T1518" i="16"/>
  <c r="L1519" i="16"/>
  <c r="C1519" i="16"/>
  <c r="E1519" i="16"/>
  <c r="G1519" i="16"/>
  <c r="I1519" i="16"/>
  <c r="B1520" i="16"/>
  <c r="S1463" i="16"/>
  <c r="U1463" i="16"/>
  <c r="M1464" i="16"/>
  <c r="J1464" i="16"/>
  <c r="N1464" i="16" s="1"/>
  <c r="D1464" i="16"/>
  <c r="P1464" i="16"/>
  <c r="Q1464" i="16"/>
  <c r="R1464" i="16"/>
  <c r="T1464" i="16"/>
  <c r="L1465" i="16"/>
  <c r="E1465" i="16"/>
  <c r="B1466" i="16"/>
  <c r="C1465" i="16"/>
  <c r="I1465" i="16"/>
  <c r="G1465" i="16"/>
  <c r="U1409" i="16"/>
  <c r="S1409" i="16"/>
  <c r="M1410" i="16"/>
  <c r="P1410" i="16"/>
  <c r="Q1410" i="16"/>
  <c r="R1410" i="16"/>
  <c r="T1410" i="16"/>
  <c r="L1411" i="16"/>
  <c r="B1412" i="16"/>
  <c r="C1411" i="16"/>
  <c r="K1411" i="16" s="1"/>
  <c r="G1411" i="16"/>
  <c r="I1411" i="16"/>
  <c r="F1411" i="16"/>
  <c r="O1411" i="16" s="1"/>
  <c r="E1411" i="16"/>
  <c r="J1410" i="16"/>
  <c r="N1410" i="16" s="1"/>
  <c r="D1410" i="16"/>
  <c r="U1355" i="16"/>
  <c r="S1355" i="16"/>
  <c r="L1357" i="16"/>
  <c r="C1357" i="16"/>
  <c r="K1357" i="16" s="1"/>
  <c r="E1357" i="16"/>
  <c r="I1357" i="16"/>
  <c r="B1358" i="16"/>
  <c r="F1357" i="16"/>
  <c r="O1357" i="16" s="1"/>
  <c r="G1357" i="16"/>
  <c r="P1356" i="16"/>
  <c r="Q1356" i="16"/>
  <c r="R1356" i="16"/>
  <c r="T1356" i="16"/>
  <c r="J1356" i="16"/>
  <c r="D1356" i="16"/>
  <c r="M1302" i="16"/>
  <c r="J1302" i="16"/>
  <c r="N1302" i="16" s="1"/>
  <c r="D1302" i="16"/>
  <c r="Q1302" i="16"/>
  <c r="P1302" i="16"/>
  <c r="R1302" i="16"/>
  <c r="T1302" i="16"/>
  <c r="L1303" i="16"/>
  <c r="G1303" i="16"/>
  <c r="E1303" i="16"/>
  <c r="C1303" i="16"/>
  <c r="I1303" i="16"/>
  <c r="B1304" i="16"/>
  <c r="J1248" i="16"/>
  <c r="N1248" i="16" s="1"/>
  <c r="D1248" i="16"/>
  <c r="P1248" i="16"/>
  <c r="Q1248" i="16"/>
  <c r="R1248" i="16"/>
  <c r="T1248" i="16"/>
  <c r="I1249" i="16"/>
  <c r="E1249" i="16"/>
  <c r="G1249" i="16"/>
  <c r="B1250" i="16"/>
  <c r="L1249" i="16"/>
  <c r="C1249" i="16"/>
  <c r="M1248" i="16"/>
  <c r="U1247" i="16"/>
  <c r="S1247" i="16"/>
  <c r="U1193" i="16"/>
  <c r="S1193" i="16"/>
  <c r="M1194" i="16"/>
  <c r="D1194" i="16"/>
  <c r="J1194" i="16"/>
  <c r="N1194" i="16" s="1"/>
  <c r="P1194" i="16"/>
  <c r="Q1194" i="16"/>
  <c r="R1194" i="16"/>
  <c r="T1194" i="16"/>
  <c r="L1195" i="16"/>
  <c r="C1195" i="16"/>
  <c r="K1195" i="16" s="1"/>
  <c r="E1195" i="16"/>
  <c r="F1195" i="16"/>
  <c r="O1195" i="16" s="1"/>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U1031" i="16"/>
  <c r="S1031" i="16"/>
  <c r="M1032" i="16"/>
  <c r="D1032" i="16"/>
  <c r="J1032" i="16"/>
  <c r="N1032" i="16" s="1"/>
  <c r="P1032" i="16"/>
  <c r="Q1032" i="16"/>
  <c r="R1032" i="16"/>
  <c r="T1032" i="16"/>
  <c r="L1033" i="16"/>
  <c r="C1033" i="16"/>
  <c r="E1033" i="16"/>
  <c r="G1033" i="16"/>
  <c r="I1033" i="16"/>
  <c r="B1034" i="16"/>
  <c r="U977" i="16"/>
  <c r="S977" i="16"/>
  <c r="M978" i="16"/>
  <c r="D978" i="16"/>
  <c r="J978" i="16"/>
  <c r="N978" i="16" s="1"/>
  <c r="P978" i="16"/>
  <c r="Q978" i="16"/>
  <c r="R978" i="16"/>
  <c r="T978" i="16"/>
  <c r="L979" i="16"/>
  <c r="C979" i="16"/>
  <c r="K979" i="16" s="1"/>
  <c r="E979" i="16"/>
  <c r="F979" i="16"/>
  <c r="O979" i="16" s="1"/>
  <c r="G979" i="16"/>
  <c r="I979" i="16"/>
  <c r="B980"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E871" i="16"/>
  <c r="G871" i="16"/>
  <c r="I871" i="16"/>
  <c r="B872" i="16"/>
  <c r="U815" i="16"/>
  <c r="S815" i="16"/>
  <c r="M816" i="16"/>
  <c r="D816" i="16"/>
  <c r="J816" i="16"/>
  <c r="N816" i="16" s="1"/>
  <c r="P816" i="16"/>
  <c r="Q816" i="16"/>
  <c r="R816" i="16"/>
  <c r="T816" i="16"/>
  <c r="L817" i="16"/>
  <c r="C817" i="16"/>
  <c r="E817" i="16"/>
  <c r="G817" i="16"/>
  <c r="I817" i="16"/>
  <c r="B818" i="16"/>
  <c r="U761" i="16"/>
  <c r="S761" i="16"/>
  <c r="M762" i="16"/>
  <c r="D762" i="16"/>
  <c r="J762" i="16"/>
  <c r="N762" i="16" s="1"/>
  <c r="P762" i="16"/>
  <c r="Q762" i="16"/>
  <c r="R762" i="16"/>
  <c r="T762" i="16"/>
  <c r="L763" i="16"/>
  <c r="C763" i="16"/>
  <c r="K763" i="16" s="1"/>
  <c r="E763" i="16"/>
  <c r="F763" i="16"/>
  <c r="O763" i="16" s="1"/>
  <c r="G763" i="16"/>
  <c r="I763" i="16"/>
  <c r="B764" i="16"/>
  <c r="U707" i="16"/>
  <c r="S707" i="16"/>
  <c r="M708" i="16"/>
  <c r="D708" i="16"/>
  <c r="J708" i="16"/>
  <c r="N708" i="16" s="1"/>
  <c r="P708" i="16"/>
  <c r="Q708" i="16"/>
  <c r="R708" i="16"/>
  <c r="T708" i="16"/>
  <c r="L709" i="16"/>
  <c r="C709" i="16"/>
  <c r="K709" i="16" s="1"/>
  <c r="E709" i="16"/>
  <c r="F709" i="16"/>
  <c r="O709" i="16" s="1"/>
  <c r="G709" i="16"/>
  <c r="I709" i="16"/>
  <c r="B710" i="16"/>
  <c r="M654" i="16"/>
  <c r="D654" i="16"/>
  <c r="J654" i="16"/>
  <c r="N654" i="16" s="1"/>
  <c r="P654" i="16"/>
  <c r="Q654" i="16"/>
  <c r="R654" i="16"/>
  <c r="T654" i="16"/>
  <c r="L655" i="16"/>
  <c r="C655" i="16"/>
  <c r="K655" i="16" s="1"/>
  <c r="E655" i="16"/>
  <c r="F655" i="16"/>
  <c r="O655" i="16" s="1"/>
  <c r="G655" i="16"/>
  <c r="I655" i="16"/>
  <c r="B656" i="16"/>
  <c r="U599" i="16"/>
  <c r="S599" i="16"/>
  <c r="M600" i="16"/>
  <c r="D600" i="16"/>
  <c r="J600" i="16"/>
  <c r="N600" i="16" s="1"/>
  <c r="P600" i="16"/>
  <c r="Q600" i="16"/>
  <c r="R600" i="16"/>
  <c r="T600" i="16"/>
  <c r="L601" i="16"/>
  <c r="C601" i="16"/>
  <c r="K601" i="16" s="1"/>
  <c r="E601" i="16"/>
  <c r="F601" i="16"/>
  <c r="O601" i="16" s="1"/>
  <c r="G601" i="16"/>
  <c r="I601" i="16"/>
  <c r="B602" i="16"/>
  <c r="U545" i="16"/>
  <c r="S545" i="16"/>
  <c r="J546" i="16"/>
  <c r="D546" i="16"/>
  <c r="P546" i="16"/>
  <c r="Q546" i="16"/>
  <c r="R546" i="16"/>
  <c r="T546" i="16"/>
  <c r="L547" i="16"/>
  <c r="G547" i="16"/>
  <c r="I547" i="16"/>
  <c r="C547" i="16"/>
  <c r="E547" i="16"/>
  <c r="B548" i="16"/>
  <c r="M492" i="16"/>
  <c r="D492" i="16"/>
  <c r="J492" i="16"/>
  <c r="N492" i="16" s="1"/>
  <c r="P492" i="16"/>
  <c r="Q492" i="16"/>
  <c r="R492" i="16"/>
  <c r="T492" i="16"/>
  <c r="L493" i="16"/>
  <c r="C493" i="16"/>
  <c r="K493" i="16" s="1"/>
  <c r="E493" i="16"/>
  <c r="F493" i="16"/>
  <c r="O493" i="16" s="1"/>
  <c r="G493" i="16"/>
  <c r="I493" i="16"/>
  <c r="B494" i="16"/>
  <c r="M438" i="16"/>
  <c r="D438" i="16"/>
  <c r="J438" i="16"/>
  <c r="N438" i="16" s="1"/>
  <c r="P438" i="16"/>
  <c r="Q438" i="16"/>
  <c r="R438" i="16"/>
  <c r="T438" i="16"/>
  <c r="L439" i="16"/>
  <c r="C439" i="16"/>
  <c r="K439" i="16" s="1"/>
  <c r="E439" i="16"/>
  <c r="F439" i="16"/>
  <c r="O439" i="16" s="1"/>
  <c r="G439" i="16"/>
  <c r="I439" i="16"/>
  <c r="B440" i="16"/>
  <c r="U383" i="16"/>
  <c r="S383" i="16"/>
  <c r="M384" i="16"/>
  <c r="D384" i="16"/>
  <c r="J384" i="16"/>
  <c r="N384" i="16" s="1"/>
  <c r="P384" i="16"/>
  <c r="Q384" i="16"/>
  <c r="R384" i="16"/>
  <c r="T384" i="16"/>
  <c r="L385" i="16"/>
  <c r="C385" i="16"/>
  <c r="K385" i="16" s="1"/>
  <c r="E385" i="16"/>
  <c r="F385" i="16"/>
  <c r="O385" i="16" s="1"/>
  <c r="G385" i="16"/>
  <c r="I385" i="16"/>
  <c r="B386" i="16"/>
  <c r="S329" i="16"/>
  <c r="U329" i="16"/>
  <c r="D330" i="16"/>
  <c r="J330" i="16"/>
  <c r="P330" i="16"/>
  <c r="Q330" i="16"/>
  <c r="R330" i="16"/>
  <c r="T330" i="16"/>
  <c r="L331" i="16"/>
  <c r="C331" i="16"/>
  <c r="K331" i="16" s="1"/>
  <c r="E331" i="16"/>
  <c r="F331" i="16"/>
  <c r="O331" i="16" s="1"/>
  <c r="G331" i="16"/>
  <c r="I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J222" i="16"/>
  <c r="D222" i="16"/>
  <c r="P222" i="16"/>
  <c r="Q222" i="16"/>
  <c r="R222" i="16"/>
  <c r="T222" i="16"/>
  <c r="L223" i="16"/>
  <c r="E223" i="16"/>
  <c r="C223" i="16"/>
  <c r="K223" i="16" s="1"/>
  <c r="F223" i="16"/>
  <c r="O223" i="16" s="1"/>
  <c r="G223" i="16"/>
  <c r="I223" i="16"/>
  <c r="B224" i="16"/>
  <c r="M168" i="16"/>
  <c r="L169" i="16"/>
  <c r="G169" i="16"/>
  <c r="I169" i="16"/>
  <c r="B170" i="16"/>
  <c r="C169" i="16"/>
  <c r="E169" i="16"/>
  <c r="J168" i="16"/>
  <c r="N168" i="16" s="1"/>
  <c r="D168" i="16"/>
  <c r="P168" i="16"/>
  <c r="Q168" i="16"/>
  <c r="R168" i="16"/>
  <c r="T168" i="16"/>
  <c r="L115" i="16"/>
  <c r="C115" i="16"/>
  <c r="K115" i="16" s="1"/>
  <c r="E115" i="16"/>
  <c r="F115" i="16"/>
  <c r="O115" i="16" s="1"/>
  <c r="I115" i="16"/>
  <c r="B116" i="16"/>
  <c r="G115" i="16"/>
  <c r="D114" i="16"/>
  <c r="J114" i="16"/>
  <c r="P114" i="16"/>
  <c r="Q114" i="16"/>
  <c r="R114" i="16"/>
  <c r="T114" i="16"/>
  <c r="C85" i="7"/>
  <c r="G85" i="7" s="1"/>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L53" i="4"/>
  <c r="C53" i="4"/>
  <c r="K53" i="4" s="1"/>
  <c r="E53" i="4"/>
  <c r="F53" i="4"/>
  <c r="C53" i="5" s="1"/>
  <c r="E53" i="5" s="1"/>
  <c r="G53" i="4"/>
  <c r="I53" i="4"/>
  <c r="B54" i="4"/>
  <c r="B53" i="5"/>
  <c r="U4246" i="16"/>
  <c r="S4246" i="16"/>
  <c r="U3784" i="16"/>
  <c r="S3784" i="16"/>
  <c r="S3676" i="16"/>
  <c r="U3676" i="16"/>
  <c r="S3460" i="16"/>
  <c r="U3460" i="16"/>
  <c r="U3406" i="16"/>
  <c r="S3406" i="16"/>
  <c r="S3244" i="16"/>
  <c r="U3244" i="16"/>
  <c r="U3190" i="16"/>
  <c r="S3190" i="16"/>
  <c r="U3136" i="16"/>
  <c r="S3136" i="16"/>
  <c r="U3028" i="16"/>
  <c r="S3028" i="16"/>
  <c r="U2704" i="16"/>
  <c r="S2704" i="16"/>
  <c r="U2650" i="16"/>
  <c r="S2650" i="16"/>
  <c r="U2596" i="16"/>
  <c r="S2596" i="16"/>
  <c r="U2326" i="16"/>
  <c r="S2326" i="16"/>
  <c r="U2056" i="16"/>
  <c r="S2056" i="16"/>
  <c r="U1840" i="16"/>
  <c r="S1840" i="16"/>
  <c r="U1786" i="16"/>
  <c r="S1786" i="16"/>
  <c r="U1516" i="16"/>
  <c r="S1516" i="16"/>
  <c r="U1354" i="16"/>
  <c r="S1354" i="16"/>
  <c r="U976" i="16"/>
  <c r="S976" i="16"/>
  <c r="U706" i="16"/>
  <c r="S706" i="16"/>
  <c r="U436" i="16"/>
  <c r="S436" i="16"/>
  <c r="U166" i="16"/>
  <c r="S166" i="16"/>
  <c r="S112" i="16"/>
  <c r="U112" i="16"/>
  <c r="M4247" i="16"/>
  <c r="N4247" i="16"/>
  <c r="N3677" i="16"/>
  <c r="M3677" i="16"/>
  <c r="M3245" i="16"/>
  <c r="N3245" i="16"/>
  <c r="M2975" i="16"/>
  <c r="N2975" i="16"/>
  <c r="N2813" i="16"/>
  <c r="S2813" i="16" s="1"/>
  <c r="M2813" i="16"/>
  <c r="M2705" i="16"/>
  <c r="N2705" i="16"/>
  <c r="M2651" i="16"/>
  <c r="N2651" i="16"/>
  <c r="M2597" i="16"/>
  <c r="N2597" i="16"/>
  <c r="M2381" i="16"/>
  <c r="N2381" i="16"/>
  <c r="N2111" i="16"/>
  <c r="M2111" i="16"/>
  <c r="M1625" i="16"/>
  <c r="N1625" i="16"/>
  <c r="M1301" i="16"/>
  <c r="N1301" i="16"/>
  <c r="M923" i="16"/>
  <c r="N923" i="16"/>
  <c r="M653" i="16"/>
  <c r="N653" i="16"/>
  <c r="M491" i="16"/>
  <c r="N491" i="16"/>
  <c r="M437" i="16"/>
  <c r="N437" i="16"/>
  <c r="N167" i="16"/>
  <c r="M167" i="16"/>
  <c r="N113" i="16"/>
  <c r="M113" i="16"/>
  <c r="M51" i="4"/>
  <c r="N51" i="4"/>
  <c r="O51" i="4"/>
  <c r="E86" i="7"/>
  <c r="F4548" i="16"/>
  <c r="K4548" i="16"/>
  <c r="F3786" i="16"/>
  <c r="O3786" i="16" s="1"/>
  <c r="K3786" i="16"/>
  <c r="K3732" i="16"/>
  <c r="F3732" i="16"/>
  <c r="O3732" i="16" s="1"/>
  <c r="F3678" i="16"/>
  <c r="O3678" i="16" s="1"/>
  <c r="K3678" i="16"/>
  <c r="F3462" i="16"/>
  <c r="O3462" i="16" s="1"/>
  <c r="K3462" i="16"/>
  <c r="F3408" i="16"/>
  <c r="O3408" i="16" s="1"/>
  <c r="K3408" i="16"/>
  <c r="F3138" i="16"/>
  <c r="O3138" i="16" s="1"/>
  <c r="K3138" i="16"/>
  <c r="F2922" i="16"/>
  <c r="O2922" i="16" s="1"/>
  <c r="K2922" i="16"/>
  <c r="K2706" i="16"/>
  <c r="F2706" i="16"/>
  <c r="O2706" i="16" s="1"/>
  <c r="K2382" i="16"/>
  <c r="F2382" i="16"/>
  <c r="O2382" i="16" s="1"/>
  <c r="F2328" i="16"/>
  <c r="O2328" i="16" s="1"/>
  <c r="K2328" i="16"/>
  <c r="K2112" i="16"/>
  <c r="F2112" i="16"/>
  <c r="O2112" i="16" s="1"/>
  <c r="F1788" i="16"/>
  <c r="O1788" i="16" s="1"/>
  <c r="K1788" i="16"/>
  <c r="F1572" i="16"/>
  <c r="O1572" i="16" s="1"/>
  <c r="K1572" i="16"/>
  <c r="K1356" i="16"/>
  <c r="F1356" i="16"/>
  <c r="O1356" i="16" s="1"/>
  <c r="F546" i="16"/>
  <c r="O546" i="16" s="1"/>
  <c r="K546" i="16"/>
  <c r="K330" i="16"/>
  <c r="F330" i="16"/>
  <c r="O330" i="16" s="1"/>
  <c r="K222" i="16"/>
  <c r="F222" i="16"/>
  <c r="O222" i="16" s="1"/>
  <c r="F114" i="16"/>
  <c r="O114" i="16" s="1"/>
  <c r="K114" i="16"/>
  <c r="K2059" i="16" l="1"/>
  <c r="F2059" i="16"/>
  <c r="O2059" i="16" s="1"/>
  <c r="K1681" i="16"/>
  <c r="F1681" i="16"/>
  <c r="O1681" i="16" s="1"/>
  <c r="K871" i="16"/>
  <c r="F871" i="16"/>
  <c r="O871" i="16" s="1"/>
  <c r="S4710" i="16"/>
  <c r="U4710" i="16"/>
  <c r="M4711" i="16"/>
  <c r="D4711" i="16"/>
  <c r="J4711" i="16"/>
  <c r="N4711" i="16" s="1"/>
  <c r="P4711" i="16"/>
  <c r="Q4711" i="16"/>
  <c r="R4711" i="16"/>
  <c r="L4712" i="16"/>
  <c r="C4712" i="16"/>
  <c r="E4712" i="16"/>
  <c r="G4712" i="16"/>
  <c r="I4712" i="16"/>
  <c r="B4713" i="16"/>
  <c r="P4657" i="16"/>
  <c r="Q4657" i="16"/>
  <c r="R4657" i="16"/>
  <c r="C4658" i="16"/>
  <c r="E4658" i="16"/>
  <c r="G4658" i="16"/>
  <c r="B4659" i="16"/>
  <c r="D4603" i="16"/>
  <c r="J4603" i="16"/>
  <c r="P4603" i="16"/>
  <c r="Q4603" i="16"/>
  <c r="R4603" i="16"/>
  <c r="L4604" i="16"/>
  <c r="C4604" i="16"/>
  <c r="E4604" i="16"/>
  <c r="G4604" i="16"/>
  <c r="I4604" i="16"/>
  <c r="B4605" i="16"/>
  <c r="J4549" i="16"/>
  <c r="D4549" i="16"/>
  <c r="P4549" i="16"/>
  <c r="Q4549" i="16"/>
  <c r="R4549" i="16"/>
  <c r="I4550" i="16"/>
  <c r="B4551" i="16"/>
  <c r="C4550" i="16"/>
  <c r="K4550" i="16" s="1"/>
  <c r="E4550" i="16"/>
  <c r="F4550" i="16"/>
  <c r="G4550" i="16"/>
  <c r="L4550" i="16"/>
  <c r="U4248" i="16"/>
  <c r="S4248" i="16"/>
  <c r="M4249" i="16"/>
  <c r="D4249" i="16"/>
  <c r="J4249" i="16"/>
  <c r="N4249" i="16" s="1"/>
  <c r="P4249" i="16"/>
  <c r="Q4249" i="16"/>
  <c r="R4249" i="16"/>
  <c r="T4249" i="16"/>
  <c r="L4250" i="16"/>
  <c r="C4250" i="16"/>
  <c r="E4250" i="16"/>
  <c r="G4250" i="16"/>
  <c r="I4250" i="16"/>
  <c r="B4251" i="16"/>
  <c r="U4194" i="16"/>
  <c r="S4194" i="16"/>
  <c r="D4195" i="16"/>
  <c r="J4195" i="16"/>
  <c r="N4195" i="16" s="1"/>
  <c r="P4195" i="16"/>
  <c r="Q4195" i="16"/>
  <c r="R4195" i="16"/>
  <c r="T4195" i="16"/>
  <c r="M4195" i="16"/>
  <c r="C4196" i="16"/>
  <c r="F4196" i="16" s="1"/>
  <c r="O4196" i="16" s="1"/>
  <c r="E4196" i="16"/>
  <c r="G4196" i="16"/>
  <c r="I4196" i="16"/>
  <c r="K4196" i="16"/>
  <c r="L4196" i="16"/>
  <c r="B4197" i="16"/>
  <c r="U4140" i="16"/>
  <c r="S4140" i="16"/>
  <c r="P4141" i="16"/>
  <c r="Q4141" i="16"/>
  <c r="R4141" i="16"/>
  <c r="T4141" i="16"/>
  <c r="C4142" i="16"/>
  <c r="F4142" i="16" s="1"/>
  <c r="O4142" i="16" s="1"/>
  <c r="E4142" i="16"/>
  <c r="G4142" i="16"/>
  <c r="K4142" i="16"/>
  <c r="I4142" i="16"/>
  <c r="L4142" i="16"/>
  <c r="B4143" i="16"/>
  <c r="D4141" i="16"/>
  <c r="J4141" i="16"/>
  <c r="U4086" i="16"/>
  <c r="S4086" i="16"/>
  <c r="M4087" i="16"/>
  <c r="D4087" i="16"/>
  <c r="J4087" i="16"/>
  <c r="N4087" i="16" s="1"/>
  <c r="P4087" i="16"/>
  <c r="Q4087" i="16"/>
  <c r="R4087" i="16"/>
  <c r="T4087" i="16"/>
  <c r="L4088" i="16"/>
  <c r="C4088" i="16"/>
  <c r="E4088" i="16"/>
  <c r="G4088" i="16"/>
  <c r="I4088" i="16"/>
  <c r="B4089" i="16"/>
  <c r="M3787" i="16"/>
  <c r="D3787" i="16"/>
  <c r="J3787" i="16"/>
  <c r="N3787" i="16" s="1"/>
  <c r="P3787" i="16"/>
  <c r="Q3787" i="16"/>
  <c r="R3787" i="16"/>
  <c r="T3787" i="16"/>
  <c r="L3788" i="16"/>
  <c r="C3788" i="16"/>
  <c r="E3788" i="16"/>
  <c r="G3788" i="16"/>
  <c r="I3788" i="16"/>
  <c r="B3789" i="16"/>
  <c r="M3733" i="16"/>
  <c r="D3733" i="16"/>
  <c r="J3733" i="16"/>
  <c r="N3733" i="16" s="1"/>
  <c r="P3733" i="16"/>
  <c r="Q3733" i="16"/>
  <c r="R3733" i="16"/>
  <c r="T3733" i="16"/>
  <c r="L3734" i="16"/>
  <c r="C3734" i="16"/>
  <c r="E3734" i="16"/>
  <c r="G3734" i="16"/>
  <c r="I3734" i="16"/>
  <c r="B3735" i="16"/>
  <c r="M3679" i="16"/>
  <c r="P3679" i="16"/>
  <c r="Q3679" i="16"/>
  <c r="R3679" i="16"/>
  <c r="T3679" i="16"/>
  <c r="D3679" i="16"/>
  <c r="J3679" i="16"/>
  <c r="N3679" i="16" s="1"/>
  <c r="L3680" i="16"/>
  <c r="G3680" i="16"/>
  <c r="I3680" i="16"/>
  <c r="C3680" i="16"/>
  <c r="K3680" i="16" s="1"/>
  <c r="E3680" i="16"/>
  <c r="F3680" i="16"/>
  <c r="O3680" i="16" s="1"/>
  <c r="B3681" i="16"/>
  <c r="U3624" i="16"/>
  <c r="S3624" i="16"/>
  <c r="M3625" i="16"/>
  <c r="D3625" i="16"/>
  <c r="J3625" i="16"/>
  <c r="N3625" i="16" s="1"/>
  <c r="P3625" i="16"/>
  <c r="Q3625" i="16"/>
  <c r="R3625" i="16"/>
  <c r="T3625" i="16"/>
  <c r="L3626" i="16"/>
  <c r="C3626" i="16"/>
  <c r="E3626" i="16"/>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D3517" i="16"/>
  <c r="J3517" i="16"/>
  <c r="P3517" i="16"/>
  <c r="Q3517" i="16"/>
  <c r="R3517" i="16"/>
  <c r="T3517" i="16"/>
  <c r="L3518" i="16"/>
  <c r="C3518" i="16"/>
  <c r="E3518" i="16"/>
  <c r="G3518" i="16"/>
  <c r="I3518" i="16"/>
  <c r="B3519" i="16"/>
  <c r="M3463" i="16"/>
  <c r="D3463" i="16"/>
  <c r="J3463" i="16"/>
  <c r="N3463" i="16" s="1"/>
  <c r="P3463" i="16"/>
  <c r="Q3463" i="16"/>
  <c r="R3463" i="16"/>
  <c r="T3463" i="16"/>
  <c r="L3464" i="16"/>
  <c r="C3464" i="16"/>
  <c r="E3464" i="16"/>
  <c r="G3464" i="16"/>
  <c r="B3465" i="16"/>
  <c r="I3464" i="16"/>
  <c r="M3409" i="16"/>
  <c r="D3409" i="16"/>
  <c r="J3409" i="16"/>
  <c r="N3409" i="16" s="1"/>
  <c r="P3409" i="16"/>
  <c r="Q3409" i="16"/>
  <c r="R3409" i="16"/>
  <c r="T3409" i="16"/>
  <c r="L3410" i="16"/>
  <c r="C3410" i="16"/>
  <c r="E3410" i="16"/>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D3301" i="16"/>
  <c r="J3301" i="16"/>
  <c r="P3301" i="16"/>
  <c r="Q3301" i="16"/>
  <c r="R3301" i="16"/>
  <c r="T3301" i="16"/>
  <c r="L3302" i="16"/>
  <c r="C3302" i="16"/>
  <c r="K3302" i="16" s="1"/>
  <c r="E3302" i="16"/>
  <c r="F3302" i="16"/>
  <c r="O3302" i="16" s="1"/>
  <c r="G3302" i="16"/>
  <c r="I3302" i="16"/>
  <c r="B3303" i="16"/>
  <c r="S3246" i="16"/>
  <c r="U3246" i="16"/>
  <c r="M3247" i="16"/>
  <c r="D3247" i="16"/>
  <c r="J3247" i="16"/>
  <c r="N3247" i="16" s="1"/>
  <c r="P3247" i="16"/>
  <c r="Q3247" i="16"/>
  <c r="R3247" i="16"/>
  <c r="T3247" i="16"/>
  <c r="L3248" i="16"/>
  <c r="C3248" i="16"/>
  <c r="K3248" i="16" s="1"/>
  <c r="E3248" i="16"/>
  <c r="F3248" i="16"/>
  <c r="O3248" i="16" s="1"/>
  <c r="G3248" i="16"/>
  <c r="I3248" i="16"/>
  <c r="B3249" i="16"/>
  <c r="U3192" i="16"/>
  <c r="S3192" i="16"/>
  <c r="M3193" i="16"/>
  <c r="D3193" i="16"/>
  <c r="J3193" i="16"/>
  <c r="N3193" i="16" s="1"/>
  <c r="P3193" i="16"/>
  <c r="Q3193" i="16"/>
  <c r="R3193" i="16"/>
  <c r="T3193" i="16"/>
  <c r="L3194" i="16"/>
  <c r="C3194" i="16"/>
  <c r="K3194" i="16" s="1"/>
  <c r="E3194" i="16"/>
  <c r="F3194" i="16"/>
  <c r="O3194" i="16" s="1"/>
  <c r="G3194" i="16"/>
  <c r="I3194" i="16"/>
  <c r="B3195" i="16"/>
  <c r="M3139" i="16"/>
  <c r="D3139" i="16"/>
  <c r="J3139" i="16"/>
  <c r="N3139" i="16" s="1"/>
  <c r="P3139" i="16"/>
  <c r="Q3139" i="16"/>
  <c r="R3139" i="16"/>
  <c r="T3139" i="16"/>
  <c r="L3140" i="16"/>
  <c r="C3140" i="16"/>
  <c r="E3140" i="16"/>
  <c r="G3140" i="16"/>
  <c r="I3140" i="16"/>
  <c r="B3141" i="16"/>
  <c r="U3084" i="16"/>
  <c r="S3084" i="16"/>
  <c r="M3085" i="16"/>
  <c r="J3085" i="16"/>
  <c r="N3085" i="16" s="1"/>
  <c r="D3085" i="16"/>
  <c r="P3085" i="16"/>
  <c r="Q3085" i="16"/>
  <c r="R3085" i="16"/>
  <c r="T3085" i="16"/>
  <c r="L3086" i="16"/>
  <c r="E3086" i="16"/>
  <c r="G3086" i="16"/>
  <c r="C3086" i="16"/>
  <c r="I3086" i="16"/>
  <c r="B3087" i="16"/>
  <c r="U3030" i="16"/>
  <c r="S3030" i="16"/>
  <c r="D3031" i="16"/>
  <c r="J3031" i="16"/>
  <c r="L3032" i="16"/>
  <c r="E3032" i="16"/>
  <c r="G3032" i="16"/>
  <c r="C3032" i="16"/>
  <c r="I3032" i="16"/>
  <c r="B3033" i="16"/>
  <c r="P3031" i="16"/>
  <c r="Q3031" i="16"/>
  <c r="R3031" i="16"/>
  <c r="T3031" i="16"/>
  <c r="U2976" i="16"/>
  <c r="S2976" i="16"/>
  <c r="M2977" i="16"/>
  <c r="D2977" i="16"/>
  <c r="J2977" i="16"/>
  <c r="N2977" i="16" s="1"/>
  <c r="P2977" i="16"/>
  <c r="Q2977" i="16"/>
  <c r="R2977" i="16"/>
  <c r="T2977" i="16"/>
  <c r="L2978" i="16"/>
  <c r="C2978" i="16"/>
  <c r="K2978" i="16" s="1"/>
  <c r="E2978" i="16"/>
  <c r="F2978" i="16"/>
  <c r="O2978" i="16" s="1"/>
  <c r="G2978" i="16"/>
  <c r="I2978" i="16"/>
  <c r="B2979" i="16"/>
  <c r="M2923" i="16"/>
  <c r="D2923" i="16"/>
  <c r="J2923" i="16"/>
  <c r="N2923" i="16" s="1"/>
  <c r="P2923" i="16"/>
  <c r="Q2923" i="16"/>
  <c r="R2923" i="16"/>
  <c r="T2923" i="16"/>
  <c r="L2924" i="16"/>
  <c r="C2924" i="16"/>
  <c r="K2924" i="16" s="1"/>
  <c r="E2924" i="16"/>
  <c r="F2924" i="16"/>
  <c r="O2924" i="16" s="1"/>
  <c r="G2924" i="16"/>
  <c r="I2924" i="16"/>
  <c r="B2925" i="16"/>
  <c r="U2868" i="16"/>
  <c r="S2868" i="16"/>
  <c r="M2869" i="16"/>
  <c r="D2869" i="16"/>
  <c r="J2869" i="16"/>
  <c r="N2869" i="16" s="1"/>
  <c r="P2869" i="16"/>
  <c r="Q2869" i="16"/>
  <c r="R2869" i="16"/>
  <c r="T2869" i="16"/>
  <c r="L2870" i="16"/>
  <c r="C2870" i="16"/>
  <c r="K2870" i="16" s="1"/>
  <c r="E2870" i="16"/>
  <c r="F2870" i="16"/>
  <c r="O2870" i="16" s="1"/>
  <c r="G2870" i="16"/>
  <c r="I2870" i="16"/>
  <c r="B2871" i="16"/>
  <c r="L2816" i="16"/>
  <c r="E2816" i="16"/>
  <c r="B2817" i="16"/>
  <c r="C2816" i="16"/>
  <c r="G2816" i="16"/>
  <c r="I2816" i="16"/>
  <c r="P2815" i="16"/>
  <c r="Q2815" i="16"/>
  <c r="R2815" i="16"/>
  <c r="T2815" i="16"/>
  <c r="U2815" i="16" s="1"/>
  <c r="J2815" i="16"/>
  <c r="D2815" i="16"/>
  <c r="U2760" i="16"/>
  <c r="S2760" i="16"/>
  <c r="D2761" i="16"/>
  <c r="J2761" i="16"/>
  <c r="P2761" i="16"/>
  <c r="Q2761" i="16"/>
  <c r="R2761" i="16"/>
  <c r="T2761" i="16"/>
  <c r="L2762" i="16"/>
  <c r="C2762" i="16"/>
  <c r="K2762" i="16" s="1"/>
  <c r="E2762" i="16"/>
  <c r="F2762" i="16"/>
  <c r="O2762" i="16" s="1"/>
  <c r="G2762" i="16"/>
  <c r="I2762" i="16"/>
  <c r="B2763" i="16"/>
  <c r="J2707" i="16"/>
  <c r="D2707" i="16"/>
  <c r="P2707" i="16"/>
  <c r="Q2707" i="16"/>
  <c r="R2707" i="16"/>
  <c r="T2707" i="16"/>
  <c r="L2708" i="16"/>
  <c r="B2709" i="16"/>
  <c r="I2708" i="16"/>
  <c r="C2708" i="16"/>
  <c r="E2708" i="16"/>
  <c r="G2708" i="16"/>
  <c r="U2652" i="16"/>
  <c r="S2652" i="16"/>
  <c r="M2653" i="16"/>
  <c r="L2654" i="16"/>
  <c r="G2654" i="16"/>
  <c r="E2654" i="16"/>
  <c r="B2655" i="16"/>
  <c r="C2654" i="16"/>
  <c r="I2654" i="16"/>
  <c r="D2653" i="16"/>
  <c r="J2653" i="16"/>
  <c r="N2653" i="16" s="1"/>
  <c r="P2653" i="16"/>
  <c r="Q2653" i="16"/>
  <c r="R2653" i="16"/>
  <c r="T2653" i="16"/>
  <c r="U2598" i="16"/>
  <c r="S2598" i="16"/>
  <c r="M2599" i="16"/>
  <c r="D2599" i="16"/>
  <c r="J2599" i="16"/>
  <c r="N2599" i="16" s="1"/>
  <c r="Q2599" i="16"/>
  <c r="P2599" i="16"/>
  <c r="R2599" i="16"/>
  <c r="T2599" i="16"/>
  <c r="L2600" i="16"/>
  <c r="C2600" i="16"/>
  <c r="B2601" i="16"/>
  <c r="E2600" i="16"/>
  <c r="I2600" i="16"/>
  <c r="G2600" i="16"/>
  <c r="U2544" i="16"/>
  <c r="S2544" i="16"/>
  <c r="L2546" i="16"/>
  <c r="E2546" i="16"/>
  <c r="I2546" i="16"/>
  <c r="C2546" i="16"/>
  <c r="G2546" i="16"/>
  <c r="B2547" i="16"/>
  <c r="D2545" i="16"/>
  <c r="J2545" i="16"/>
  <c r="P2545" i="16"/>
  <c r="Q2545" i="16"/>
  <c r="R2545" i="16"/>
  <c r="T2545" i="16"/>
  <c r="U2490" i="16"/>
  <c r="S2490" i="16"/>
  <c r="D2491" i="16"/>
  <c r="J2491" i="16"/>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M2383" i="16"/>
  <c r="D2383" i="16"/>
  <c r="J2383" i="16"/>
  <c r="N2383" i="16" s="1"/>
  <c r="P2383" i="16"/>
  <c r="Q2383" i="16"/>
  <c r="R2383" i="16"/>
  <c r="T2383" i="16"/>
  <c r="L2384" i="16"/>
  <c r="C2384" i="16"/>
  <c r="E2384" i="16"/>
  <c r="G2384" i="16"/>
  <c r="I2384" i="16"/>
  <c r="B2385" i="16"/>
  <c r="D2329" i="16"/>
  <c r="J2329" i="16"/>
  <c r="L2330" i="16"/>
  <c r="G2330" i="16"/>
  <c r="I2330" i="16"/>
  <c r="E2330" i="16"/>
  <c r="C2330" i="16"/>
  <c r="K2330" i="16" s="1"/>
  <c r="B2331" i="16"/>
  <c r="F2330" i="16"/>
  <c r="O2330" i="16" s="1"/>
  <c r="Q2329" i="16"/>
  <c r="P2329" i="16"/>
  <c r="R2329" i="16"/>
  <c r="T2329" i="16"/>
  <c r="U2274" i="16"/>
  <c r="S2274" i="16"/>
  <c r="D2275" i="16"/>
  <c r="J2275" i="16"/>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K2222" i="16" s="1"/>
  <c r="E2222" i="16"/>
  <c r="F2222" i="16"/>
  <c r="O2222" i="16" s="1"/>
  <c r="G2222" i="16"/>
  <c r="I2222" i="16"/>
  <c r="B2223" i="16"/>
  <c r="U2166" i="16"/>
  <c r="S2166" i="16"/>
  <c r="M2167" i="16"/>
  <c r="D2167" i="16"/>
  <c r="J2167" i="16"/>
  <c r="N2167" i="16" s="1"/>
  <c r="P2167" i="16"/>
  <c r="Q2167" i="16"/>
  <c r="R2167" i="16"/>
  <c r="T2167" i="16"/>
  <c r="L2168" i="16"/>
  <c r="C2168" i="16"/>
  <c r="E2168" i="16"/>
  <c r="G2168" i="16"/>
  <c r="I2168" i="16"/>
  <c r="B2169" i="16"/>
  <c r="J2113" i="16"/>
  <c r="D2113" i="16"/>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K2006" i="16" s="1"/>
  <c r="E2006" i="16"/>
  <c r="F2006" i="16"/>
  <c r="O2006" i="16" s="1"/>
  <c r="G2006" i="16"/>
  <c r="I2006" i="16"/>
  <c r="B2007" i="16"/>
  <c r="U1950" i="16"/>
  <c r="S1950" i="16"/>
  <c r="M1951" i="16"/>
  <c r="D1951" i="16"/>
  <c r="J1951" i="16"/>
  <c r="N1951" i="16" s="1"/>
  <c r="P1951" i="16"/>
  <c r="Q1951" i="16"/>
  <c r="R1951" i="16"/>
  <c r="T1951" i="16"/>
  <c r="L1952" i="16"/>
  <c r="C1952" i="16"/>
  <c r="E1952" i="16"/>
  <c r="G1952" i="16"/>
  <c r="I1952" i="16"/>
  <c r="B1953" i="16"/>
  <c r="S1896" i="16"/>
  <c r="U1896" i="16"/>
  <c r="M1897" i="16"/>
  <c r="D1897" i="16"/>
  <c r="J1897" i="16"/>
  <c r="N1897" i="16" s="1"/>
  <c r="P1897" i="16"/>
  <c r="Q1897" i="16"/>
  <c r="R1897" i="16"/>
  <c r="T1897" i="16"/>
  <c r="L1898" i="16"/>
  <c r="C1898" i="16"/>
  <c r="E1898" i="16"/>
  <c r="G1898" i="16"/>
  <c r="I1898" i="16"/>
  <c r="B1899" i="16"/>
  <c r="U1842" i="16"/>
  <c r="S1842" i="16"/>
  <c r="M1843" i="16"/>
  <c r="D1843" i="16"/>
  <c r="J1843" i="16"/>
  <c r="N1843" i="16" s="1"/>
  <c r="P1843" i="16"/>
  <c r="Q1843" i="16"/>
  <c r="R1843" i="16"/>
  <c r="T1843" i="16"/>
  <c r="L1844" i="16"/>
  <c r="C1844" i="16"/>
  <c r="K1844" i="16" s="1"/>
  <c r="E1844" i="16"/>
  <c r="F1844" i="16"/>
  <c r="O1844" i="16" s="1"/>
  <c r="G1844" i="16"/>
  <c r="I1844" i="16"/>
  <c r="B1845" i="16"/>
  <c r="D1789" i="16"/>
  <c r="J1789" i="16"/>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E1736" i="16"/>
  <c r="G1736" i="16"/>
  <c r="I1736" i="16"/>
  <c r="B1737" i="16"/>
  <c r="S1680" i="16"/>
  <c r="U1680" i="16"/>
  <c r="M1681" i="16"/>
  <c r="D1681" i="16"/>
  <c r="J1681" i="16"/>
  <c r="N1681" i="16" s="1"/>
  <c r="P1681" i="16"/>
  <c r="Q1681" i="16"/>
  <c r="R1681" i="16"/>
  <c r="T1681" i="16"/>
  <c r="L1682" i="16"/>
  <c r="C1682" i="16"/>
  <c r="E1682" i="16"/>
  <c r="G1682" i="16"/>
  <c r="I1682" i="16"/>
  <c r="B1683" i="16"/>
  <c r="U1626" i="16"/>
  <c r="S1626" i="16"/>
  <c r="M1627" i="16"/>
  <c r="D1627" i="16"/>
  <c r="J1627" i="16"/>
  <c r="N1627" i="16" s="1"/>
  <c r="P1627" i="16"/>
  <c r="Q1627" i="16"/>
  <c r="R1627" i="16"/>
  <c r="T1627" i="16"/>
  <c r="L1628" i="16"/>
  <c r="C1628" i="16"/>
  <c r="E1628" i="16"/>
  <c r="G1628" i="16"/>
  <c r="I1628" i="16"/>
  <c r="B1629" i="16"/>
  <c r="D1573" i="16"/>
  <c r="J1573" i="16"/>
  <c r="P1573" i="16"/>
  <c r="Q1573" i="16"/>
  <c r="R1573" i="16"/>
  <c r="T1573" i="16"/>
  <c r="L1574" i="16"/>
  <c r="C1574" i="16"/>
  <c r="E1574" i="16"/>
  <c r="G1574" i="16"/>
  <c r="I1574" i="16"/>
  <c r="B1575" i="16"/>
  <c r="U1518" i="16"/>
  <c r="S1518" i="16"/>
  <c r="D1519" i="16"/>
  <c r="J1519" i="16"/>
  <c r="P1519" i="16"/>
  <c r="Q1519" i="16"/>
  <c r="R1519" i="16"/>
  <c r="T1519" i="16"/>
  <c r="L1520" i="16"/>
  <c r="C1520" i="16"/>
  <c r="K1520" i="16" s="1"/>
  <c r="E1520" i="16"/>
  <c r="F1520" i="16"/>
  <c r="O1520" i="16" s="1"/>
  <c r="G1520" i="16"/>
  <c r="I1520" i="16"/>
  <c r="B1521" i="16"/>
  <c r="S1464" i="16"/>
  <c r="U1464" i="16"/>
  <c r="L1466" i="16"/>
  <c r="C1466" i="16"/>
  <c r="K1466" i="16" s="1"/>
  <c r="F1466" i="16"/>
  <c r="O1466" i="16" s="1"/>
  <c r="G1466" i="16"/>
  <c r="I1466" i="16"/>
  <c r="B1467" i="16"/>
  <c r="E1466" i="16"/>
  <c r="J1465" i="16"/>
  <c r="D1465" i="16"/>
  <c r="P1465" i="16"/>
  <c r="Q1465" i="16"/>
  <c r="R1465" i="16"/>
  <c r="T1465" i="16"/>
  <c r="U1410" i="16"/>
  <c r="S1410" i="16"/>
  <c r="M1411" i="16"/>
  <c r="L1412" i="16"/>
  <c r="E1412" i="16"/>
  <c r="C1412" i="16"/>
  <c r="K1412" i="16" s="1"/>
  <c r="G1412" i="16"/>
  <c r="B1413" i="16"/>
  <c r="F1412" i="16"/>
  <c r="O1412" i="16" s="1"/>
  <c r="I1412" i="16"/>
  <c r="J1411" i="16"/>
  <c r="N1411" i="16" s="1"/>
  <c r="D1411" i="16"/>
  <c r="P1411" i="16"/>
  <c r="Q1411" i="16"/>
  <c r="R1411" i="16"/>
  <c r="T1411" i="16"/>
  <c r="M1357" i="16"/>
  <c r="J1357" i="16"/>
  <c r="N1357" i="16" s="1"/>
  <c r="D1357" i="16"/>
  <c r="L1358" i="16"/>
  <c r="G1358" i="16"/>
  <c r="C1358" i="16"/>
  <c r="I1358" i="16"/>
  <c r="B1359" i="16"/>
  <c r="E1358" i="16"/>
  <c r="P1357" i="16"/>
  <c r="Q1357" i="16"/>
  <c r="R1357" i="16"/>
  <c r="T1357" i="16"/>
  <c r="U1302" i="16"/>
  <c r="S1302" i="16"/>
  <c r="P1303" i="16"/>
  <c r="Q1303" i="16"/>
  <c r="R1303" i="16"/>
  <c r="T1303" i="16"/>
  <c r="J1303" i="16"/>
  <c r="D1303" i="16"/>
  <c r="L1304" i="16"/>
  <c r="G1304" i="16"/>
  <c r="I1304" i="16"/>
  <c r="C1304" i="16"/>
  <c r="K1304" i="16" s="1"/>
  <c r="E1304" i="16"/>
  <c r="B1305" i="16"/>
  <c r="F1304" i="16"/>
  <c r="O1304" i="16" s="1"/>
  <c r="P1249" i="16"/>
  <c r="Q1249" i="16"/>
  <c r="R1249" i="16"/>
  <c r="T1249" i="16"/>
  <c r="I1250" i="16"/>
  <c r="C1250" i="16"/>
  <c r="K1250" i="16" s="1"/>
  <c r="G1250" i="16"/>
  <c r="L1250" i="16"/>
  <c r="E1250" i="16"/>
  <c r="B1251" i="16"/>
  <c r="F1250" i="16"/>
  <c r="O1250" i="16" s="1"/>
  <c r="D1249" i="16"/>
  <c r="J1249" i="16"/>
  <c r="S1248" i="16"/>
  <c r="U1248" i="16"/>
  <c r="U1194" i="16"/>
  <c r="S1194" i="16"/>
  <c r="M1195" i="16"/>
  <c r="D1195" i="16"/>
  <c r="J1195" i="16"/>
  <c r="N1195" i="16" s="1"/>
  <c r="P1195" i="16"/>
  <c r="Q1195" i="16"/>
  <c r="R1195" i="16"/>
  <c r="T1195" i="16"/>
  <c r="L1196" i="16"/>
  <c r="C1196" i="16"/>
  <c r="K1196" i="16" s="1"/>
  <c r="E1196" i="16"/>
  <c r="F1196" i="16"/>
  <c r="O1196" i="16" s="1"/>
  <c r="G1196" i="16"/>
  <c r="I1196" i="16"/>
  <c r="B1197" i="16"/>
  <c r="U1140" i="16"/>
  <c r="S1140" i="16"/>
  <c r="M1141" i="16"/>
  <c r="D1141" i="16"/>
  <c r="J1141" i="16"/>
  <c r="N1141" i="16" s="1"/>
  <c r="P1141" i="16"/>
  <c r="Q1141" i="16"/>
  <c r="R1141" i="16"/>
  <c r="T1141" i="16"/>
  <c r="L1142" i="16"/>
  <c r="C1142" i="16"/>
  <c r="K1142" i="16" s="1"/>
  <c r="E1142" i="16"/>
  <c r="F1142" i="16"/>
  <c r="O1142" i="16" s="1"/>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U1032" i="16"/>
  <c r="S1032" i="16"/>
  <c r="D1033" i="16"/>
  <c r="J1033" i="16"/>
  <c r="P1033" i="16"/>
  <c r="Q1033" i="16"/>
  <c r="R1033" i="16"/>
  <c r="T1033" i="16"/>
  <c r="L1034" i="16"/>
  <c r="C1034" i="16"/>
  <c r="K1034" i="16" s="1"/>
  <c r="E1034" i="16"/>
  <c r="F1034" i="16"/>
  <c r="O1034" i="16" s="1"/>
  <c r="G1034" i="16"/>
  <c r="I1034" i="16"/>
  <c r="B1035" i="16"/>
  <c r="U978" i="16"/>
  <c r="S978" i="16"/>
  <c r="M979" i="16"/>
  <c r="D979" i="16"/>
  <c r="J979" i="16"/>
  <c r="N979" i="16" s="1"/>
  <c r="P979" i="16"/>
  <c r="Q979" i="16"/>
  <c r="R979" i="16"/>
  <c r="T979" i="16"/>
  <c r="L980" i="16"/>
  <c r="C980" i="16"/>
  <c r="K980" i="16" s="1"/>
  <c r="E980" i="16"/>
  <c r="F980" i="16"/>
  <c r="O980" i="16" s="1"/>
  <c r="G980" i="16"/>
  <c r="I980" i="16"/>
  <c r="B981" i="16"/>
  <c r="U924" i="16"/>
  <c r="S924" i="16"/>
  <c r="M925" i="16"/>
  <c r="D925" i="16"/>
  <c r="J925" i="16"/>
  <c r="N925" i="16" s="1"/>
  <c r="P925" i="16"/>
  <c r="Q925" i="16"/>
  <c r="R925" i="16"/>
  <c r="T925" i="16"/>
  <c r="L926" i="16"/>
  <c r="C926" i="16"/>
  <c r="K926" i="16" s="1"/>
  <c r="E926" i="16"/>
  <c r="F926" i="16"/>
  <c r="O926" i="16" s="1"/>
  <c r="G926" i="16"/>
  <c r="I926" i="16"/>
  <c r="B927" i="16"/>
  <c r="U870" i="16"/>
  <c r="S870" i="16"/>
  <c r="M871" i="16"/>
  <c r="D871" i="16"/>
  <c r="J871" i="16"/>
  <c r="N871" i="16" s="1"/>
  <c r="P871" i="16"/>
  <c r="Q871" i="16"/>
  <c r="R871" i="16"/>
  <c r="T871" i="16"/>
  <c r="L872" i="16"/>
  <c r="C872" i="16"/>
  <c r="E872" i="16"/>
  <c r="G872" i="16"/>
  <c r="I872" i="16"/>
  <c r="B873" i="16"/>
  <c r="U816" i="16"/>
  <c r="S816" i="16"/>
  <c r="D817" i="16"/>
  <c r="J817" i="16"/>
  <c r="P817" i="16"/>
  <c r="Q817" i="16"/>
  <c r="R817" i="16"/>
  <c r="T817" i="16"/>
  <c r="L818" i="16"/>
  <c r="C818" i="16"/>
  <c r="K818" i="16" s="1"/>
  <c r="E818" i="16"/>
  <c r="F818" i="16"/>
  <c r="O818" i="16" s="1"/>
  <c r="G818" i="16"/>
  <c r="I818" i="16"/>
  <c r="B819" i="16"/>
  <c r="U762" i="16"/>
  <c r="S762" i="16"/>
  <c r="M763" i="16"/>
  <c r="D763" i="16"/>
  <c r="J763" i="16"/>
  <c r="N763" i="16" s="1"/>
  <c r="P763" i="16"/>
  <c r="Q763" i="16"/>
  <c r="R763" i="16"/>
  <c r="T763" i="16"/>
  <c r="L764" i="16"/>
  <c r="C764" i="16"/>
  <c r="K764" i="16" s="1"/>
  <c r="E764" i="16"/>
  <c r="F764" i="16"/>
  <c r="O764" i="16" s="1"/>
  <c r="G764" i="16"/>
  <c r="I764" i="16"/>
  <c r="B765" i="16"/>
  <c r="U708" i="16"/>
  <c r="S708"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E656" i="16"/>
  <c r="G656" i="16"/>
  <c r="I656" i="16"/>
  <c r="B657" i="16"/>
  <c r="U600" i="16"/>
  <c r="S600" i="16"/>
  <c r="M601" i="16"/>
  <c r="D601" i="16"/>
  <c r="J601" i="16"/>
  <c r="N601" i="16" s="1"/>
  <c r="P601" i="16"/>
  <c r="Q601" i="16"/>
  <c r="R601" i="16"/>
  <c r="T601" i="16"/>
  <c r="L602" i="16"/>
  <c r="C602" i="16"/>
  <c r="E602" i="16"/>
  <c r="G602" i="16"/>
  <c r="I602" i="16"/>
  <c r="B603" i="16"/>
  <c r="P547" i="16"/>
  <c r="Q547" i="16"/>
  <c r="R547" i="16"/>
  <c r="T547" i="16"/>
  <c r="J547" i="16"/>
  <c r="D547" i="16"/>
  <c r="L548" i="16"/>
  <c r="E548" i="16"/>
  <c r="G548" i="16"/>
  <c r="I548" i="16"/>
  <c r="C548" i="16"/>
  <c r="K548" i="16" s="1"/>
  <c r="F548" i="16"/>
  <c r="O548" i="16" s="1"/>
  <c r="B549" i="16"/>
  <c r="U492" i="16"/>
  <c r="S492"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K440" i="16" s="1"/>
  <c r="E440" i="16"/>
  <c r="F440" i="16"/>
  <c r="O440" i="16" s="1"/>
  <c r="G440" i="16"/>
  <c r="I440" i="16"/>
  <c r="B441" i="16"/>
  <c r="U384" i="16"/>
  <c r="S384" i="16"/>
  <c r="M385" i="16"/>
  <c r="D385" i="16"/>
  <c r="J385" i="16"/>
  <c r="N385" i="16" s="1"/>
  <c r="P385" i="16"/>
  <c r="Q385" i="16"/>
  <c r="R385" i="16"/>
  <c r="T385" i="16"/>
  <c r="L386" i="16"/>
  <c r="C386" i="16"/>
  <c r="K386" i="16" s="1"/>
  <c r="E386" i="16"/>
  <c r="F386" i="16"/>
  <c r="O386" i="16" s="1"/>
  <c r="G386" i="16"/>
  <c r="I386" i="16"/>
  <c r="B387" i="16"/>
  <c r="M331" i="16"/>
  <c r="D331" i="16"/>
  <c r="J331" i="16"/>
  <c r="N331" i="16" s="1"/>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K278" i="16" s="1"/>
  <c r="E278" i="16"/>
  <c r="F278" i="16"/>
  <c r="O278" i="16" s="1"/>
  <c r="G278" i="16"/>
  <c r="I278" i="16"/>
  <c r="B279" i="16"/>
  <c r="M223" i="16"/>
  <c r="D223" i="16"/>
  <c r="J223" i="16"/>
  <c r="N223" i="16" s="1"/>
  <c r="P223" i="16"/>
  <c r="Q223" i="16"/>
  <c r="R223" i="16"/>
  <c r="T223" i="16"/>
  <c r="L224" i="16"/>
  <c r="C224" i="16"/>
  <c r="E224" i="16"/>
  <c r="G224" i="16"/>
  <c r="I224" i="16"/>
  <c r="B225" i="16"/>
  <c r="U168" i="16"/>
  <c r="S168" i="16"/>
  <c r="P169" i="16"/>
  <c r="Q169" i="16"/>
  <c r="R169" i="16"/>
  <c r="T169" i="16"/>
  <c r="L170" i="16"/>
  <c r="B171" i="16"/>
  <c r="I170" i="16"/>
  <c r="C170" i="16"/>
  <c r="E170" i="16"/>
  <c r="G170" i="16"/>
  <c r="D169" i="16"/>
  <c r="J169" i="16"/>
  <c r="M115" i="16"/>
  <c r="D115" i="16"/>
  <c r="J115" i="16"/>
  <c r="N115" i="16" s="1"/>
  <c r="L116" i="16"/>
  <c r="G116" i="16"/>
  <c r="B117" i="16"/>
  <c r="I116" i="16"/>
  <c r="C116" i="16"/>
  <c r="K116" i="16" s="1"/>
  <c r="E116" i="16"/>
  <c r="F116" i="16"/>
  <c r="O116" i="16" s="1"/>
  <c r="P115" i="16"/>
  <c r="Q115" i="16"/>
  <c r="R115" i="16"/>
  <c r="T115" i="16"/>
  <c r="U52" i="4"/>
  <c r="S52" i="4"/>
  <c r="F52" i="7"/>
  <c r="F52" i="5"/>
  <c r="G52" i="5"/>
  <c r="H52" i="5"/>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BF53" i="4"/>
  <c r="L54" i="4"/>
  <c r="C54" i="4"/>
  <c r="K54" i="4" s="1"/>
  <c r="E54" i="4"/>
  <c r="F54" i="4"/>
  <c r="C54" i="5" s="1"/>
  <c r="E54" i="5" s="1"/>
  <c r="G54" i="4"/>
  <c r="I54" i="4"/>
  <c r="B55" i="4"/>
  <c r="B54" i="5"/>
  <c r="U4247" i="16"/>
  <c r="S4247" i="16"/>
  <c r="S3677" i="16"/>
  <c r="U3677" i="16"/>
  <c r="S3245" i="16"/>
  <c r="U3245" i="16"/>
  <c r="U2975" i="16"/>
  <c r="S2975" i="16"/>
  <c r="U2705" i="16"/>
  <c r="S2705" i="16"/>
  <c r="U2651" i="16"/>
  <c r="S2651" i="16"/>
  <c r="U2597" i="16"/>
  <c r="S2597" i="16"/>
  <c r="U2381" i="16"/>
  <c r="S2381" i="16"/>
  <c r="U2111" i="16"/>
  <c r="S2111" i="16"/>
  <c r="U1625" i="16"/>
  <c r="S1625" i="16"/>
  <c r="U1301" i="16"/>
  <c r="S1301" i="16"/>
  <c r="U923" i="16"/>
  <c r="S923" i="16"/>
  <c r="U653" i="16"/>
  <c r="S653" i="16"/>
  <c r="U491" i="16"/>
  <c r="S491" i="16"/>
  <c r="U437" i="16"/>
  <c r="S437" i="16"/>
  <c r="U167" i="16"/>
  <c r="S167" i="16"/>
  <c r="S113" i="16"/>
  <c r="U113" i="16"/>
  <c r="U51" i="4"/>
  <c r="S51" i="4"/>
  <c r="M4548" i="16"/>
  <c r="N4548" i="16"/>
  <c r="M3786" i="16"/>
  <c r="N3786" i="16"/>
  <c r="M3732" i="16"/>
  <c r="N3732" i="16"/>
  <c r="M3678" i="16"/>
  <c r="N3678" i="16"/>
  <c r="M3462" i="16"/>
  <c r="N3462" i="16"/>
  <c r="M3408" i="16"/>
  <c r="N3408" i="16"/>
  <c r="M3138" i="16"/>
  <c r="N3138" i="16"/>
  <c r="M2922" i="16"/>
  <c r="N2922" i="16"/>
  <c r="N2706" i="16"/>
  <c r="M2706" i="16"/>
  <c r="M2382" i="16"/>
  <c r="N2382" i="16"/>
  <c r="M2328" i="16"/>
  <c r="N2328" i="16"/>
  <c r="N2112" i="16"/>
  <c r="M2112" i="16"/>
  <c r="M1788" i="16"/>
  <c r="N1788" i="16"/>
  <c r="M1572" i="16"/>
  <c r="N1572" i="16"/>
  <c r="N1356" i="16"/>
  <c r="M1356" i="16"/>
  <c r="M546" i="16"/>
  <c r="N546" i="16"/>
  <c r="M330" i="16"/>
  <c r="N330" i="16"/>
  <c r="M222" i="16"/>
  <c r="N222" i="16"/>
  <c r="N114" i="16"/>
  <c r="M114" i="16"/>
  <c r="D4657" i="16"/>
  <c r="F4657" i="16"/>
  <c r="O4657" i="16" s="1"/>
  <c r="K4603" i="16"/>
  <c r="F4603" i="16"/>
  <c r="K4549" i="16"/>
  <c r="F4549" i="16"/>
  <c r="K4141" i="16"/>
  <c r="F4141" i="16"/>
  <c r="O4141" i="16" s="1"/>
  <c r="K3517" i="16"/>
  <c r="F3517" i="16"/>
  <c r="O3517" i="16" s="1"/>
  <c r="K3301" i="16"/>
  <c r="F3301" i="16"/>
  <c r="O3301" i="16" s="1"/>
  <c r="K3031" i="16"/>
  <c r="F3031" i="16"/>
  <c r="O3031" i="16" s="1"/>
  <c r="F2815" i="16"/>
  <c r="O2815" i="16" s="1"/>
  <c r="K2815" i="16"/>
  <c r="F2761" i="16"/>
  <c r="O2761" i="16" s="1"/>
  <c r="K2761" i="16"/>
  <c r="F2707" i="16"/>
  <c r="O2707" i="16" s="1"/>
  <c r="K2707" i="16"/>
  <c r="K2545" i="16"/>
  <c r="F2545" i="16"/>
  <c r="O2545" i="16" s="1"/>
  <c r="F2491" i="16"/>
  <c r="O2491" i="16" s="1"/>
  <c r="K2491" i="16"/>
  <c r="F2329" i="16"/>
  <c r="O2329" i="16" s="1"/>
  <c r="K2329" i="16"/>
  <c r="K2275" i="16"/>
  <c r="F2275" i="16"/>
  <c r="O2275" i="16" s="1"/>
  <c r="K2113" i="16"/>
  <c r="F2113" i="16"/>
  <c r="O2113" i="16" s="1"/>
  <c r="K1789" i="16"/>
  <c r="F1789" i="16"/>
  <c r="O1789" i="16" s="1"/>
  <c r="F1573" i="16"/>
  <c r="O1573" i="16" s="1"/>
  <c r="K1573" i="16"/>
  <c r="K1519" i="16"/>
  <c r="F1519" i="16"/>
  <c r="O1519" i="16" s="1"/>
  <c r="F1465" i="16"/>
  <c r="O1465" i="16" s="1"/>
  <c r="K1465" i="16"/>
  <c r="F1303" i="16"/>
  <c r="O1303" i="16" s="1"/>
  <c r="K1303" i="16"/>
  <c r="K1249" i="16"/>
  <c r="F1249" i="16"/>
  <c r="O1249" i="16" s="1"/>
  <c r="K1033" i="16"/>
  <c r="F1033" i="16"/>
  <c r="O1033" i="16" s="1"/>
  <c r="F817" i="16"/>
  <c r="O817" i="16" s="1"/>
  <c r="K817" i="16"/>
  <c r="K547" i="16"/>
  <c r="F547" i="16"/>
  <c r="O547" i="16" s="1"/>
  <c r="F169" i="16"/>
  <c r="O169" i="16" s="1"/>
  <c r="K169" i="16"/>
  <c r="BF52" i="4"/>
  <c r="K4712" i="16" l="1"/>
  <c r="F4712" i="16"/>
  <c r="D4658" i="16"/>
  <c r="F4658" i="16"/>
  <c r="O4658" i="16" s="1"/>
  <c r="K4088" i="16"/>
  <c r="F4088" i="16"/>
  <c r="O4088" i="16" s="1"/>
  <c r="K3626" i="16"/>
  <c r="F3626" i="16"/>
  <c r="O3626" i="16" s="1"/>
  <c r="K3086" i="16"/>
  <c r="F3086" i="16"/>
  <c r="O3086" i="16" s="1"/>
  <c r="K2816" i="16"/>
  <c r="F2816" i="16"/>
  <c r="O2816" i="16" s="1"/>
  <c r="K1574" i="16"/>
  <c r="F1574" i="16"/>
  <c r="O1574" i="16" s="1"/>
  <c r="K1358" i="16"/>
  <c r="F1358" i="16"/>
  <c r="O1358" i="16" s="1"/>
  <c r="K602" i="16"/>
  <c r="F602" i="16"/>
  <c r="O602" i="16" s="1"/>
  <c r="K224" i="16"/>
  <c r="F224" i="16"/>
  <c r="O224" i="16" s="1"/>
  <c r="T4710" i="16"/>
  <c r="S4711" i="16"/>
  <c r="T4711" i="16" s="1"/>
  <c r="U4711" i="16"/>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D4604" i="16"/>
  <c r="J4604" i="16"/>
  <c r="P4604" i="16"/>
  <c r="Q4604" i="16"/>
  <c r="R4604" i="16"/>
  <c r="L4605" i="16"/>
  <c r="C4605" i="16"/>
  <c r="K4605" i="16" s="1"/>
  <c r="E4605" i="16"/>
  <c r="F4605" i="16"/>
  <c r="G4605" i="16"/>
  <c r="I4605" i="16"/>
  <c r="B4606" i="16"/>
  <c r="M4550" i="16"/>
  <c r="I4551" i="16"/>
  <c r="B4552" i="16"/>
  <c r="C4551" i="16"/>
  <c r="K4551" i="16" s="1"/>
  <c r="E4551" i="16"/>
  <c r="F4551" i="16"/>
  <c r="G4551" i="16"/>
  <c r="L4551" i="16"/>
  <c r="D4550" i="16"/>
  <c r="J4550" i="16"/>
  <c r="N4550" i="16" s="1"/>
  <c r="P4550" i="16"/>
  <c r="Q4550" i="16"/>
  <c r="R4550" i="16"/>
  <c r="U4249" i="16"/>
  <c r="S4249" i="16"/>
  <c r="D4250" i="16"/>
  <c r="J4250" i="16"/>
  <c r="P4250" i="16"/>
  <c r="Q4250" i="16"/>
  <c r="R4250" i="16"/>
  <c r="T4250" i="16"/>
  <c r="L4251" i="16"/>
  <c r="C4251" i="16"/>
  <c r="E4251" i="16"/>
  <c r="G4251" i="16"/>
  <c r="I4251" i="16"/>
  <c r="B4252" i="16"/>
  <c r="U4195" i="16"/>
  <c r="S4195" i="16"/>
  <c r="D4196" i="16"/>
  <c r="J4196" i="16"/>
  <c r="N4196" i="16" s="1"/>
  <c r="P4196" i="16"/>
  <c r="Q4196" i="16"/>
  <c r="R4196" i="16"/>
  <c r="T4196" i="16"/>
  <c r="M4196" i="16"/>
  <c r="C4197" i="16"/>
  <c r="E4197" i="16"/>
  <c r="G4197" i="16"/>
  <c r="I4197" i="16"/>
  <c r="L4197" i="16"/>
  <c r="B4198" i="16"/>
  <c r="J4142" i="16"/>
  <c r="N4142" i="16" s="1"/>
  <c r="D4142" i="16"/>
  <c r="P4142" i="16"/>
  <c r="Q4142" i="16"/>
  <c r="R4142" i="16"/>
  <c r="T4142" i="16"/>
  <c r="M4142" i="16"/>
  <c r="E4143" i="16"/>
  <c r="I4143" i="16"/>
  <c r="B4144" i="16"/>
  <c r="L4143" i="16"/>
  <c r="C4143" i="16"/>
  <c r="G4143" i="16"/>
  <c r="U4087" i="16"/>
  <c r="S4087" i="16"/>
  <c r="M4088" i="16"/>
  <c r="D4088" i="16"/>
  <c r="J4088" i="16"/>
  <c r="N4088" i="16" s="1"/>
  <c r="P4088" i="16"/>
  <c r="Q4088" i="16"/>
  <c r="R4088" i="16"/>
  <c r="T4088" i="16"/>
  <c r="L4089" i="16"/>
  <c r="C4089" i="16"/>
  <c r="K4089" i="16" s="1"/>
  <c r="E4089" i="16"/>
  <c r="F4089" i="16"/>
  <c r="O4089" i="16" s="1"/>
  <c r="G4089" i="16"/>
  <c r="I4089" i="16"/>
  <c r="B4090" i="16"/>
  <c r="U3787" i="16"/>
  <c r="S3787" i="16"/>
  <c r="D3788" i="16"/>
  <c r="J3788" i="16"/>
  <c r="P3788" i="16"/>
  <c r="Q3788" i="16"/>
  <c r="R3788" i="16"/>
  <c r="T3788" i="16"/>
  <c r="L3789" i="16"/>
  <c r="C3789" i="16"/>
  <c r="E3789" i="16"/>
  <c r="G3789" i="16"/>
  <c r="I3789" i="16"/>
  <c r="B3790" i="16"/>
  <c r="U3733" i="16"/>
  <c r="S3733" i="16"/>
  <c r="D3734" i="16"/>
  <c r="J3734" i="16"/>
  <c r="P3734" i="16"/>
  <c r="Q3734" i="16"/>
  <c r="R3734" i="16"/>
  <c r="T3734" i="16"/>
  <c r="L3735" i="16"/>
  <c r="C3735" i="16"/>
  <c r="K3735" i="16" s="1"/>
  <c r="E3735" i="16"/>
  <c r="F3735" i="16"/>
  <c r="O3735" i="16" s="1"/>
  <c r="G3735" i="16"/>
  <c r="I3735" i="16"/>
  <c r="B3736" i="16"/>
  <c r="U3679" i="16"/>
  <c r="S3679" i="16"/>
  <c r="M3680" i="16"/>
  <c r="N3680" i="16"/>
  <c r="P3680" i="16"/>
  <c r="Q3680" i="16"/>
  <c r="R3680" i="16"/>
  <c r="T3680" i="16"/>
  <c r="J3680" i="16"/>
  <c r="D3680" i="16"/>
  <c r="L3681" i="16"/>
  <c r="C3681" i="16"/>
  <c r="E3681" i="16"/>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D3518" i="16"/>
  <c r="J3518" i="16"/>
  <c r="P3518" i="16"/>
  <c r="Q3518" i="16"/>
  <c r="R3518" i="16"/>
  <c r="T3518" i="16"/>
  <c r="L3519" i="16"/>
  <c r="C3519" i="16"/>
  <c r="E3519" i="16"/>
  <c r="G3519" i="16"/>
  <c r="I3519" i="16"/>
  <c r="B3520" i="16"/>
  <c r="S3463" i="16"/>
  <c r="U3463" i="16"/>
  <c r="D3464" i="16"/>
  <c r="J3464" i="16"/>
  <c r="P3464" i="16"/>
  <c r="Q3464" i="16"/>
  <c r="R3464" i="16"/>
  <c r="T3464" i="16"/>
  <c r="L3465" i="16"/>
  <c r="C3465" i="16"/>
  <c r="E3465" i="16"/>
  <c r="G3465" i="16"/>
  <c r="I3465" i="16"/>
  <c r="B3466" i="16"/>
  <c r="U3409" i="16"/>
  <c r="S3409" i="16"/>
  <c r="D3410" i="16"/>
  <c r="J3410" i="16"/>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E3357" i="16"/>
  <c r="G3357" i="16"/>
  <c r="I3357" i="16"/>
  <c r="B3358" i="16"/>
  <c r="M3302" i="16"/>
  <c r="D3302" i="16"/>
  <c r="J3302" i="16"/>
  <c r="N3302" i="16" s="1"/>
  <c r="P3302" i="16"/>
  <c r="Q3302" i="16"/>
  <c r="R3302" i="16"/>
  <c r="T3302" i="16"/>
  <c r="L3303" i="16"/>
  <c r="C3303" i="16"/>
  <c r="E3303" i="16"/>
  <c r="G3303" i="16"/>
  <c r="I3303" i="16"/>
  <c r="B3304" i="16"/>
  <c r="S3247" i="16"/>
  <c r="U3247" i="16"/>
  <c r="M3248" i="16"/>
  <c r="D3248" i="16"/>
  <c r="J3248" i="16"/>
  <c r="N3248" i="16" s="1"/>
  <c r="P3248" i="16"/>
  <c r="Q3248" i="16"/>
  <c r="R3248" i="16"/>
  <c r="T3248" i="16"/>
  <c r="L3249" i="16"/>
  <c r="C3249" i="16"/>
  <c r="K3249" i="16" s="1"/>
  <c r="E3249" i="16"/>
  <c r="F3249" i="16"/>
  <c r="O3249" i="16" s="1"/>
  <c r="G3249" i="16"/>
  <c r="I3249" i="16"/>
  <c r="B3250" i="16"/>
  <c r="U3193" i="16"/>
  <c r="S3193" i="16"/>
  <c r="M3194" i="16"/>
  <c r="D3194" i="16"/>
  <c r="J3194" i="16"/>
  <c r="N3194" i="16" s="1"/>
  <c r="P3194" i="16"/>
  <c r="Q3194" i="16"/>
  <c r="R3194" i="16"/>
  <c r="T3194" i="16"/>
  <c r="L3195" i="16"/>
  <c r="C3195" i="16"/>
  <c r="K3195" i="16" s="1"/>
  <c r="E3195" i="16"/>
  <c r="F3195" i="16"/>
  <c r="O3195" i="16" s="1"/>
  <c r="G3195" i="16"/>
  <c r="I3195" i="16"/>
  <c r="B3196" i="16"/>
  <c r="U3139" i="16"/>
  <c r="S3139" i="16"/>
  <c r="D3140" i="16"/>
  <c r="J3140" i="16"/>
  <c r="P3140" i="16"/>
  <c r="Q3140" i="16"/>
  <c r="R3140" i="16"/>
  <c r="T3140" i="16"/>
  <c r="L3141" i="16"/>
  <c r="C3141" i="16"/>
  <c r="K3141" i="16" s="1"/>
  <c r="E3141" i="16"/>
  <c r="F3141" i="16"/>
  <c r="O3141" i="16" s="1"/>
  <c r="G3141" i="16"/>
  <c r="I3141" i="16"/>
  <c r="B3142" i="16"/>
  <c r="U3085" i="16"/>
  <c r="S3085" i="16"/>
  <c r="M3086" i="16"/>
  <c r="P3086" i="16"/>
  <c r="Q3086" i="16"/>
  <c r="R3086" i="16"/>
  <c r="T3086" i="16"/>
  <c r="D3086" i="16"/>
  <c r="J3086" i="16"/>
  <c r="N3086" i="16" s="1"/>
  <c r="L3087" i="16"/>
  <c r="E3087" i="16"/>
  <c r="I3087" i="16"/>
  <c r="C3087" i="16"/>
  <c r="K3087" i="16" s="1"/>
  <c r="F3087" i="16"/>
  <c r="O3087" i="16" s="1"/>
  <c r="B3088" i="16"/>
  <c r="G3087" i="16"/>
  <c r="P3032" i="16"/>
  <c r="Q3032" i="16"/>
  <c r="R3032" i="16"/>
  <c r="T3032" i="16"/>
  <c r="D3032" i="16"/>
  <c r="J3032" i="16"/>
  <c r="L3033" i="16"/>
  <c r="E3033" i="16"/>
  <c r="C3033" i="16"/>
  <c r="G3033" i="16"/>
  <c r="B3034" i="16"/>
  <c r="I3033" i="16"/>
  <c r="U2977" i="16"/>
  <c r="S2977" i="16"/>
  <c r="M2978" i="16"/>
  <c r="D2978" i="16"/>
  <c r="J2978" i="16"/>
  <c r="N2978" i="16" s="1"/>
  <c r="P2978" i="16"/>
  <c r="Q2978" i="16"/>
  <c r="R2978" i="16"/>
  <c r="T2978" i="16"/>
  <c r="L2979" i="16"/>
  <c r="C2979" i="16"/>
  <c r="E2979" i="16"/>
  <c r="G2979" i="16"/>
  <c r="I2979" i="16"/>
  <c r="B2980" i="16"/>
  <c r="U2923" i="16"/>
  <c r="S2923" i="16"/>
  <c r="M2924" i="16"/>
  <c r="D2924" i="16"/>
  <c r="J2924" i="16"/>
  <c r="N2924" i="16" s="1"/>
  <c r="P2924" i="16"/>
  <c r="Q2924" i="16"/>
  <c r="R2924" i="16"/>
  <c r="T2924" i="16"/>
  <c r="L2925" i="16"/>
  <c r="C2925" i="16"/>
  <c r="E2925" i="16"/>
  <c r="G2925" i="16"/>
  <c r="I2925" i="16"/>
  <c r="B2926" i="16"/>
  <c r="U2869" i="16"/>
  <c r="S2869" i="16"/>
  <c r="M2870" i="16"/>
  <c r="D2870" i="16"/>
  <c r="J2870" i="16"/>
  <c r="N2870" i="16" s="1"/>
  <c r="P2870" i="16"/>
  <c r="Q2870" i="16"/>
  <c r="R2870" i="16"/>
  <c r="T2870" i="16"/>
  <c r="L2871" i="16"/>
  <c r="C2871" i="16"/>
  <c r="K2871" i="16" s="1"/>
  <c r="E2871" i="16"/>
  <c r="F2871" i="16"/>
  <c r="O2871" i="16" s="1"/>
  <c r="G2871" i="16"/>
  <c r="I2871" i="16"/>
  <c r="B2872" i="16"/>
  <c r="M2816" i="16"/>
  <c r="L2817" i="16"/>
  <c r="E2817" i="16"/>
  <c r="I2817" i="16"/>
  <c r="B2818" i="16"/>
  <c r="C2817" i="16"/>
  <c r="G2817" i="16"/>
  <c r="J2816" i="16"/>
  <c r="N2816" i="16" s="1"/>
  <c r="S2816" i="16" s="1"/>
  <c r="D2816" i="16"/>
  <c r="P2816" i="16"/>
  <c r="Q2816" i="16"/>
  <c r="R2816" i="16"/>
  <c r="T2816" i="16"/>
  <c r="U2816" i="16" s="1"/>
  <c r="M2762" i="16"/>
  <c r="D2762" i="16"/>
  <c r="J2762" i="16"/>
  <c r="N2762" i="16" s="1"/>
  <c r="P2762" i="16"/>
  <c r="Q2762" i="16"/>
  <c r="R2762" i="16"/>
  <c r="T2762" i="16"/>
  <c r="L2763" i="16"/>
  <c r="C2763" i="16"/>
  <c r="E2763" i="16"/>
  <c r="G2763" i="16"/>
  <c r="I2763" i="16"/>
  <c r="B2764" i="16"/>
  <c r="L2709" i="16"/>
  <c r="E2709" i="16"/>
  <c r="G2709" i="16"/>
  <c r="C2709" i="16"/>
  <c r="B2710" i="16"/>
  <c r="I2709" i="16"/>
  <c r="J2708" i="16"/>
  <c r="D2708" i="16"/>
  <c r="P2708" i="16"/>
  <c r="Q2708" i="16"/>
  <c r="R2708" i="16"/>
  <c r="T2708" i="16"/>
  <c r="U2653" i="16"/>
  <c r="S2653" i="16"/>
  <c r="P2654" i="16"/>
  <c r="Q2654" i="16"/>
  <c r="R2654" i="16"/>
  <c r="T2654" i="16"/>
  <c r="L2655" i="16"/>
  <c r="I2655" i="16"/>
  <c r="G2655" i="16"/>
  <c r="E2655" i="16"/>
  <c r="B2656" i="16"/>
  <c r="C2655" i="16"/>
  <c r="J2654" i="16"/>
  <c r="D2654" i="16"/>
  <c r="U2599" i="16"/>
  <c r="S2599" i="16"/>
  <c r="D2600" i="16"/>
  <c r="J2600" i="16"/>
  <c r="L2601" i="16"/>
  <c r="B2602" i="16"/>
  <c r="I2601" i="16"/>
  <c r="E2601" i="16"/>
  <c r="C2601" i="16"/>
  <c r="G2601" i="16"/>
  <c r="P2600" i="16"/>
  <c r="Q2600" i="16"/>
  <c r="R2600" i="16"/>
  <c r="T2600" i="16"/>
  <c r="J2546" i="16"/>
  <c r="D2546" i="16"/>
  <c r="P2546" i="16"/>
  <c r="Q2546" i="16"/>
  <c r="R2546" i="16"/>
  <c r="T2546" i="16"/>
  <c r="L2547" i="16"/>
  <c r="C2547" i="16"/>
  <c r="K2547" i="16" s="1"/>
  <c r="F2547" i="16"/>
  <c r="O2547" i="16" s="1"/>
  <c r="I2547" i="16"/>
  <c r="G2547" i="16"/>
  <c r="B2548" i="16"/>
  <c r="E2547" i="16"/>
  <c r="M2492" i="16"/>
  <c r="D2492" i="16"/>
  <c r="J2492" i="16"/>
  <c r="N2492" i="16" s="1"/>
  <c r="P2492" i="16"/>
  <c r="Q2492" i="16"/>
  <c r="R2492" i="16"/>
  <c r="T2492" i="16"/>
  <c r="L2493" i="16"/>
  <c r="C2493" i="16"/>
  <c r="E2493" i="16"/>
  <c r="G2493" i="16"/>
  <c r="I2493" i="16"/>
  <c r="B2494" i="16"/>
  <c r="U2437" i="16"/>
  <c r="S2437" i="16"/>
  <c r="D2438" i="16"/>
  <c r="J2438" i="16"/>
  <c r="P2438" i="16"/>
  <c r="Q2438" i="16"/>
  <c r="R2438" i="16"/>
  <c r="T2438" i="16"/>
  <c r="L2439" i="16"/>
  <c r="C2439" i="16"/>
  <c r="E2439" i="16"/>
  <c r="G2439" i="16"/>
  <c r="I2439" i="16"/>
  <c r="B2440" i="16"/>
  <c r="U2383" i="16"/>
  <c r="S2383" i="16"/>
  <c r="D2384" i="16"/>
  <c r="J2384" i="16"/>
  <c r="P2384" i="16"/>
  <c r="Q2384" i="16"/>
  <c r="R2384" i="16"/>
  <c r="T2384" i="16"/>
  <c r="L2385" i="16"/>
  <c r="C2385" i="16"/>
  <c r="E2385" i="16"/>
  <c r="G2385" i="16"/>
  <c r="I2385" i="16"/>
  <c r="B2386" i="16"/>
  <c r="M2330" i="16"/>
  <c r="P2330" i="16"/>
  <c r="Q2330" i="16"/>
  <c r="R2330" i="16"/>
  <c r="T2330" i="16"/>
  <c r="D2330" i="16"/>
  <c r="J2330" i="16"/>
  <c r="N2330" i="16" s="1"/>
  <c r="L2331" i="16"/>
  <c r="E2331" i="16"/>
  <c r="B2332" i="16"/>
  <c r="C2331" i="16"/>
  <c r="K2331" i="16" s="1"/>
  <c r="G2331" i="16"/>
  <c r="I2331" i="16"/>
  <c r="F2331" i="16"/>
  <c r="O2331" i="16" s="1"/>
  <c r="M2276" i="16"/>
  <c r="D2276" i="16"/>
  <c r="J2276" i="16"/>
  <c r="N2276" i="16" s="1"/>
  <c r="P2276" i="16"/>
  <c r="Q2276" i="16"/>
  <c r="R2276" i="16"/>
  <c r="T2276" i="16"/>
  <c r="L2277" i="16"/>
  <c r="C2277" i="16"/>
  <c r="K2277" i="16" s="1"/>
  <c r="E2277" i="16"/>
  <c r="F2277" i="16"/>
  <c r="O2277" i="16" s="1"/>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U2167" i="16"/>
  <c r="S2167" i="16"/>
  <c r="D2168" i="16"/>
  <c r="J2168" i="16"/>
  <c r="P2168" i="16"/>
  <c r="Q2168" i="16"/>
  <c r="R2168" i="16"/>
  <c r="T2168" i="16"/>
  <c r="L2169" i="16"/>
  <c r="C2169" i="16"/>
  <c r="E2169" i="16"/>
  <c r="G2169" i="16"/>
  <c r="I2169" i="16"/>
  <c r="B2170" i="16"/>
  <c r="M2114" i="16"/>
  <c r="D2114" i="16"/>
  <c r="J2114" i="16"/>
  <c r="N2114" i="16" s="1"/>
  <c r="P2114" i="16"/>
  <c r="Q2114" i="16"/>
  <c r="R2114" i="16"/>
  <c r="T2114" i="16"/>
  <c r="L2115" i="16"/>
  <c r="C2115" i="16"/>
  <c r="K2115" i="16" s="1"/>
  <c r="E2115" i="16"/>
  <c r="F2115" i="16"/>
  <c r="O2115" i="16" s="1"/>
  <c r="G2115" i="16"/>
  <c r="I2115" i="16"/>
  <c r="B2116" i="16"/>
  <c r="U2059" i="16"/>
  <c r="S2059" i="16"/>
  <c r="M2060" i="16"/>
  <c r="D2060" i="16"/>
  <c r="J2060" i="16"/>
  <c r="N2060" i="16" s="1"/>
  <c r="P2060" i="16"/>
  <c r="Q2060" i="16"/>
  <c r="R2060" i="16"/>
  <c r="T2060" i="16"/>
  <c r="L2061" i="16"/>
  <c r="C2061" i="16"/>
  <c r="K2061" i="16" s="1"/>
  <c r="E2061" i="16"/>
  <c r="F2061" i="16"/>
  <c r="O2061" i="16" s="1"/>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D1952" i="16"/>
  <c r="J1952" i="16"/>
  <c r="P1952" i="16"/>
  <c r="Q1952" i="16"/>
  <c r="R1952" i="16"/>
  <c r="T1952" i="16"/>
  <c r="L1953" i="16"/>
  <c r="C1953" i="16"/>
  <c r="K1953" i="16" s="1"/>
  <c r="E1953" i="16"/>
  <c r="F1953" i="16"/>
  <c r="O1953" i="16" s="1"/>
  <c r="G1953" i="16"/>
  <c r="I1953" i="16"/>
  <c r="B1954" i="16"/>
  <c r="S1897" i="16"/>
  <c r="U1897" i="16"/>
  <c r="D1898" i="16"/>
  <c r="J1898" i="16"/>
  <c r="P1898" i="16"/>
  <c r="Q1898" i="16"/>
  <c r="R1898" i="16"/>
  <c r="T1898" i="16"/>
  <c r="L1899" i="16"/>
  <c r="C1899" i="16"/>
  <c r="E1899" i="16"/>
  <c r="G1899" i="16"/>
  <c r="I1899" i="16"/>
  <c r="B1900" i="16"/>
  <c r="U1843" i="16"/>
  <c r="S1843" i="16"/>
  <c r="M1844" i="16"/>
  <c r="D1844" i="16"/>
  <c r="J1844" i="16"/>
  <c r="N1844" i="16" s="1"/>
  <c r="P1844" i="16"/>
  <c r="Q1844" i="16"/>
  <c r="R1844" i="16"/>
  <c r="T1844" i="16"/>
  <c r="L1845" i="16"/>
  <c r="C1845" i="16"/>
  <c r="E1845" i="16"/>
  <c r="G1845" i="16"/>
  <c r="I1845" i="16"/>
  <c r="B1846" i="16"/>
  <c r="M1790" i="16"/>
  <c r="D1790" i="16"/>
  <c r="J1790" i="16"/>
  <c r="N1790" i="16" s="1"/>
  <c r="P1790" i="16"/>
  <c r="Q1790" i="16"/>
  <c r="R1790" i="16"/>
  <c r="T1790" i="16"/>
  <c r="L1791" i="16"/>
  <c r="C1791" i="16"/>
  <c r="K1791" i="16" s="1"/>
  <c r="E1791" i="16"/>
  <c r="F1791" i="16"/>
  <c r="O1791" i="16" s="1"/>
  <c r="G1791" i="16"/>
  <c r="I1791" i="16"/>
  <c r="B1792" i="16"/>
  <c r="U1735" i="16"/>
  <c r="S1735" i="16"/>
  <c r="D1736" i="16"/>
  <c r="J1736" i="16"/>
  <c r="P1736" i="16"/>
  <c r="Q1736" i="16"/>
  <c r="R1736" i="16"/>
  <c r="T1736" i="16"/>
  <c r="L1737" i="16"/>
  <c r="C1737" i="16"/>
  <c r="K1737" i="16" s="1"/>
  <c r="E1737" i="16"/>
  <c r="F1737" i="16"/>
  <c r="O1737" i="16" s="1"/>
  <c r="G1737" i="16"/>
  <c r="I1737" i="16"/>
  <c r="B1738" i="16"/>
  <c r="S1681" i="16"/>
  <c r="U1681" i="16"/>
  <c r="D1682" i="16"/>
  <c r="J1682" i="16"/>
  <c r="P1682" i="16"/>
  <c r="Q1682" i="16"/>
  <c r="R1682" i="16"/>
  <c r="T1682" i="16"/>
  <c r="L1683" i="16"/>
  <c r="C1683" i="16"/>
  <c r="E1683" i="16"/>
  <c r="G1683" i="16"/>
  <c r="I1683" i="16"/>
  <c r="B1684" i="16"/>
  <c r="U1627" i="16"/>
  <c r="S1627" i="16"/>
  <c r="D1628" i="16"/>
  <c r="J1628" i="16"/>
  <c r="P1628" i="16"/>
  <c r="Q1628" i="16"/>
  <c r="R1628" i="16"/>
  <c r="T1628" i="16"/>
  <c r="L1629" i="16"/>
  <c r="C1629" i="16"/>
  <c r="E1629" i="16"/>
  <c r="G1629" i="16"/>
  <c r="I1629" i="16"/>
  <c r="B1630" i="16"/>
  <c r="M1574" i="16"/>
  <c r="D1574" i="16"/>
  <c r="J1574" i="16"/>
  <c r="N1574" i="16" s="1"/>
  <c r="P1574" i="16"/>
  <c r="Q1574" i="16"/>
  <c r="R1574" i="16"/>
  <c r="T1574" i="16"/>
  <c r="L1575" i="16"/>
  <c r="C1575" i="16"/>
  <c r="K1575" i="16" s="1"/>
  <c r="E1575" i="16"/>
  <c r="F1575" i="16"/>
  <c r="O1575" i="16" s="1"/>
  <c r="G1575" i="16"/>
  <c r="I1575" i="16"/>
  <c r="B1576" i="16"/>
  <c r="M1520" i="16"/>
  <c r="D1520" i="16"/>
  <c r="J1520" i="16"/>
  <c r="N1520" i="16" s="1"/>
  <c r="P1520" i="16"/>
  <c r="Q1520" i="16"/>
  <c r="R1520" i="16"/>
  <c r="T1520" i="16"/>
  <c r="L1521" i="16"/>
  <c r="C1521" i="16"/>
  <c r="K1521" i="16" s="1"/>
  <c r="E1521" i="16"/>
  <c r="F1521" i="16"/>
  <c r="O1521" i="16" s="1"/>
  <c r="G1521" i="16"/>
  <c r="I1521" i="16"/>
  <c r="B1522" i="16"/>
  <c r="M1466" i="16"/>
  <c r="J1466" i="16"/>
  <c r="N1466" i="16" s="1"/>
  <c r="D1466" i="16"/>
  <c r="P1466" i="16"/>
  <c r="Q1466" i="16"/>
  <c r="R1466" i="16"/>
  <c r="T1466" i="16"/>
  <c r="L1467" i="16"/>
  <c r="G1467" i="16"/>
  <c r="I1467" i="16"/>
  <c r="E1467" i="16"/>
  <c r="B1468" i="16"/>
  <c r="C1467" i="16"/>
  <c r="U1411" i="16"/>
  <c r="S1411" i="16"/>
  <c r="M1412" i="16"/>
  <c r="D1412" i="16"/>
  <c r="J1412" i="16"/>
  <c r="N1412" i="16" s="1"/>
  <c r="P1412" i="16"/>
  <c r="Q1412" i="16"/>
  <c r="R1412" i="16"/>
  <c r="T1412" i="16"/>
  <c r="L1413" i="16"/>
  <c r="B1414" i="16"/>
  <c r="E1413" i="16"/>
  <c r="C1413" i="16"/>
  <c r="G1413" i="16"/>
  <c r="I1413" i="16"/>
  <c r="U1357" i="16"/>
  <c r="S1357" i="16"/>
  <c r="M1358" i="16"/>
  <c r="P1358" i="16"/>
  <c r="Q1358" i="16"/>
  <c r="R1358" i="16"/>
  <c r="T1358" i="16"/>
  <c r="J1358" i="16"/>
  <c r="N1358" i="16" s="1"/>
  <c r="D1358" i="16"/>
  <c r="L1359" i="16"/>
  <c r="E1359" i="16"/>
  <c r="B1360" i="16"/>
  <c r="I1359" i="16"/>
  <c r="C1359" i="16"/>
  <c r="G1359" i="16"/>
  <c r="M1304" i="16"/>
  <c r="P1304" i="16"/>
  <c r="Q1304" i="16"/>
  <c r="R1304" i="16"/>
  <c r="T1304" i="16"/>
  <c r="D1304" i="16"/>
  <c r="J1304" i="16"/>
  <c r="N1304" i="16" s="1"/>
  <c r="L1305" i="16"/>
  <c r="B1306" i="16"/>
  <c r="E1305" i="16"/>
  <c r="C1305" i="16"/>
  <c r="I1305" i="16"/>
  <c r="G1305" i="16"/>
  <c r="M1250" i="16"/>
  <c r="D1250" i="16"/>
  <c r="J1250" i="16"/>
  <c r="N1250" i="16" s="1"/>
  <c r="P1250" i="16"/>
  <c r="Q1250" i="16"/>
  <c r="R1250" i="16"/>
  <c r="T1250" i="16"/>
  <c r="I1251" i="16"/>
  <c r="G1251" i="16"/>
  <c r="B1252" i="16"/>
  <c r="E1251" i="16"/>
  <c r="L1251" i="16"/>
  <c r="C1251" i="16"/>
  <c r="F1251" i="16" s="1"/>
  <c r="O1251" i="16" s="1"/>
  <c r="K1251" i="16"/>
  <c r="U1195" i="16"/>
  <c r="S1195" i="16"/>
  <c r="M1196" i="16"/>
  <c r="D1196" i="16"/>
  <c r="J1196" i="16"/>
  <c r="N1196" i="16" s="1"/>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E1143" i="16"/>
  <c r="G1143" i="16"/>
  <c r="I1143" i="16"/>
  <c r="B1144" i="16"/>
  <c r="U1087" i="16"/>
  <c r="S1087" i="16"/>
  <c r="M1088" i="16"/>
  <c r="D1088" i="16"/>
  <c r="J1088" i="16"/>
  <c r="N1088" i="16" s="1"/>
  <c r="P1088" i="16"/>
  <c r="Q1088" i="16"/>
  <c r="R1088" i="16"/>
  <c r="T1088" i="16"/>
  <c r="L1089" i="16"/>
  <c r="C1089" i="16"/>
  <c r="K1089" i="16" s="1"/>
  <c r="E1089" i="16"/>
  <c r="F1089" i="16"/>
  <c r="O1089" i="16" s="1"/>
  <c r="G1089" i="16"/>
  <c r="I1089" i="16"/>
  <c r="B1090" i="16"/>
  <c r="M1034" i="16"/>
  <c r="D1034" i="16"/>
  <c r="J1034" i="16"/>
  <c r="N1034" i="16" s="1"/>
  <c r="P1034" i="16"/>
  <c r="Q1034" i="16"/>
  <c r="R1034" i="16"/>
  <c r="T1034" i="16"/>
  <c r="L1035" i="16"/>
  <c r="C1035" i="16"/>
  <c r="K1035" i="16" s="1"/>
  <c r="E1035" i="16"/>
  <c r="F1035" i="16"/>
  <c r="O1035" i="16" s="1"/>
  <c r="G1035" i="16"/>
  <c r="I1035" i="16"/>
  <c r="B1036" i="16"/>
  <c r="U979" i="16"/>
  <c r="S979" i="16"/>
  <c r="M980" i="16"/>
  <c r="D980" i="16"/>
  <c r="J980" i="16"/>
  <c r="N980" i="16" s="1"/>
  <c r="P980" i="16"/>
  <c r="Q980" i="16"/>
  <c r="R980" i="16"/>
  <c r="T980" i="16"/>
  <c r="L981" i="16"/>
  <c r="C981" i="16"/>
  <c r="E981" i="16"/>
  <c r="G981" i="16"/>
  <c r="I981" i="16"/>
  <c r="B982" i="16"/>
  <c r="U925" i="16"/>
  <c r="S925" i="16"/>
  <c r="M926" i="16"/>
  <c r="D926" i="16"/>
  <c r="J926" i="16"/>
  <c r="N926" i="16" s="1"/>
  <c r="P926" i="16"/>
  <c r="Q926" i="16"/>
  <c r="R926" i="16"/>
  <c r="T926" i="16"/>
  <c r="L927" i="16"/>
  <c r="C927" i="16"/>
  <c r="E927" i="16"/>
  <c r="G927" i="16"/>
  <c r="I927" i="16"/>
  <c r="B928" i="16"/>
  <c r="U871" i="16"/>
  <c r="S871" i="16"/>
  <c r="D872" i="16"/>
  <c r="J872" i="16"/>
  <c r="P872" i="16"/>
  <c r="Q872" i="16"/>
  <c r="R872" i="16"/>
  <c r="T872" i="16"/>
  <c r="L873" i="16"/>
  <c r="C873" i="16"/>
  <c r="E873" i="16"/>
  <c r="G873" i="16"/>
  <c r="I873" i="16"/>
  <c r="B874" i="16"/>
  <c r="M818" i="16"/>
  <c r="D818" i="16"/>
  <c r="J818" i="16"/>
  <c r="N818" i="16" s="1"/>
  <c r="P818" i="16"/>
  <c r="Q818" i="16"/>
  <c r="R818" i="16"/>
  <c r="T818" i="16"/>
  <c r="L819" i="16"/>
  <c r="C819" i="16"/>
  <c r="K819" i="16" s="1"/>
  <c r="E819" i="16"/>
  <c r="F819" i="16"/>
  <c r="O819" i="16" s="1"/>
  <c r="G819" i="16"/>
  <c r="I819" i="16"/>
  <c r="B820" i="16"/>
  <c r="U763" i="16"/>
  <c r="S763" i="16"/>
  <c r="M764" i="16"/>
  <c r="D764" i="16"/>
  <c r="J764" i="16"/>
  <c r="N764" i="16" s="1"/>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D656" i="16"/>
  <c r="J656" i="16"/>
  <c r="P656" i="16"/>
  <c r="Q656" i="16"/>
  <c r="R656" i="16"/>
  <c r="T656" i="16"/>
  <c r="L657" i="16"/>
  <c r="C657" i="16"/>
  <c r="E657" i="16"/>
  <c r="G657" i="16"/>
  <c r="I657" i="16"/>
  <c r="B658" i="16"/>
  <c r="U601" i="16"/>
  <c r="S601" i="16"/>
  <c r="M602" i="16"/>
  <c r="D602" i="16"/>
  <c r="J602" i="16"/>
  <c r="N602" i="16" s="1"/>
  <c r="P602" i="16"/>
  <c r="Q602" i="16"/>
  <c r="R602" i="16"/>
  <c r="T602" i="16"/>
  <c r="L603" i="16"/>
  <c r="C603" i="16"/>
  <c r="K603" i="16" s="1"/>
  <c r="E603" i="16"/>
  <c r="F603" i="16"/>
  <c r="O603" i="16" s="1"/>
  <c r="G603" i="16"/>
  <c r="I603" i="16"/>
  <c r="B604" i="16"/>
  <c r="M548" i="16"/>
  <c r="P548" i="16"/>
  <c r="Q548" i="16"/>
  <c r="R548" i="16"/>
  <c r="T548" i="16"/>
  <c r="D548" i="16"/>
  <c r="J548" i="16"/>
  <c r="N548" i="16" s="1"/>
  <c r="L549" i="16"/>
  <c r="G549" i="16"/>
  <c r="C549" i="16"/>
  <c r="E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K441" i="16" s="1"/>
  <c r="E441" i="16"/>
  <c r="F441" i="16"/>
  <c r="O441" i="16" s="1"/>
  <c r="G441" i="16"/>
  <c r="I441" i="16"/>
  <c r="B442" i="16"/>
  <c r="U385" i="16"/>
  <c r="S385" i="16"/>
  <c r="M386" i="16"/>
  <c r="D386" i="16"/>
  <c r="J386" i="16"/>
  <c r="N386" i="16" s="1"/>
  <c r="P386" i="16"/>
  <c r="Q386" i="16"/>
  <c r="R386" i="16"/>
  <c r="T386" i="16"/>
  <c r="L387" i="16"/>
  <c r="C387" i="16"/>
  <c r="E387" i="16"/>
  <c r="G387" i="16"/>
  <c r="I387" i="16"/>
  <c r="B388" i="16"/>
  <c r="S331" i="16"/>
  <c r="U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P224" i="16"/>
  <c r="Q224" i="16"/>
  <c r="R224" i="16"/>
  <c r="T224" i="16"/>
  <c r="L225" i="16"/>
  <c r="C225" i="16"/>
  <c r="K225" i="16" s="1"/>
  <c r="E225" i="16"/>
  <c r="F225" i="16"/>
  <c r="O225" i="16" s="1"/>
  <c r="G225" i="16"/>
  <c r="I225" i="16"/>
  <c r="B226" i="16"/>
  <c r="L171" i="16"/>
  <c r="C171" i="16"/>
  <c r="E171" i="16"/>
  <c r="G171" i="16"/>
  <c r="B172" i="16"/>
  <c r="I171" i="16"/>
  <c r="J170" i="16"/>
  <c r="D170" i="16"/>
  <c r="P170" i="16"/>
  <c r="Q170" i="16"/>
  <c r="R170" i="16"/>
  <c r="T170" i="16"/>
  <c r="S115" i="16"/>
  <c r="U115" i="16"/>
  <c r="M116" i="16"/>
  <c r="P116" i="16"/>
  <c r="Q116" i="16"/>
  <c r="R116" i="16"/>
  <c r="T116" i="16"/>
  <c r="L117" i="16"/>
  <c r="G117" i="16"/>
  <c r="C117" i="16"/>
  <c r="K117" i="16" s="1"/>
  <c r="E117" i="16"/>
  <c r="F117" i="16"/>
  <c r="O117" i="16" s="1"/>
  <c r="B118" i="16"/>
  <c r="I117" i="16"/>
  <c r="J116" i="16"/>
  <c r="N116" i="16" s="1"/>
  <c r="D116"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C86" i="7"/>
  <c r="G86" i="7" s="1"/>
  <c r="U3786" i="16"/>
  <c r="S3786" i="16"/>
  <c r="U3732" i="16"/>
  <c r="S3732" i="16"/>
  <c r="U3678" i="16"/>
  <c r="S3678" i="16"/>
  <c r="S3462" i="16"/>
  <c r="U3462" i="16"/>
  <c r="U3408" i="16"/>
  <c r="S3408" i="16"/>
  <c r="U3138" i="16"/>
  <c r="S3138" i="16"/>
  <c r="U2922" i="16"/>
  <c r="S2922" i="16"/>
  <c r="U2706" i="16"/>
  <c r="S2706" i="16"/>
  <c r="U2382" i="16"/>
  <c r="S2382" i="16"/>
  <c r="S2328" i="16"/>
  <c r="U2328" i="16"/>
  <c r="U2112" i="16"/>
  <c r="S2112" i="16"/>
  <c r="U1788" i="16"/>
  <c r="S1788" i="16"/>
  <c r="U1572" i="16"/>
  <c r="S1572" i="16"/>
  <c r="U1356" i="16"/>
  <c r="S1356" i="16"/>
  <c r="S546" i="16"/>
  <c r="U546" i="16"/>
  <c r="S330" i="16"/>
  <c r="U330" i="16"/>
  <c r="U222" i="16"/>
  <c r="S222" i="16"/>
  <c r="S114" i="16"/>
  <c r="U114" i="16"/>
  <c r="M4603" i="16"/>
  <c r="N4603" i="16"/>
  <c r="N4549" i="16"/>
  <c r="M4549" i="16"/>
  <c r="M4141" i="16"/>
  <c r="N4141" i="16"/>
  <c r="M3517" i="16"/>
  <c r="N3517" i="16"/>
  <c r="M3301" i="16"/>
  <c r="N3301" i="16"/>
  <c r="N3031" i="16"/>
  <c r="M3031" i="16"/>
  <c r="M2815" i="16"/>
  <c r="N2815" i="16"/>
  <c r="S2815" i="16" s="1"/>
  <c r="M2761" i="16"/>
  <c r="N2761" i="16"/>
  <c r="M2707" i="16"/>
  <c r="N2707" i="16"/>
  <c r="M2545" i="16"/>
  <c r="N2545" i="16"/>
  <c r="M2491" i="16"/>
  <c r="N2491" i="16"/>
  <c r="M2329" i="16"/>
  <c r="N2329" i="16"/>
  <c r="M2275" i="16"/>
  <c r="N2275" i="16"/>
  <c r="N2113" i="16"/>
  <c r="M2113" i="16"/>
  <c r="M1789" i="16"/>
  <c r="N1789" i="16"/>
  <c r="M1573" i="16"/>
  <c r="N1573" i="16"/>
  <c r="M1519" i="16"/>
  <c r="N1519" i="16"/>
  <c r="N1465" i="16"/>
  <c r="M1465" i="16"/>
  <c r="M1303" i="16"/>
  <c r="N1303" i="16"/>
  <c r="N1249" i="16"/>
  <c r="M1249" i="16"/>
  <c r="M1033" i="16"/>
  <c r="N1033" i="16"/>
  <c r="M817" i="16"/>
  <c r="N817" i="16"/>
  <c r="M547" i="16"/>
  <c r="N547" i="16"/>
  <c r="M169" i="16"/>
  <c r="N169" i="16"/>
  <c r="K4604" i="16"/>
  <c r="F4604" i="16"/>
  <c r="K4250" i="16"/>
  <c r="F4250" i="16"/>
  <c r="O4250" i="16" s="1"/>
  <c r="K3788" i="16"/>
  <c r="F3788" i="16"/>
  <c r="O3788" i="16" s="1"/>
  <c r="K3734" i="16"/>
  <c r="F3734" i="16"/>
  <c r="O3734" i="16" s="1"/>
  <c r="K3518" i="16"/>
  <c r="F3518" i="16"/>
  <c r="O3518" i="16" s="1"/>
  <c r="K3464" i="16"/>
  <c r="F3464" i="16"/>
  <c r="O3464" i="16" s="1"/>
  <c r="F3410" i="16"/>
  <c r="O3410" i="16" s="1"/>
  <c r="K3410" i="16"/>
  <c r="F3140" i="16"/>
  <c r="O3140" i="16" s="1"/>
  <c r="K3140" i="16"/>
  <c r="K3032" i="16"/>
  <c r="F3032" i="16"/>
  <c r="O3032" i="16" s="1"/>
  <c r="K2708" i="16"/>
  <c r="F2708" i="16"/>
  <c r="O2708" i="16" s="1"/>
  <c r="F2654" i="16"/>
  <c r="O2654" i="16" s="1"/>
  <c r="K2654" i="16"/>
  <c r="F2600" i="16"/>
  <c r="O2600" i="16" s="1"/>
  <c r="K2600" i="16"/>
  <c r="F2546" i="16"/>
  <c r="O2546" i="16" s="1"/>
  <c r="K2546" i="16"/>
  <c r="F2438" i="16"/>
  <c r="O2438" i="16" s="1"/>
  <c r="K2438" i="16"/>
  <c r="F2384" i="16"/>
  <c r="O2384" i="16" s="1"/>
  <c r="K2384" i="16"/>
  <c r="F2168" i="16"/>
  <c r="O2168" i="16" s="1"/>
  <c r="K2168" i="16"/>
  <c r="F1952" i="16"/>
  <c r="O1952" i="16" s="1"/>
  <c r="K1952" i="16"/>
  <c r="K1898" i="16"/>
  <c r="F1898" i="16"/>
  <c r="O1898" i="16" s="1"/>
  <c r="K1736" i="16"/>
  <c r="F1736" i="16"/>
  <c r="O1736" i="16" s="1"/>
  <c r="K1682" i="16"/>
  <c r="F1682" i="16"/>
  <c r="O1682" i="16" s="1"/>
  <c r="F1628" i="16"/>
  <c r="O1628" i="16" s="1"/>
  <c r="K1628" i="16"/>
  <c r="F872" i="16"/>
  <c r="O872" i="16" s="1"/>
  <c r="K872" i="16"/>
  <c r="K656" i="16"/>
  <c r="F656" i="16"/>
  <c r="O656" i="16" s="1"/>
  <c r="K170" i="16"/>
  <c r="F170" i="16"/>
  <c r="O170" i="16" s="1"/>
  <c r="K3789" i="16" l="1"/>
  <c r="F3789" i="16"/>
  <c r="O3789" i="16" s="1"/>
  <c r="K3357" i="16"/>
  <c r="F3357" i="16"/>
  <c r="O3357" i="16" s="1"/>
  <c r="K2925" i="16"/>
  <c r="F2925" i="16"/>
  <c r="O2925" i="16" s="1"/>
  <c r="K2493" i="16"/>
  <c r="F2493" i="16"/>
  <c r="O2493" i="16" s="1"/>
  <c r="K1845" i="16"/>
  <c r="F1845" i="16"/>
  <c r="O1845" i="16" s="1"/>
  <c r="S4712" i="16"/>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M4605" i="16"/>
  <c r="D4605" i="16"/>
  <c r="J4605" i="16"/>
  <c r="N4605" i="16" s="1"/>
  <c r="P4605" i="16"/>
  <c r="Q4605" i="16"/>
  <c r="R4605" i="16"/>
  <c r="L4606" i="16"/>
  <c r="C4606" i="16"/>
  <c r="K4606" i="16" s="1"/>
  <c r="E4606" i="16"/>
  <c r="F4606" i="16"/>
  <c r="G4606" i="16"/>
  <c r="I4606" i="16"/>
  <c r="B4607" i="16"/>
  <c r="M4551" i="16"/>
  <c r="I4552" i="16"/>
  <c r="C4552" i="16"/>
  <c r="K4552" i="16" s="1"/>
  <c r="E4552" i="16"/>
  <c r="F4552" i="16"/>
  <c r="G4552" i="16"/>
  <c r="L4552" i="16"/>
  <c r="B4553" i="16"/>
  <c r="J4551" i="16"/>
  <c r="N4551" i="16" s="1"/>
  <c r="D4551" i="16"/>
  <c r="P4551" i="16"/>
  <c r="Q4551" i="16"/>
  <c r="R4551" i="16"/>
  <c r="D4251" i="16"/>
  <c r="J4251" i="16"/>
  <c r="P4251" i="16"/>
  <c r="Q4251" i="16"/>
  <c r="R4251" i="16"/>
  <c r="T4251" i="16"/>
  <c r="L4252" i="16"/>
  <c r="C4252" i="16"/>
  <c r="E4252" i="16"/>
  <c r="G4252" i="16"/>
  <c r="I4252" i="16"/>
  <c r="B4253" i="16"/>
  <c r="U4196" i="16"/>
  <c r="S4196" i="16"/>
  <c r="D4197" i="16"/>
  <c r="J4197" i="16"/>
  <c r="P4197" i="16"/>
  <c r="Q4197" i="16"/>
  <c r="R4197" i="16"/>
  <c r="T4197" i="16"/>
  <c r="C4198" i="16"/>
  <c r="F4198" i="16" s="1"/>
  <c r="O4198" i="16" s="1"/>
  <c r="E4198" i="16"/>
  <c r="G4198" i="16"/>
  <c r="I4198" i="16"/>
  <c r="K4198" i="16"/>
  <c r="L4198" i="16"/>
  <c r="B4199" i="16"/>
  <c r="U4142" i="16"/>
  <c r="S4142" i="16"/>
  <c r="E4144" i="16"/>
  <c r="G4144" i="16"/>
  <c r="B4145" i="16"/>
  <c r="C4144" i="16"/>
  <c r="K4144" i="16" s="1"/>
  <c r="F4144" i="16"/>
  <c r="O4144" i="16" s="1"/>
  <c r="I4144" i="16"/>
  <c r="L4144" i="16"/>
  <c r="D4143" i="16"/>
  <c r="J4143" i="16"/>
  <c r="Q4143" i="16"/>
  <c r="P4143" i="16"/>
  <c r="R4143" i="16"/>
  <c r="T4143" i="16"/>
  <c r="U4088" i="16"/>
  <c r="S4088" i="16"/>
  <c r="M4089" i="16"/>
  <c r="D4089" i="16"/>
  <c r="J4089" i="16"/>
  <c r="N4089" i="16" s="1"/>
  <c r="P4089" i="16"/>
  <c r="Q4089" i="16"/>
  <c r="R4089" i="16"/>
  <c r="T4089" i="16"/>
  <c r="L4090" i="16"/>
  <c r="C4090" i="16"/>
  <c r="K4090" i="16" s="1"/>
  <c r="E4090" i="16"/>
  <c r="F4090" i="16"/>
  <c r="O4090" i="16" s="1"/>
  <c r="G4090" i="16"/>
  <c r="I4090" i="16"/>
  <c r="B4091" i="16"/>
  <c r="M3789" i="16"/>
  <c r="D3789" i="16"/>
  <c r="J3789" i="16"/>
  <c r="N3789" i="16" s="1"/>
  <c r="P3789" i="16"/>
  <c r="Q3789" i="16"/>
  <c r="R3789" i="16"/>
  <c r="T3789" i="16"/>
  <c r="L3790" i="16"/>
  <c r="C3790" i="16"/>
  <c r="K3790" i="16" s="1"/>
  <c r="E3790" i="16"/>
  <c r="F3790" i="16"/>
  <c r="O3790" i="16" s="1"/>
  <c r="G3790" i="16"/>
  <c r="I3790" i="16"/>
  <c r="B3791" i="16"/>
  <c r="M3735" i="16"/>
  <c r="D3735" i="16"/>
  <c r="J3735" i="16"/>
  <c r="N3735" i="16" s="1"/>
  <c r="P3735" i="16"/>
  <c r="Q3735" i="16"/>
  <c r="R3735" i="16"/>
  <c r="T3735" i="16"/>
  <c r="L3736" i="16"/>
  <c r="C3736" i="16"/>
  <c r="E3736" i="16"/>
  <c r="G3736" i="16"/>
  <c r="I3736" i="16"/>
  <c r="B3737" i="16"/>
  <c r="S3680" i="16"/>
  <c r="U3680" i="16"/>
  <c r="D3681" i="16"/>
  <c r="J3681" i="16"/>
  <c r="P3681" i="16"/>
  <c r="Q3681" i="16"/>
  <c r="R3681" i="16"/>
  <c r="T3681" i="16"/>
  <c r="L3682" i="16"/>
  <c r="E3682" i="16"/>
  <c r="G3682" i="16"/>
  <c r="I3682" i="16"/>
  <c r="B3683" i="16"/>
  <c r="C3682" i="16"/>
  <c r="K3682" i="16" s="1"/>
  <c r="F3682" i="16"/>
  <c r="O3682" i="16" s="1"/>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D3519" i="16"/>
  <c r="J3519" i="16"/>
  <c r="P3519" i="16"/>
  <c r="Q3519" i="16"/>
  <c r="R3519" i="16"/>
  <c r="T3519" i="16"/>
  <c r="L3520" i="16"/>
  <c r="C3520" i="16"/>
  <c r="K3520" i="16" s="1"/>
  <c r="E3520" i="16"/>
  <c r="F3520" i="16"/>
  <c r="O3520" i="16" s="1"/>
  <c r="G3520" i="16"/>
  <c r="I3520" i="16"/>
  <c r="B3521" i="16"/>
  <c r="D3465" i="16"/>
  <c r="J3465" i="16"/>
  <c r="P3465" i="16"/>
  <c r="Q3465" i="16"/>
  <c r="R3465" i="16"/>
  <c r="T3465" i="16"/>
  <c r="L3466" i="16"/>
  <c r="C3466" i="16"/>
  <c r="K3466" i="16" s="1"/>
  <c r="E3466" i="16"/>
  <c r="F3466" i="16"/>
  <c r="O3466" i="16" s="1"/>
  <c r="G3466" i="16"/>
  <c r="I3466" i="16"/>
  <c r="B3467"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D3303" i="16"/>
  <c r="J3303" i="16"/>
  <c r="P3303" i="16"/>
  <c r="Q3303" i="16"/>
  <c r="R3303" i="16"/>
  <c r="T3303" i="16"/>
  <c r="L3304" i="16"/>
  <c r="C3304" i="16"/>
  <c r="K3304" i="16" s="1"/>
  <c r="E3304" i="16"/>
  <c r="F3304" i="16"/>
  <c r="O3304" i="16" s="1"/>
  <c r="G3304" i="16"/>
  <c r="I3304" i="16"/>
  <c r="B3305" i="16"/>
  <c r="S3248" i="16"/>
  <c r="U3248" i="16"/>
  <c r="M3249" i="16"/>
  <c r="D3249" i="16"/>
  <c r="J3249" i="16"/>
  <c r="N3249" i="16" s="1"/>
  <c r="P3249" i="16"/>
  <c r="Q3249" i="16"/>
  <c r="R3249" i="16"/>
  <c r="T3249" i="16"/>
  <c r="L3250" i="16"/>
  <c r="C3250" i="16"/>
  <c r="E3250" i="16"/>
  <c r="G3250" i="16"/>
  <c r="I3250" i="16"/>
  <c r="B3251" i="16"/>
  <c r="U3194" i="16"/>
  <c r="S3194" i="16"/>
  <c r="M3195" i="16"/>
  <c r="D3195" i="16"/>
  <c r="J3195" i="16"/>
  <c r="N3195" i="16" s="1"/>
  <c r="P3195" i="16"/>
  <c r="Q3195" i="16"/>
  <c r="R3195" i="16"/>
  <c r="T3195" i="16"/>
  <c r="L3196" i="16"/>
  <c r="C3196" i="16"/>
  <c r="K3196" i="16" s="1"/>
  <c r="E3196" i="16"/>
  <c r="F3196" i="16"/>
  <c r="O3196" i="16" s="1"/>
  <c r="G3196" i="16"/>
  <c r="I3196" i="16"/>
  <c r="B3197" i="16"/>
  <c r="M3141" i="16"/>
  <c r="D3141" i="16"/>
  <c r="J3141" i="16"/>
  <c r="N3141" i="16" s="1"/>
  <c r="P3141" i="16"/>
  <c r="Q3141" i="16"/>
  <c r="R3141" i="16"/>
  <c r="T3141" i="16"/>
  <c r="L3142" i="16"/>
  <c r="C3142" i="16"/>
  <c r="E3142" i="16"/>
  <c r="G3142" i="16"/>
  <c r="I3142" i="16"/>
  <c r="B3143" i="16"/>
  <c r="U3086" i="16"/>
  <c r="S3086" i="16"/>
  <c r="M3087" i="16"/>
  <c r="D3087" i="16"/>
  <c r="J3087" i="16"/>
  <c r="N3087" i="16" s="1"/>
  <c r="L3088" i="16"/>
  <c r="C3088" i="16"/>
  <c r="K3088" i="16" s="1"/>
  <c r="E3088" i="16"/>
  <c r="F3088" i="16"/>
  <c r="O3088" i="16" s="1"/>
  <c r="G3088" i="16"/>
  <c r="I3088" i="16"/>
  <c r="B3089" i="16"/>
  <c r="P3087" i="16"/>
  <c r="Q3087" i="16"/>
  <c r="R3087" i="16"/>
  <c r="T3087" i="16"/>
  <c r="D3033" i="16"/>
  <c r="J3033" i="16"/>
  <c r="P3033" i="16"/>
  <c r="Q3033" i="16"/>
  <c r="R3033" i="16"/>
  <c r="T3033" i="16"/>
  <c r="L3034" i="16"/>
  <c r="B3035" i="16"/>
  <c r="C3034" i="16"/>
  <c r="E3034" i="16"/>
  <c r="G3034" i="16"/>
  <c r="I3034" i="16"/>
  <c r="U2978" i="16"/>
  <c r="S2978" i="16"/>
  <c r="D2979" i="16"/>
  <c r="J2979" i="16"/>
  <c r="P2979" i="16"/>
  <c r="Q2979" i="16"/>
  <c r="R2979" i="16"/>
  <c r="T2979" i="16"/>
  <c r="L2980" i="16"/>
  <c r="C2980" i="16"/>
  <c r="K2980" i="16" s="1"/>
  <c r="E2980" i="16"/>
  <c r="F2980" i="16"/>
  <c r="O2980" i="16" s="1"/>
  <c r="G2980" i="16"/>
  <c r="I2980" i="16"/>
  <c r="B2981" i="16"/>
  <c r="U2924" i="16"/>
  <c r="S2924" i="16"/>
  <c r="M2925" i="16"/>
  <c r="D2925" i="16"/>
  <c r="J2925" i="16"/>
  <c r="N2925" i="16" s="1"/>
  <c r="P2925" i="16"/>
  <c r="Q2925" i="16"/>
  <c r="R2925" i="16"/>
  <c r="T2925" i="16"/>
  <c r="L2926" i="16"/>
  <c r="C2926" i="16"/>
  <c r="K2926" i="16" s="1"/>
  <c r="E2926" i="16"/>
  <c r="F2926" i="16"/>
  <c r="O2926" i="16" s="1"/>
  <c r="G2926" i="16"/>
  <c r="I2926" i="16"/>
  <c r="B2927" i="16"/>
  <c r="U2870" i="16"/>
  <c r="S2870" i="16"/>
  <c r="M2871" i="16"/>
  <c r="D2871" i="16"/>
  <c r="J2871" i="16"/>
  <c r="N2871" i="16" s="1"/>
  <c r="P2871" i="16"/>
  <c r="Q2871" i="16"/>
  <c r="R2871" i="16"/>
  <c r="T2871" i="16"/>
  <c r="L2872" i="16"/>
  <c r="C2872" i="16"/>
  <c r="E2872" i="16"/>
  <c r="G2872" i="16"/>
  <c r="I2872" i="16"/>
  <c r="B2873" i="16"/>
  <c r="L2818" i="16"/>
  <c r="I2818" i="16"/>
  <c r="C2818" i="16"/>
  <c r="E2818" i="16"/>
  <c r="G2818" i="16"/>
  <c r="B2819" i="16"/>
  <c r="J2817" i="16"/>
  <c r="D2817" i="16"/>
  <c r="P2817" i="16"/>
  <c r="Q2817" i="16"/>
  <c r="R2817" i="16"/>
  <c r="T2817" i="16"/>
  <c r="U2817" i="16" s="1"/>
  <c r="U2762" i="16"/>
  <c r="S2762" i="16"/>
  <c r="D2763" i="16"/>
  <c r="J2763" i="16"/>
  <c r="P2763" i="16"/>
  <c r="Q2763" i="16"/>
  <c r="R2763" i="16"/>
  <c r="T2763" i="16"/>
  <c r="L2764" i="16"/>
  <c r="C2764" i="16"/>
  <c r="K2764" i="16" s="1"/>
  <c r="E2764" i="16"/>
  <c r="F2764" i="16"/>
  <c r="O2764" i="16" s="1"/>
  <c r="G2764" i="16"/>
  <c r="I2764" i="16"/>
  <c r="B2765" i="16"/>
  <c r="P2709" i="16"/>
  <c r="Q2709" i="16"/>
  <c r="R2709" i="16"/>
  <c r="T2709" i="16"/>
  <c r="D2709" i="16"/>
  <c r="J2709" i="16"/>
  <c r="L2710" i="16"/>
  <c r="I2710" i="16"/>
  <c r="B2711" i="16"/>
  <c r="C2710" i="16"/>
  <c r="E2710" i="16"/>
  <c r="G2710" i="16"/>
  <c r="P2655" i="16"/>
  <c r="Q2655" i="16"/>
  <c r="R2655" i="16"/>
  <c r="T2655" i="16"/>
  <c r="L2656" i="16"/>
  <c r="B2657" i="16"/>
  <c r="C2656" i="16"/>
  <c r="K2656" i="16" s="1"/>
  <c r="I2656" i="16"/>
  <c r="F2656" i="16"/>
  <c r="O2656" i="16" s="1"/>
  <c r="E2656" i="16"/>
  <c r="G2656" i="16"/>
  <c r="D2655" i="16"/>
  <c r="J2655" i="16"/>
  <c r="L2602" i="16"/>
  <c r="B2603" i="16"/>
  <c r="I2602" i="16"/>
  <c r="C2602" i="16"/>
  <c r="E2602" i="16"/>
  <c r="G2602" i="16"/>
  <c r="D2601" i="16"/>
  <c r="J2601" i="16"/>
  <c r="P2601" i="16"/>
  <c r="Q2601" i="16"/>
  <c r="R2601" i="16"/>
  <c r="T2601" i="16"/>
  <c r="M2547" i="16"/>
  <c r="D2547" i="16"/>
  <c r="J2547" i="16"/>
  <c r="N2547" i="16" s="1"/>
  <c r="P2547" i="16"/>
  <c r="Q2547" i="16"/>
  <c r="R2547" i="16"/>
  <c r="T2547" i="16"/>
  <c r="L2548" i="16"/>
  <c r="C2548" i="16"/>
  <c r="E2548" i="16"/>
  <c r="I2548" i="16"/>
  <c r="G2548" i="16"/>
  <c r="B2549" i="16"/>
  <c r="U2492" i="16"/>
  <c r="S2492" i="16"/>
  <c r="M2493" i="16"/>
  <c r="D2493" i="16"/>
  <c r="J2493" i="16"/>
  <c r="N2493" i="16" s="1"/>
  <c r="P2493" i="16"/>
  <c r="Q2493" i="16"/>
  <c r="R2493" i="16"/>
  <c r="T2493" i="16"/>
  <c r="L2494" i="16"/>
  <c r="C2494" i="16"/>
  <c r="K2494" i="16" s="1"/>
  <c r="E2494" i="16"/>
  <c r="F2494" i="16"/>
  <c r="O2494" i="16" s="1"/>
  <c r="G2494" i="16"/>
  <c r="I2494" i="16"/>
  <c r="B2495" i="16"/>
  <c r="D2439" i="16"/>
  <c r="J2439" i="16"/>
  <c r="P2439" i="16"/>
  <c r="Q2439" i="16"/>
  <c r="R2439" i="16"/>
  <c r="T2439" i="16"/>
  <c r="L2440" i="16"/>
  <c r="C2440" i="16"/>
  <c r="E2440" i="16"/>
  <c r="G2440" i="16"/>
  <c r="I2440" i="16"/>
  <c r="B2441" i="16"/>
  <c r="D2385" i="16"/>
  <c r="J2385" i="16"/>
  <c r="P2385" i="16"/>
  <c r="Q2385" i="16"/>
  <c r="R2385" i="16"/>
  <c r="T2385" i="16"/>
  <c r="L2386" i="16"/>
  <c r="C2386" i="16"/>
  <c r="K2386" i="16" s="1"/>
  <c r="E2386" i="16"/>
  <c r="F2386" i="16"/>
  <c r="O2386" i="16" s="1"/>
  <c r="G2386" i="16"/>
  <c r="I2386" i="16"/>
  <c r="B2387" i="16"/>
  <c r="U2330" i="16"/>
  <c r="S2330" i="16"/>
  <c r="M2331" i="16"/>
  <c r="L2332" i="16"/>
  <c r="G2332" i="16"/>
  <c r="B2333" i="16"/>
  <c r="E2332" i="16"/>
  <c r="I2332" i="16"/>
  <c r="C2332" i="16"/>
  <c r="J2331" i="16"/>
  <c r="N2331" i="16" s="1"/>
  <c r="D2331" i="16"/>
  <c r="P2331" i="16"/>
  <c r="Q2331" i="16"/>
  <c r="R2331" i="16"/>
  <c r="T2331" i="16"/>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E2224" i="16"/>
  <c r="G2224" i="16"/>
  <c r="I2224" i="16"/>
  <c r="B2225" i="16"/>
  <c r="D2169" i="16"/>
  <c r="J2169" i="16"/>
  <c r="P2169" i="16"/>
  <c r="Q2169" i="16"/>
  <c r="R2169" i="16"/>
  <c r="T2169" i="16"/>
  <c r="L2170" i="16"/>
  <c r="C2170" i="16"/>
  <c r="K2170" i="16" s="1"/>
  <c r="E2170" i="16"/>
  <c r="F2170" i="16"/>
  <c r="O2170" i="16" s="1"/>
  <c r="G2170" i="16"/>
  <c r="I2170" i="16"/>
  <c r="B2171" i="16"/>
  <c r="S2114" i="16"/>
  <c r="U2114" i="16"/>
  <c r="M2115" i="16"/>
  <c r="D2115" i="16"/>
  <c r="J2115" i="16"/>
  <c r="N2115" i="16" s="1"/>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E2062" i="16"/>
  <c r="G2062" i="16"/>
  <c r="I2062" i="16"/>
  <c r="B2063" i="16"/>
  <c r="U2006" i="16"/>
  <c r="S2006" i="16"/>
  <c r="M2007" i="16"/>
  <c r="D2007" i="16"/>
  <c r="J2007" i="16"/>
  <c r="N2007" i="16" s="1"/>
  <c r="P2007" i="16"/>
  <c r="Q2007" i="16"/>
  <c r="R2007" i="16"/>
  <c r="T2007" i="16"/>
  <c r="L2008" i="16"/>
  <c r="C2008" i="16"/>
  <c r="E2008" i="16"/>
  <c r="G2008" i="16"/>
  <c r="I2008" i="16"/>
  <c r="B2009" i="16"/>
  <c r="M1953" i="16"/>
  <c r="D1953" i="16"/>
  <c r="J1953" i="16"/>
  <c r="N1953" i="16" s="1"/>
  <c r="P1953" i="16"/>
  <c r="Q1953" i="16"/>
  <c r="R1953" i="16"/>
  <c r="T1953" i="16"/>
  <c r="L1954" i="16"/>
  <c r="C1954" i="16"/>
  <c r="E1954" i="16"/>
  <c r="G1954" i="16"/>
  <c r="I1954" i="16"/>
  <c r="B1955" i="16"/>
  <c r="D1899" i="16"/>
  <c r="J1899" i="16"/>
  <c r="P1899" i="16"/>
  <c r="Q1899" i="16"/>
  <c r="R1899" i="16"/>
  <c r="T1899" i="16"/>
  <c r="L1900" i="16"/>
  <c r="C1900" i="16"/>
  <c r="K1900" i="16" s="1"/>
  <c r="E1900" i="16"/>
  <c r="F1900" i="16"/>
  <c r="O1900" i="16" s="1"/>
  <c r="G1900" i="16"/>
  <c r="I1900" i="16"/>
  <c r="B1901" i="16"/>
  <c r="U1844" i="16"/>
  <c r="S1844" i="16"/>
  <c r="M1845" i="16"/>
  <c r="D1845" i="16"/>
  <c r="J1845" i="16"/>
  <c r="N1845" i="16" s="1"/>
  <c r="P1845" i="16"/>
  <c r="Q1845" i="16"/>
  <c r="R1845" i="16"/>
  <c r="T1845" i="16"/>
  <c r="L1846" i="16"/>
  <c r="C1846" i="16"/>
  <c r="K1846" i="16" s="1"/>
  <c r="E1846" i="16"/>
  <c r="F1846" i="16"/>
  <c r="O1846" i="16" s="1"/>
  <c r="G1846" i="16"/>
  <c r="I1846" i="16"/>
  <c r="B1847" i="16"/>
  <c r="U1790" i="16"/>
  <c r="S1790" i="16"/>
  <c r="M1791" i="16"/>
  <c r="D1791" i="16"/>
  <c r="J1791" i="16"/>
  <c r="N1791" i="16" s="1"/>
  <c r="P1791" i="16"/>
  <c r="Q1791" i="16"/>
  <c r="R1791" i="16"/>
  <c r="T1791" i="16"/>
  <c r="L1792" i="16"/>
  <c r="C1792" i="16"/>
  <c r="E1792" i="16"/>
  <c r="G1792" i="16"/>
  <c r="I1792" i="16"/>
  <c r="B1793" i="16"/>
  <c r="M1737" i="16"/>
  <c r="D1737" i="16"/>
  <c r="J1737" i="16"/>
  <c r="N1737" i="16" s="1"/>
  <c r="P1737" i="16"/>
  <c r="Q1737" i="16"/>
  <c r="R1737" i="16"/>
  <c r="T1737" i="16"/>
  <c r="L1738" i="16"/>
  <c r="C1738" i="16"/>
  <c r="K1738" i="16" s="1"/>
  <c r="E1738" i="16"/>
  <c r="F1738" i="16"/>
  <c r="O1738" i="16" s="1"/>
  <c r="G1738" i="16"/>
  <c r="I1738" i="16"/>
  <c r="B1739" i="16"/>
  <c r="D1683" i="16"/>
  <c r="J1683" i="16"/>
  <c r="P1683" i="16"/>
  <c r="Q1683" i="16"/>
  <c r="R1683" i="16"/>
  <c r="T1683" i="16"/>
  <c r="L1684" i="16"/>
  <c r="C1684" i="16"/>
  <c r="K1684" i="16" s="1"/>
  <c r="E1684" i="16"/>
  <c r="F1684" i="16"/>
  <c r="O1684" i="16" s="1"/>
  <c r="G1684" i="16"/>
  <c r="I1684" i="16"/>
  <c r="B1685" i="16"/>
  <c r="D1629" i="16"/>
  <c r="J1629" i="16"/>
  <c r="P1629" i="16"/>
  <c r="Q1629" i="16"/>
  <c r="R1629" i="16"/>
  <c r="T1629" i="16"/>
  <c r="L1630" i="16"/>
  <c r="C1630" i="16"/>
  <c r="K1630" i="16" s="1"/>
  <c r="E1630" i="16"/>
  <c r="F1630" i="16"/>
  <c r="O1630" i="16" s="1"/>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S1466" i="16"/>
  <c r="U1466" i="16"/>
  <c r="P1467" i="16"/>
  <c r="Q1467" i="16"/>
  <c r="R1467" i="16"/>
  <c r="T1467" i="16"/>
  <c r="L1468" i="16"/>
  <c r="E1468" i="16"/>
  <c r="C1468" i="16"/>
  <c r="G1468" i="16"/>
  <c r="B1469" i="16"/>
  <c r="I1468" i="16"/>
  <c r="D1467" i="16"/>
  <c r="J1467" i="16"/>
  <c r="U1412" i="16"/>
  <c r="S1412" i="16"/>
  <c r="L1414" i="16"/>
  <c r="B1415" i="16"/>
  <c r="G1414" i="16"/>
  <c r="E1414" i="16"/>
  <c r="C1414" i="16"/>
  <c r="I1414" i="16"/>
  <c r="D1413" i="16"/>
  <c r="J1413" i="16"/>
  <c r="P1413" i="16"/>
  <c r="Q1413" i="16"/>
  <c r="R1413" i="16"/>
  <c r="T1413" i="16"/>
  <c r="U1358" i="16"/>
  <c r="S1358" i="16"/>
  <c r="L1360" i="16"/>
  <c r="G1360" i="16"/>
  <c r="C1360" i="16"/>
  <c r="K1360" i="16" s="1"/>
  <c r="B1361" i="16"/>
  <c r="E1360" i="16"/>
  <c r="F1360" i="16"/>
  <c r="O1360" i="16" s="1"/>
  <c r="I1360" i="16"/>
  <c r="D1359" i="16"/>
  <c r="J1359" i="16"/>
  <c r="P1359" i="16"/>
  <c r="Q1359" i="16"/>
  <c r="R1359" i="16"/>
  <c r="T1359" i="16"/>
  <c r="U1304" i="16"/>
  <c r="S1304" i="16"/>
  <c r="L1306" i="16"/>
  <c r="C1306" i="16"/>
  <c r="B1307" i="16"/>
  <c r="G1306" i="16"/>
  <c r="E1306" i="16"/>
  <c r="I1306" i="16"/>
  <c r="J1305" i="16"/>
  <c r="D1305" i="16"/>
  <c r="P1305" i="16"/>
  <c r="Q1305" i="16"/>
  <c r="R1305" i="16"/>
  <c r="T1305" i="16"/>
  <c r="U1250" i="16"/>
  <c r="S1250" i="16"/>
  <c r="P1251" i="16"/>
  <c r="Q1251" i="16"/>
  <c r="R1251" i="16"/>
  <c r="T1251" i="16"/>
  <c r="L1252" i="16"/>
  <c r="C1252" i="16"/>
  <c r="G1252" i="16"/>
  <c r="E1252" i="16"/>
  <c r="B1253" i="16"/>
  <c r="I1252" i="16"/>
  <c r="D1251" i="16"/>
  <c r="J1251" i="16"/>
  <c r="N1251" i="16" s="1"/>
  <c r="M1251" i="16"/>
  <c r="U1196" i="16"/>
  <c r="S1196" i="16"/>
  <c r="D1197" i="16"/>
  <c r="J1197" i="16"/>
  <c r="P1197" i="16"/>
  <c r="Q1197" i="16"/>
  <c r="R1197" i="16"/>
  <c r="T1197" i="16"/>
  <c r="L1198" i="16"/>
  <c r="C1198" i="16"/>
  <c r="K1198" i="16" s="1"/>
  <c r="E1198" i="16"/>
  <c r="F1198" i="16"/>
  <c r="O1198" i="16" s="1"/>
  <c r="G1198" i="16"/>
  <c r="I1198" i="16"/>
  <c r="B1199" i="16"/>
  <c r="U1142" i="16"/>
  <c r="S1142" i="16"/>
  <c r="D1143" i="16"/>
  <c r="J1143" i="16"/>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K1090" i="16" s="1"/>
  <c r="E1090" i="16"/>
  <c r="F1090" i="16"/>
  <c r="O1090" i="16" s="1"/>
  <c r="G1090" i="16"/>
  <c r="I1090" i="16"/>
  <c r="B1091" i="16"/>
  <c r="U1034" i="16"/>
  <c r="S1034" i="16"/>
  <c r="M1035" i="16"/>
  <c r="D1035" i="16"/>
  <c r="J1035" i="16"/>
  <c r="N1035" i="16" s="1"/>
  <c r="P1035" i="16"/>
  <c r="Q1035" i="16"/>
  <c r="R1035" i="16"/>
  <c r="T1035" i="16"/>
  <c r="L1036" i="16"/>
  <c r="C1036" i="16"/>
  <c r="K1036" i="16" s="1"/>
  <c r="E1036" i="16"/>
  <c r="F1036" i="16"/>
  <c r="O1036" i="16" s="1"/>
  <c r="G1036" i="16"/>
  <c r="I1036" i="16"/>
  <c r="B1037" i="16"/>
  <c r="U980" i="16"/>
  <c r="S980" i="16"/>
  <c r="D981" i="16"/>
  <c r="J981" i="16"/>
  <c r="P981" i="16"/>
  <c r="Q981" i="16"/>
  <c r="R981" i="16"/>
  <c r="T981" i="16"/>
  <c r="L982" i="16"/>
  <c r="C982" i="16"/>
  <c r="E982" i="16"/>
  <c r="G982" i="16"/>
  <c r="I982" i="16"/>
  <c r="B983" i="16"/>
  <c r="U926" i="16"/>
  <c r="S926" i="16"/>
  <c r="D927" i="16"/>
  <c r="J927" i="16"/>
  <c r="P927" i="16"/>
  <c r="Q927" i="16"/>
  <c r="R927" i="16"/>
  <c r="T927" i="16"/>
  <c r="L928" i="16"/>
  <c r="C928" i="16"/>
  <c r="K928" i="16" s="1"/>
  <c r="E928" i="16"/>
  <c r="F928" i="16"/>
  <c r="O928" i="16" s="1"/>
  <c r="G928" i="16"/>
  <c r="I928" i="16"/>
  <c r="B929" i="16"/>
  <c r="D873" i="16"/>
  <c r="J873" i="16"/>
  <c r="P873" i="16"/>
  <c r="Q873" i="16"/>
  <c r="R873" i="16"/>
  <c r="T873" i="16"/>
  <c r="L874" i="16"/>
  <c r="C874" i="16"/>
  <c r="K874" i="16" s="1"/>
  <c r="E874" i="16"/>
  <c r="F874" i="16"/>
  <c r="O874" i="16" s="1"/>
  <c r="G874" i="16"/>
  <c r="I874" i="16"/>
  <c r="B875" i="16"/>
  <c r="U818" i="16"/>
  <c r="S818" i="16"/>
  <c r="M819" i="16"/>
  <c r="D819" i="16"/>
  <c r="J819" i="16"/>
  <c r="N819" i="16" s="1"/>
  <c r="P819" i="16"/>
  <c r="Q819" i="16"/>
  <c r="R819" i="16"/>
  <c r="T819" i="16"/>
  <c r="L820" i="16"/>
  <c r="C820" i="16"/>
  <c r="K820" i="16" s="1"/>
  <c r="E820" i="16"/>
  <c r="F820" i="16"/>
  <c r="O820" i="16" s="1"/>
  <c r="G820" i="16"/>
  <c r="I820" i="16"/>
  <c r="B821" i="16"/>
  <c r="U764" i="16"/>
  <c r="S764" i="16"/>
  <c r="M765" i="16"/>
  <c r="D765" i="16"/>
  <c r="J765" i="16"/>
  <c r="N765" i="16" s="1"/>
  <c r="P765" i="16"/>
  <c r="Q765" i="16"/>
  <c r="R765" i="16"/>
  <c r="T765" i="16"/>
  <c r="L766" i="16"/>
  <c r="C766" i="16"/>
  <c r="E766" i="16"/>
  <c r="G766" i="16"/>
  <c r="I766" i="16"/>
  <c r="B767" i="16"/>
  <c r="U710" i="16"/>
  <c r="S710" i="16"/>
  <c r="M711" i="16"/>
  <c r="D711" i="16"/>
  <c r="J711" i="16"/>
  <c r="N711" i="16" s="1"/>
  <c r="P711" i="16"/>
  <c r="Q711" i="16"/>
  <c r="R711" i="16"/>
  <c r="T711" i="16"/>
  <c r="L712" i="16"/>
  <c r="C712" i="16"/>
  <c r="E712" i="16"/>
  <c r="G712" i="16"/>
  <c r="I712" i="16"/>
  <c r="B713" i="16"/>
  <c r="D657" i="16"/>
  <c r="J657" i="16"/>
  <c r="P657" i="16"/>
  <c r="Q657" i="16"/>
  <c r="R657" i="16"/>
  <c r="T657" i="16"/>
  <c r="L658" i="16"/>
  <c r="C658" i="16"/>
  <c r="K658" i="16" s="1"/>
  <c r="E658" i="16"/>
  <c r="F658" i="16"/>
  <c r="O658" i="16" s="1"/>
  <c r="G658" i="16"/>
  <c r="I658" i="16"/>
  <c r="B659" i="16"/>
  <c r="U602" i="16"/>
  <c r="S602" i="16"/>
  <c r="M603" i="16"/>
  <c r="D603" i="16"/>
  <c r="J603" i="16"/>
  <c r="N603" i="16" s="1"/>
  <c r="P603" i="16"/>
  <c r="Q603" i="16"/>
  <c r="R603" i="16"/>
  <c r="T603" i="16"/>
  <c r="L604" i="16"/>
  <c r="C604" i="16"/>
  <c r="K604" i="16" s="1"/>
  <c r="E604" i="16"/>
  <c r="F604" i="16"/>
  <c r="O604" i="16" s="1"/>
  <c r="G604" i="16"/>
  <c r="I604" i="16"/>
  <c r="B605" i="16"/>
  <c r="S548" i="16"/>
  <c r="U548" i="16"/>
  <c r="P549" i="16"/>
  <c r="Q549" i="16"/>
  <c r="R549" i="16"/>
  <c r="T549" i="16"/>
  <c r="D549" i="16"/>
  <c r="J549" i="16"/>
  <c r="L550" i="16"/>
  <c r="E550" i="16"/>
  <c r="C550" i="16"/>
  <c r="K550" i="16" s="1"/>
  <c r="F550" i="16"/>
  <c r="O550" i="16" s="1"/>
  <c r="G550" i="16"/>
  <c r="I550" i="16"/>
  <c r="B551" i="16"/>
  <c r="U494" i="16"/>
  <c r="S494" i="16"/>
  <c r="M495" i="16"/>
  <c r="D495" i="16"/>
  <c r="J495" i="16"/>
  <c r="N495" i="16" s="1"/>
  <c r="P495" i="16"/>
  <c r="Q495" i="16"/>
  <c r="R495" i="16"/>
  <c r="T495" i="16"/>
  <c r="L496" i="16"/>
  <c r="C496" i="16"/>
  <c r="K496" i="16" s="1"/>
  <c r="E496" i="16"/>
  <c r="F496" i="16"/>
  <c r="O496" i="16" s="1"/>
  <c r="G496" i="16"/>
  <c r="I496" i="16"/>
  <c r="B497" i="16"/>
  <c r="U440" i="16"/>
  <c r="S440" i="16"/>
  <c r="M441" i="16"/>
  <c r="D441" i="16"/>
  <c r="J441" i="16"/>
  <c r="N441" i="16" s="1"/>
  <c r="P441" i="16"/>
  <c r="Q441" i="16"/>
  <c r="R441" i="16"/>
  <c r="T441" i="16"/>
  <c r="L442" i="16"/>
  <c r="C442" i="16"/>
  <c r="E442" i="16"/>
  <c r="G442" i="16"/>
  <c r="I442" i="16"/>
  <c r="B443" i="16"/>
  <c r="U386" i="16"/>
  <c r="S386" i="16"/>
  <c r="D387" i="16"/>
  <c r="J387" i="16"/>
  <c r="P387" i="16"/>
  <c r="Q387" i="16"/>
  <c r="R387" i="16"/>
  <c r="T387" i="16"/>
  <c r="L388" i="16"/>
  <c r="C388" i="16"/>
  <c r="K388" i="16" s="1"/>
  <c r="E388" i="16"/>
  <c r="F388" i="16"/>
  <c r="O388" i="16" s="1"/>
  <c r="G388" i="16"/>
  <c r="I388" i="16"/>
  <c r="B389" i="16"/>
  <c r="S332" i="16"/>
  <c r="U332" i="16"/>
  <c r="M333" i="16"/>
  <c r="D333" i="16"/>
  <c r="J333" i="16"/>
  <c r="N333" i="16" s="1"/>
  <c r="P333" i="16"/>
  <c r="Q333" i="16"/>
  <c r="R333" i="16"/>
  <c r="T333" i="16"/>
  <c r="L334" i="16"/>
  <c r="C334" i="16"/>
  <c r="E334" i="16"/>
  <c r="G334" i="16"/>
  <c r="I334" i="16"/>
  <c r="B335" i="16"/>
  <c r="U278" i="16"/>
  <c r="S278" i="16"/>
  <c r="M279" i="16"/>
  <c r="D279" i="16"/>
  <c r="J279" i="16"/>
  <c r="N279" i="16" s="1"/>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E226" i="16"/>
  <c r="G226" i="16"/>
  <c r="I226" i="16"/>
  <c r="B227" i="16"/>
  <c r="J171" i="16"/>
  <c r="D171" i="16"/>
  <c r="P171" i="16"/>
  <c r="Q171" i="16"/>
  <c r="R171" i="16"/>
  <c r="T171" i="16"/>
  <c r="L172" i="16"/>
  <c r="G172" i="16"/>
  <c r="B173" i="16"/>
  <c r="I172" i="16"/>
  <c r="C172" i="16"/>
  <c r="E172" i="16"/>
  <c r="S116" i="16"/>
  <c r="U116" i="16"/>
  <c r="M117" i="16"/>
  <c r="P117" i="16"/>
  <c r="Q117" i="16"/>
  <c r="R117" i="16"/>
  <c r="T117" i="16"/>
  <c r="J117" i="16"/>
  <c r="N117" i="16" s="1"/>
  <c r="D117" i="16"/>
  <c r="L118" i="16"/>
  <c r="B119" i="16"/>
  <c r="I118" i="16"/>
  <c r="C118" i="16"/>
  <c r="E118" i="16"/>
  <c r="G118" i="16"/>
  <c r="U54" i="4"/>
  <c r="S54" i="4"/>
  <c r="F54" i="5"/>
  <c r="G54" i="5"/>
  <c r="H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T55" i="4"/>
  <c r="V55" i="4"/>
  <c r="BF55" i="4"/>
  <c r="L56" i="4"/>
  <c r="C56" i="4"/>
  <c r="K56" i="4" s="1"/>
  <c r="E56" i="4"/>
  <c r="F56" i="4"/>
  <c r="C56" i="5" s="1"/>
  <c r="E56" i="5" s="1"/>
  <c r="G56" i="4"/>
  <c r="I56" i="4"/>
  <c r="B57" i="4"/>
  <c r="B56" i="5"/>
  <c r="U4141" i="16"/>
  <c r="S4141" i="16"/>
  <c r="U3517" i="16"/>
  <c r="S3517" i="16"/>
  <c r="U3301" i="16"/>
  <c r="S3301" i="16"/>
  <c r="U3031" i="16"/>
  <c r="S3031" i="16"/>
  <c r="U2761" i="16"/>
  <c r="S2761" i="16"/>
  <c r="U2707" i="16"/>
  <c r="S2707" i="16"/>
  <c r="S2545" i="16"/>
  <c r="U2545" i="16"/>
  <c r="U2491" i="16"/>
  <c r="S2491" i="16"/>
  <c r="S2329" i="16"/>
  <c r="U2329" i="16"/>
  <c r="U2275" i="16"/>
  <c r="S2275" i="16"/>
  <c r="S2113" i="16"/>
  <c r="U2113" i="16"/>
  <c r="U1789" i="16"/>
  <c r="S1789" i="16"/>
  <c r="U1573" i="16"/>
  <c r="S1573" i="16"/>
  <c r="U1519" i="16"/>
  <c r="S1519" i="16"/>
  <c r="U1465" i="16"/>
  <c r="S1465" i="16"/>
  <c r="U1303" i="16"/>
  <c r="S1303" i="16"/>
  <c r="U1249" i="16"/>
  <c r="S1249" i="16"/>
  <c r="U1033" i="16"/>
  <c r="S1033" i="16"/>
  <c r="U817" i="16"/>
  <c r="S817" i="16"/>
  <c r="U547" i="16"/>
  <c r="S547" i="16"/>
  <c r="U169" i="16"/>
  <c r="S169" i="16"/>
  <c r="M4604" i="16"/>
  <c r="N4604" i="16"/>
  <c r="M4250" i="16"/>
  <c r="N4250" i="16"/>
  <c r="M3788" i="16"/>
  <c r="N3788" i="16"/>
  <c r="M3734" i="16"/>
  <c r="N3734" i="16"/>
  <c r="M3518" i="16"/>
  <c r="N3518" i="16"/>
  <c r="M3464" i="16"/>
  <c r="N3464" i="16"/>
  <c r="M3410" i="16"/>
  <c r="N3410" i="16"/>
  <c r="M3140" i="16"/>
  <c r="N3140" i="16"/>
  <c r="M3032" i="16"/>
  <c r="N3032" i="16"/>
  <c r="M2708" i="16"/>
  <c r="N2708" i="16"/>
  <c r="N2654" i="16"/>
  <c r="M2654" i="16"/>
  <c r="N2600" i="16"/>
  <c r="M2600" i="16"/>
  <c r="N2546" i="16"/>
  <c r="M2546" i="16"/>
  <c r="M2438" i="16"/>
  <c r="N2438" i="16"/>
  <c r="M2384" i="16"/>
  <c r="N2384" i="16"/>
  <c r="M2168" i="16"/>
  <c r="N2168" i="16"/>
  <c r="M1952" i="16"/>
  <c r="N1952" i="16"/>
  <c r="M1898" i="16"/>
  <c r="N1898" i="16"/>
  <c r="M1736" i="16"/>
  <c r="N1736" i="16"/>
  <c r="M1682" i="16"/>
  <c r="N1682" i="16"/>
  <c r="M1628" i="16"/>
  <c r="N1628" i="16"/>
  <c r="M872" i="16"/>
  <c r="N872" i="16"/>
  <c r="M656" i="16"/>
  <c r="N656" i="16"/>
  <c r="M170" i="16"/>
  <c r="N170" i="16"/>
  <c r="K4251" i="16"/>
  <c r="F4251" i="16"/>
  <c r="O4251" i="16" s="1"/>
  <c r="F4197" i="16"/>
  <c r="O4197" i="16" s="1"/>
  <c r="K4197" i="16"/>
  <c r="F4143" i="16"/>
  <c r="O4143" i="16" s="1"/>
  <c r="K4143" i="16"/>
  <c r="K3681" i="16"/>
  <c r="F3681" i="16"/>
  <c r="O3681" i="16" s="1"/>
  <c r="F3519" i="16"/>
  <c r="O3519" i="16" s="1"/>
  <c r="K3519" i="16"/>
  <c r="K3465" i="16"/>
  <c r="F3465" i="16"/>
  <c r="O3465" i="16" s="1"/>
  <c r="K3303" i="16"/>
  <c r="F3303" i="16"/>
  <c r="O3303" i="16" s="1"/>
  <c r="K3033" i="16"/>
  <c r="F3033" i="16"/>
  <c r="O3033" i="16" s="1"/>
  <c r="K2979" i="16"/>
  <c r="F2979" i="16"/>
  <c r="O2979" i="16" s="1"/>
  <c r="F2817" i="16"/>
  <c r="O2817" i="16" s="1"/>
  <c r="K2817" i="16"/>
  <c r="K2763" i="16"/>
  <c r="F2763" i="16"/>
  <c r="O2763" i="16" s="1"/>
  <c r="K2709" i="16"/>
  <c r="F2709" i="16"/>
  <c r="O2709" i="16" s="1"/>
  <c r="K2655" i="16"/>
  <c r="F2655" i="16"/>
  <c r="O2655" i="16" s="1"/>
  <c r="K2601" i="16"/>
  <c r="F2601" i="16"/>
  <c r="O2601" i="16" s="1"/>
  <c r="K2439" i="16"/>
  <c r="F2439" i="16"/>
  <c r="O2439" i="16" s="1"/>
  <c r="F2385" i="16"/>
  <c r="O2385" i="16" s="1"/>
  <c r="K2385" i="16"/>
  <c r="F2169" i="16"/>
  <c r="O2169" i="16" s="1"/>
  <c r="K2169" i="16"/>
  <c r="K1899" i="16"/>
  <c r="F1899" i="16"/>
  <c r="O1899" i="16" s="1"/>
  <c r="K1683" i="16"/>
  <c r="F1683" i="16"/>
  <c r="O1683" i="16" s="1"/>
  <c r="K1629" i="16"/>
  <c r="F1629" i="16"/>
  <c r="O1629" i="16" s="1"/>
  <c r="F1467" i="16"/>
  <c r="O1467" i="16" s="1"/>
  <c r="K1467" i="16"/>
  <c r="F1413" i="16"/>
  <c r="O1413" i="16" s="1"/>
  <c r="K1413" i="16"/>
  <c r="F1359" i="16"/>
  <c r="O1359" i="16" s="1"/>
  <c r="K1359" i="16"/>
  <c r="F1305" i="16"/>
  <c r="O1305" i="16" s="1"/>
  <c r="K1305" i="16"/>
  <c r="K1197" i="16"/>
  <c r="F1197" i="16"/>
  <c r="O1197" i="16" s="1"/>
  <c r="K1143" i="16"/>
  <c r="F1143" i="16"/>
  <c r="O1143" i="16" s="1"/>
  <c r="K981" i="16"/>
  <c r="F981" i="16"/>
  <c r="O981" i="16" s="1"/>
  <c r="K927" i="16"/>
  <c r="F927" i="16"/>
  <c r="O927" i="16" s="1"/>
  <c r="F873" i="16"/>
  <c r="O873" i="16" s="1"/>
  <c r="K873" i="16"/>
  <c r="K657" i="16"/>
  <c r="F657" i="16"/>
  <c r="O657" i="16" s="1"/>
  <c r="K549" i="16"/>
  <c r="F549" i="16"/>
  <c r="O549" i="16" s="1"/>
  <c r="F387" i="16"/>
  <c r="O387" i="16" s="1"/>
  <c r="K387" i="16"/>
  <c r="F171" i="16"/>
  <c r="O171" i="16" s="1"/>
  <c r="K171" i="16"/>
  <c r="C88" i="7"/>
  <c r="G88" i="7" s="1"/>
  <c r="K3250" i="16" l="1"/>
  <c r="F3250" i="16"/>
  <c r="O3250" i="16" s="1"/>
  <c r="K2440" i="16"/>
  <c r="F2440" i="16"/>
  <c r="O2440" i="16" s="1"/>
  <c r="K2224" i="16"/>
  <c r="F2224" i="16"/>
  <c r="O2224" i="16" s="1"/>
  <c r="K1954" i="16"/>
  <c r="F1954" i="16"/>
  <c r="O1954" i="16" s="1"/>
  <c r="K1414" i="16"/>
  <c r="F1414" i="16"/>
  <c r="O1414" i="16" s="1"/>
  <c r="K766" i="16"/>
  <c r="F766" i="16"/>
  <c r="O766" i="16" s="1"/>
  <c r="K334" i="16"/>
  <c r="F334" i="16"/>
  <c r="O334" i="16" s="1"/>
  <c r="T4712" i="16"/>
  <c r="S4713" i="16"/>
  <c r="T4713" i="16" s="1"/>
  <c r="U4713" i="16"/>
  <c r="M4714" i="16"/>
  <c r="D4714" i="16"/>
  <c r="J4714" i="16"/>
  <c r="N4714" i="16" s="1"/>
  <c r="P4714" i="16"/>
  <c r="Q4714" i="16"/>
  <c r="R4714" i="16"/>
  <c r="L4715" i="16"/>
  <c r="C4715" i="16"/>
  <c r="K4715" i="16" s="1"/>
  <c r="E4715" i="16"/>
  <c r="F4715" i="16"/>
  <c r="G4715" i="16"/>
  <c r="I4715" i="16"/>
  <c r="B4716" i="16"/>
  <c r="P4660" i="16"/>
  <c r="Q4660" i="16"/>
  <c r="R4660" i="16"/>
  <c r="C4661" i="16"/>
  <c r="E4661" i="16"/>
  <c r="G4661" i="16"/>
  <c r="B4662" i="16"/>
  <c r="M4606" i="16"/>
  <c r="D4606" i="16"/>
  <c r="J4606" i="16"/>
  <c r="N4606" i="16" s="1"/>
  <c r="P4606" i="16"/>
  <c r="Q4606" i="16"/>
  <c r="R4606" i="16"/>
  <c r="L4607" i="16"/>
  <c r="C4607" i="16"/>
  <c r="K4607" i="16" s="1"/>
  <c r="E4607" i="16"/>
  <c r="F4607" i="16"/>
  <c r="G4607" i="16"/>
  <c r="I4607" i="16"/>
  <c r="B4608" i="16"/>
  <c r="M4552" i="16"/>
  <c r="D4552" i="16"/>
  <c r="J4552" i="16"/>
  <c r="N4552" i="16" s="1"/>
  <c r="P4552" i="16"/>
  <c r="Q4552" i="16"/>
  <c r="R4552" i="16"/>
  <c r="B4554" i="16"/>
  <c r="C4553" i="16"/>
  <c r="E4553" i="16"/>
  <c r="G4553" i="16"/>
  <c r="I4553" i="16"/>
  <c r="L4553" i="16"/>
  <c r="D4252" i="16"/>
  <c r="J4252" i="16"/>
  <c r="P4252" i="16"/>
  <c r="Q4252" i="16"/>
  <c r="R4252" i="16"/>
  <c r="T4252" i="16"/>
  <c r="L4253" i="16"/>
  <c r="C4253" i="16"/>
  <c r="E4253" i="16"/>
  <c r="G4253" i="16"/>
  <c r="I4253" i="16"/>
  <c r="B4254" i="16"/>
  <c r="D4198" i="16"/>
  <c r="J4198" i="16"/>
  <c r="N4198" i="16" s="1"/>
  <c r="P4198" i="16"/>
  <c r="Q4198" i="16"/>
  <c r="R4198" i="16"/>
  <c r="T4198" i="16"/>
  <c r="M4198" i="16"/>
  <c r="C4199" i="16"/>
  <c r="F4199" i="16" s="1"/>
  <c r="O4199" i="16" s="1"/>
  <c r="E4199" i="16"/>
  <c r="G4199" i="16"/>
  <c r="I4199" i="16"/>
  <c r="K4199" i="16"/>
  <c r="L4199" i="16"/>
  <c r="B4200" i="16"/>
  <c r="Q4144" i="16"/>
  <c r="P4144" i="16"/>
  <c r="R4144" i="16"/>
  <c r="T4144" i="16"/>
  <c r="M4144" i="16"/>
  <c r="E4145" i="16"/>
  <c r="G4145" i="16"/>
  <c r="B4146" i="16"/>
  <c r="C4145" i="16"/>
  <c r="I4145" i="16"/>
  <c r="L4145" i="16"/>
  <c r="D4144" i="16"/>
  <c r="J4144" i="16"/>
  <c r="N4144" i="16" s="1"/>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M3790" i="16"/>
  <c r="D3790" i="16"/>
  <c r="J3790" i="16"/>
  <c r="N3790" i="16" s="1"/>
  <c r="P3790" i="16"/>
  <c r="Q3790" i="16"/>
  <c r="R3790" i="16"/>
  <c r="T3790" i="16"/>
  <c r="L3791" i="16"/>
  <c r="C3791" i="16"/>
  <c r="K3791" i="16" s="1"/>
  <c r="E3791" i="16"/>
  <c r="F3791" i="16"/>
  <c r="O3791" i="16" s="1"/>
  <c r="G3791" i="16"/>
  <c r="I3791" i="16"/>
  <c r="B3792" i="16"/>
  <c r="U3735" i="16"/>
  <c r="S3735" i="16"/>
  <c r="D3736" i="16"/>
  <c r="J3736" i="16"/>
  <c r="P3736" i="16"/>
  <c r="Q3736" i="16"/>
  <c r="R3736" i="16"/>
  <c r="T3736" i="16"/>
  <c r="L3737" i="16"/>
  <c r="C3737" i="16"/>
  <c r="K3737" i="16" s="1"/>
  <c r="E3737" i="16"/>
  <c r="F3737" i="16"/>
  <c r="O3737" i="16" s="1"/>
  <c r="G3737" i="16"/>
  <c r="I3737" i="16"/>
  <c r="B3738" i="16"/>
  <c r="M3682" i="16"/>
  <c r="N3682" i="16"/>
  <c r="P3682" i="16"/>
  <c r="Q3682" i="16"/>
  <c r="R3682" i="16"/>
  <c r="T3682" i="16"/>
  <c r="L3683" i="16"/>
  <c r="E3683" i="16"/>
  <c r="B3684" i="16"/>
  <c r="C3683" i="16"/>
  <c r="K3683" i="16" s="1"/>
  <c r="F3683" i="16"/>
  <c r="O3683" i="16" s="1"/>
  <c r="G3683" i="16"/>
  <c r="I3683" i="16"/>
  <c r="D3682" i="16"/>
  <c r="J3682"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M3520" i="16"/>
  <c r="D3520" i="16"/>
  <c r="J3520" i="16"/>
  <c r="N3520" i="16" s="1"/>
  <c r="P3520" i="16"/>
  <c r="Q3520" i="16"/>
  <c r="R3520" i="16"/>
  <c r="T3520" i="16"/>
  <c r="L3521" i="16"/>
  <c r="C3521" i="16"/>
  <c r="E3521" i="16"/>
  <c r="G3521" i="16"/>
  <c r="I3521" i="16"/>
  <c r="B3522" i="16"/>
  <c r="M3466" i="16"/>
  <c r="D3466" i="16"/>
  <c r="J3466" i="16"/>
  <c r="N3466" i="16" s="1"/>
  <c r="P3466" i="16"/>
  <c r="Q3466" i="16"/>
  <c r="R3466" i="16"/>
  <c r="T3466" i="16"/>
  <c r="L3467" i="16"/>
  <c r="C3467" i="16"/>
  <c r="E3467" i="16"/>
  <c r="G3467" i="16"/>
  <c r="I3467" i="16"/>
  <c r="B3468"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M3304" i="16"/>
  <c r="D3304" i="16"/>
  <c r="J3304" i="16"/>
  <c r="N3304" i="16" s="1"/>
  <c r="P3304" i="16"/>
  <c r="Q3304" i="16"/>
  <c r="R3304" i="16"/>
  <c r="T3304" i="16"/>
  <c r="L3305" i="16"/>
  <c r="C3305" i="16"/>
  <c r="K3305" i="16" s="1"/>
  <c r="E3305" i="16"/>
  <c r="F3305" i="16"/>
  <c r="O3305" i="16" s="1"/>
  <c r="G3305" i="16"/>
  <c r="I3305" i="16"/>
  <c r="B3306" i="16"/>
  <c r="S3249" i="16"/>
  <c r="U3249" i="16"/>
  <c r="M3250" i="16"/>
  <c r="D3250" i="16"/>
  <c r="J3250" i="16"/>
  <c r="N3250" i="16" s="1"/>
  <c r="P3250" i="16"/>
  <c r="Q3250" i="16"/>
  <c r="R3250" i="16"/>
  <c r="T3250" i="16"/>
  <c r="L3251" i="16"/>
  <c r="C3251" i="16"/>
  <c r="K3251" i="16" s="1"/>
  <c r="E3251" i="16"/>
  <c r="F3251" i="16"/>
  <c r="O3251" i="16" s="1"/>
  <c r="G3251" i="16"/>
  <c r="I3251" i="16"/>
  <c r="B3252" i="16"/>
  <c r="U3195" i="16"/>
  <c r="S3195" i="16"/>
  <c r="M3196" i="16"/>
  <c r="D3196" i="16"/>
  <c r="J3196" i="16"/>
  <c r="N3196" i="16" s="1"/>
  <c r="P3196" i="16"/>
  <c r="Q3196" i="16"/>
  <c r="R3196" i="16"/>
  <c r="T3196" i="16"/>
  <c r="L3197" i="16"/>
  <c r="C3197" i="16"/>
  <c r="K3197" i="16" s="1"/>
  <c r="E3197" i="16"/>
  <c r="F3197" i="16"/>
  <c r="O3197" i="16" s="1"/>
  <c r="G3197" i="16"/>
  <c r="I3197" i="16"/>
  <c r="B3198" i="16"/>
  <c r="U3141" i="16"/>
  <c r="S3141" i="16"/>
  <c r="D3142" i="16"/>
  <c r="J3142" i="16"/>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E3089" i="16"/>
  <c r="G3089" i="16"/>
  <c r="C3089" i="16"/>
  <c r="K3089" i="16" s="1"/>
  <c r="F3089" i="16"/>
  <c r="O3089" i="16" s="1"/>
  <c r="B3090" i="16"/>
  <c r="I3089" i="16"/>
  <c r="L3035" i="16"/>
  <c r="C3035" i="16"/>
  <c r="E3035" i="16"/>
  <c r="G3035" i="16"/>
  <c r="I3035" i="16"/>
  <c r="B3036" i="16"/>
  <c r="J3034" i="16"/>
  <c r="D3034" i="16"/>
  <c r="P3034" i="16"/>
  <c r="Q3034" i="16"/>
  <c r="R3034" i="16"/>
  <c r="T3034" i="16"/>
  <c r="M2980" i="16"/>
  <c r="D2980" i="16"/>
  <c r="J2980" i="16"/>
  <c r="N2980" i="16" s="1"/>
  <c r="P2980" i="16"/>
  <c r="Q2980" i="16"/>
  <c r="R2980" i="16"/>
  <c r="T2980" i="16"/>
  <c r="L2981" i="16"/>
  <c r="C2981" i="16"/>
  <c r="K2981" i="16" s="1"/>
  <c r="E2981" i="16"/>
  <c r="F2981" i="16"/>
  <c r="O2981" i="16" s="1"/>
  <c r="G2981" i="16"/>
  <c r="I2981" i="16"/>
  <c r="B2982" i="16"/>
  <c r="U2925" i="16"/>
  <c r="S2925" i="16"/>
  <c r="M2926" i="16"/>
  <c r="D2926" i="16"/>
  <c r="J2926" i="16"/>
  <c r="N2926" i="16" s="1"/>
  <c r="P2926" i="16"/>
  <c r="Q2926" i="16"/>
  <c r="R2926" i="16"/>
  <c r="T2926" i="16"/>
  <c r="L2927" i="16"/>
  <c r="C2927" i="16"/>
  <c r="E2927" i="16"/>
  <c r="G2927" i="16"/>
  <c r="I2927" i="16"/>
  <c r="B2928" i="16"/>
  <c r="U2871" i="16"/>
  <c r="S2871" i="16"/>
  <c r="D2872" i="16"/>
  <c r="J2872" i="16"/>
  <c r="P2872" i="16"/>
  <c r="Q2872" i="16"/>
  <c r="R2872" i="16"/>
  <c r="T2872" i="16"/>
  <c r="L2873" i="16"/>
  <c r="C2873" i="16"/>
  <c r="K2873" i="16" s="1"/>
  <c r="E2873" i="16"/>
  <c r="F2873" i="16"/>
  <c r="O2873" i="16" s="1"/>
  <c r="G2873" i="16"/>
  <c r="I2873" i="16"/>
  <c r="B2874" i="16"/>
  <c r="D2818" i="16"/>
  <c r="J2818" i="16"/>
  <c r="P2818" i="16"/>
  <c r="Q2818" i="16"/>
  <c r="R2818" i="16"/>
  <c r="T2818" i="16"/>
  <c r="U2818" i="16" s="1"/>
  <c r="L2819" i="16"/>
  <c r="I2819" i="16"/>
  <c r="C2819" i="16"/>
  <c r="B2820" i="16"/>
  <c r="E2819" i="16"/>
  <c r="G2819" i="16"/>
  <c r="M2764" i="16"/>
  <c r="D2764" i="16"/>
  <c r="J2764" i="16"/>
  <c r="N2764" i="16" s="1"/>
  <c r="P2764" i="16"/>
  <c r="Q2764" i="16"/>
  <c r="R2764" i="16"/>
  <c r="T2764" i="16"/>
  <c r="L2765" i="16"/>
  <c r="C2765" i="16"/>
  <c r="E2765" i="16"/>
  <c r="G2765" i="16"/>
  <c r="I2765" i="16"/>
  <c r="B2766" i="16"/>
  <c r="L2711" i="16"/>
  <c r="C2711" i="16"/>
  <c r="I2711" i="16"/>
  <c r="B2712" i="16"/>
  <c r="G2711" i="16"/>
  <c r="E2711" i="16"/>
  <c r="D2710" i="16"/>
  <c r="J2710" i="16"/>
  <c r="P2710" i="16"/>
  <c r="Q2710" i="16"/>
  <c r="R2710" i="16"/>
  <c r="T2710" i="16"/>
  <c r="M2656" i="16"/>
  <c r="L2657" i="16"/>
  <c r="E2657" i="16"/>
  <c r="G2657" i="16"/>
  <c r="B2658" i="16"/>
  <c r="C2657" i="16"/>
  <c r="I2657" i="16"/>
  <c r="D2656" i="16"/>
  <c r="J2656" i="16"/>
  <c r="N2656" i="16" s="1"/>
  <c r="P2656" i="16"/>
  <c r="Q2656" i="16"/>
  <c r="R2656" i="16"/>
  <c r="T2656" i="16"/>
  <c r="L2603" i="16"/>
  <c r="G2603" i="16"/>
  <c r="B2604" i="16"/>
  <c r="C2603" i="16"/>
  <c r="I2603" i="16"/>
  <c r="E2603" i="16"/>
  <c r="J2602" i="16"/>
  <c r="D2602" i="16"/>
  <c r="P2602" i="16"/>
  <c r="Q2602" i="16"/>
  <c r="R2602" i="16"/>
  <c r="T2602" i="16"/>
  <c r="S2547" i="16"/>
  <c r="U2547" i="16"/>
  <c r="J2548" i="16"/>
  <c r="D2548" i="16"/>
  <c r="P2548" i="16"/>
  <c r="Q2548" i="16"/>
  <c r="R2548" i="16"/>
  <c r="T2548" i="16"/>
  <c r="L2549" i="16"/>
  <c r="B2550" i="16"/>
  <c r="C2549" i="16"/>
  <c r="K2549" i="16" s="1"/>
  <c r="I2549" i="16"/>
  <c r="G2549" i="16"/>
  <c r="E2549" i="16"/>
  <c r="F2549" i="16"/>
  <c r="O2549" i="16" s="1"/>
  <c r="U2493" i="16"/>
  <c r="S2493" i="16"/>
  <c r="M2494" i="16"/>
  <c r="D2494" i="16"/>
  <c r="J2494" i="16"/>
  <c r="N2494" i="16" s="1"/>
  <c r="P2494" i="16"/>
  <c r="Q2494" i="16"/>
  <c r="R2494" i="16"/>
  <c r="T2494" i="16"/>
  <c r="L2495" i="16"/>
  <c r="C2495" i="16"/>
  <c r="E2495" i="16"/>
  <c r="G2495" i="16"/>
  <c r="I2495" i="16"/>
  <c r="B2496" i="16"/>
  <c r="M2440" i="16"/>
  <c r="D2440" i="16"/>
  <c r="J2440" i="16"/>
  <c r="N2440" i="16" s="1"/>
  <c r="P2440" i="16"/>
  <c r="Q2440" i="16"/>
  <c r="R2440" i="16"/>
  <c r="T2440" i="16"/>
  <c r="L2441" i="16"/>
  <c r="C2441" i="16"/>
  <c r="E2441" i="16"/>
  <c r="G2441" i="16"/>
  <c r="I2441" i="16"/>
  <c r="B2442" i="16"/>
  <c r="M2386" i="16"/>
  <c r="D2386" i="16"/>
  <c r="J2386" i="16"/>
  <c r="N2386" i="16" s="1"/>
  <c r="P2386" i="16"/>
  <c r="Q2386" i="16"/>
  <c r="R2386" i="16"/>
  <c r="T2386" i="16"/>
  <c r="L2387" i="16"/>
  <c r="C2387" i="16"/>
  <c r="K2387" i="16" s="1"/>
  <c r="E2387" i="16"/>
  <c r="F2387" i="16"/>
  <c r="O2387" i="16" s="1"/>
  <c r="G2387" i="16"/>
  <c r="I2387" i="16"/>
  <c r="B2388" i="16"/>
  <c r="S2331" i="16"/>
  <c r="U2331" i="16"/>
  <c r="P2332" i="16"/>
  <c r="Q2332" i="16"/>
  <c r="R2332" i="16"/>
  <c r="T2332" i="16"/>
  <c r="L2333" i="16"/>
  <c r="E2333" i="16"/>
  <c r="C2333" i="16"/>
  <c r="I2333" i="16"/>
  <c r="G2333" i="16"/>
  <c r="B2334" i="16"/>
  <c r="J2332" i="16"/>
  <c r="D2332"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E2225" i="16"/>
  <c r="G2225" i="16"/>
  <c r="I2225" i="16"/>
  <c r="B2226" i="16"/>
  <c r="M2170" i="16"/>
  <c r="D2170" i="16"/>
  <c r="J2170" i="16"/>
  <c r="N2170" i="16" s="1"/>
  <c r="P2170" i="16"/>
  <c r="Q2170" i="16"/>
  <c r="R2170" i="16"/>
  <c r="T2170" i="16"/>
  <c r="L2171" i="16"/>
  <c r="C2171" i="16"/>
  <c r="E2171" i="16"/>
  <c r="G2171" i="16"/>
  <c r="I2171" i="16"/>
  <c r="B2172" i="16"/>
  <c r="S2115" i="16"/>
  <c r="U2115" i="16"/>
  <c r="M2116" i="16"/>
  <c r="D2116" i="16"/>
  <c r="J2116" i="16"/>
  <c r="N2116" i="16" s="1"/>
  <c r="P2116" i="16"/>
  <c r="Q2116" i="16"/>
  <c r="R2116" i="16"/>
  <c r="T2116" i="16"/>
  <c r="L2117" i="16"/>
  <c r="C2117" i="16"/>
  <c r="K2117" i="16" s="1"/>
  <c r="E2117" i="16"/>
  <c r="F2117" i="16"/>
  <c r="O2117" i="16" s="1"/>
  <c r="G2117" i="16"/>
  <c r="I2117" i="16"/>
  <c r="B2118" i="16"/>
  <c r="U2061" i="16"/>
  <c r="S2061" i="16"/>
  <c r="D2062" i="16"/>
  <c r="J2062" i="16"/>
  <c r="P2062" i="16"/>
  <c r="Q2062" i="16"/>
  <c r="R2062" i="16"/>
  <c r="T2062" i="16"/>
  <c r="L2063" i="16"/>
  <c r="C2063" i="16"/>
  <c r="K2063" i="16" s="1"/>
  <c r="E2063" i="16"/>
  <c r="F2063" i="16"/>
  <c r="O2063" i="16" s="1"/>
  <c r="G2063" i="16"/>
  <c r="I2063" i="16"/>
  <c r="B2064" i="16"/>
  <c r="U2007" i="16"/>
  <c r="S2007" i="16"/>
  <c r="D2008" i="16"/>
  <c r="J2008" i="16"/>
  <c r="P2008" i="16"/>
  <c r="Q2008" i="16"/>
  <c r="R2008" i="16"/>
  <c r="T2008" i="16"/>
  <c r="L2009" i="16"/>
  <c r="C2009" i="16"/>
  <c r="E2009" i="16"/>
  <c r="G2009" i="16"/>
  <c r="I2009" i="16"/>
  <c r="B2010" i="16"/>
  <c r="U1953" i="16"/>
  <c r="S1953" i="16"/>
  <c r="M1954" i="16"/>
  <c r="D1954" i="16"/>
  <c r="J1954" i="16"/>
  <c r="N1954" i="16" s="1"/>
  <c r="P1954" i="16"/>
  <c r="Q1954" i="16"/>
  <c r="R1954" i="16"/>
  <c r="T1954" i="16"/>
  <c r="L1955" i="16"/>
  <c r="C1955" i="16"/>
  <c r="E1955" i="16"/>
  <c r="G1955" i="16"/>
  <c r="I1955" i="16"/>
  <c r="B1956" i="16"/>
  <c r="M1900" i="16"/>
  <c r="D1900" i="16"/>
  <c r="J1900" i="16"/>
  <c r="N1900" i="16" s="1"/>
  <c r="P1900" i="16"/>
  <c r="Q1900" i="16"/>
  <c r="R1900" i="16"/>
  <c r="T1900" i="16"/>
  <c r="L1901" i="16"/>
  <c r="C1901" i="16"/>
  <c r="K1901" i="16" s="1"/>
  <c r="E1901" i="16"/>
  <c r="F1901" i="16"/>
  <c r="O1901" i="16" s="1"/>
  <c r="G1901" i="16"/>
  <c r="I1901" i="16"/>
  <c r="B1902" i="16"/>
  <c r="U1845" i="16"/>
  <c r="S1845" i="16"/>
  <c r="M1846" i="16"/>
  <c r="D1846" i="16"/>
  <c r="J1846" i="16"/>
  <c r="N1846" i="16" s="1"/>
  <c r="P1846" i="16"/>
  <c r="Q1846" i="16"/>
  <c r="R1846" i="16"/>
  <c r="T1846" i="16"/>
  <c r="L1847" i="16"/>
  <c r="C1847" i="16"/>
  <c r="K1847" i="16" s="1"/>
  <c r="E1847" i="16"/>
  <c r="F1847" i="16"/>
  <c r="O1847" i="16" s="1"/>
  <c r="G1847" i="16"/>
  <c r="I1847" i="16"/>
  <c r="B1848" i="16"/>
  <c r="U1791" i="16"/>
  <c r="S1791" i="16"/>
  <c r="D1792" i="16"/>
  <c r="J1792" i="16"/>
  <c r="P1792" i="16"/>
  <c r="Q1792" i="16"/>
  <c r="R1792" i="16"/>
  <c r="T1792" i="16"/>
  <c r="L1793" i="16"/>
  <c r="C1793" i="16"/>
  <c r="E1793" i="16"/>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M1684" i="16"/>
  <c r="D1684" i="16"/>
  <c r="J1684" i="16"/>
  <c r="N1684" i="16" s="1"/>
  <c r="P1684" i="16"/>
  <c r="Q1684" i="16"/>
  <c r="R1684" i="16"/>
  <c r="T1684" i="16"/>
  <c r="L1685" i="16"/>
  <c r="C1685" i="16"/>
  <c r="K1685" i="16" s="1"/>
  <c r="E1685" i="16"/>
  <c r="F1685" i="16"/>
  <c r="O1685" i="16" s="1"/>
  <c r="G1685" i="16"/>
  <c r="I1685" i="16"/>
  <c r="B1686" i="16"/>
  <c r="M1630" i="16"/>
  <c r="D1630" i="16"/>
  <c r="J1630" i="16"/>
  <c r="N1630" i="16" s="1"/>
  <c r="P1630" i="16"/>
  <c r="Q1630" i="16"/>
  <c r="R1630" i="16"/>
  <c r="T1630" i="16"/>
  <c r="L1631" i="16"/>
  <c r="C1631" i="16"/>
  <c r="K1631" i="16" s="1"/>
  <c r="E1631" i="16"/>
  <c r="F1631" i="16"/>
  <c r="O1631" i="16" s="1"/>
  <c r="G1631" i="16"/>
  <c r="I1631" i="16"/>
  <c r="B1632" i="16"/>
  <c r="U1575" i="16"/>
  <c r="S1575" i="16"/>
  <c r="M1576" i="16"/>
  <c r="D1576" i="16"/>
  <c r="J1576" i="16"/>
  <c r="N1576" i="16" s="1"/>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E1523" i="16"/>
  <c r="G1523" i="16"/>
  <c r="I1523" i="16"/>
  <c r="B1524" i="16"/>
  <c r="J1468" i="16"/>
  <c r="D1468" i="16"/>
  <c r="Q1468" i="16"/>
  <c r="P1468" i="16"/>
  <c r="R1468" i="16"/>
  <c r="T1468" i="16"/>
  <c r="L1469" i="16"/>
  <c r="I1469" i="16"/>
  <c r="G1469" i="16"/>
  <c r="C1469" i="16"/>
  <c r="K1469" i="16" s="1"/>
  <c r="B1470" i="16"/>
  <c r="E1469" i="16"/>
  <c r="F1469" i="16"/>
  <c r="O1469" i="16" s="1"/>
  <c r="M1414" i="16"/>
  <c r="L1415" i="16"/>
  <c r="E1415" i="16"/>
  <c r="I1415" i="16"/>
  <c r="C1415" i="16"/>
  <c r="K1415" i="16" s="1"/>
  <c r="B1416" i="16"/>
  <c r="F1415" i="16"/>
  <c r="O1415" i="16" s="1"/>
  <c r="G1415" i="16"/>
  <c r="P1414" i="16"/>
  <c r="Q1414" i="16"/>
  <c r="R1414" i="16"/>
  <c r="T1414" i="16"/>
  <c r="J1414" i="16"/>
  <c r="N1414" i="16" s="1"/>
  <c r="D1414" i="16"/>
  <c r="M1360" i="16"/>
  <c r="P1360" i="16"/>
  <c r="Q1360" i="16"/>
  <c r="R1360" i="16"/>
  <c r="T1360" i="16"/>
  <c r="D1360" i="16"/>
  <c r="J1360" i="16"/>
  <c r="N1360" i="16" s="1"/>
  <c r="L1361" i="16"/>
  <c r="E1361" i="16"/>
  <c r="C1361" i="16"/>
  <c r="I1361" i="16"/>
  <c r="G1361" i="16"/>
  <c r="B1362" i="16"/>
  <c r="J1306" i="16"/>
  <c r="D1306" i="16"/>
  <c r="L1307" i="16"/>
  <c r="E1307" i="16"/>
  <c r="B1308" i="16"/>
  <c r="C1307" i="16"/>
  <c r="G1307" i="16"/>
  <c r="I1307" i="16"/>
  <c r="P1306" i="16"/>
  <c r="Q1306" i="16"/>
  <c r="R1306" i="16"/>
  <c r="T1306" i="16"/>
  <c r="J1252" i="16"/>
  <c r="D1252" i="16"/>
  <c r="P1252" i="16"/>
  <c r="Q1252" i="16"/>
  <c r="R1252" i="16"/>
  <c r="T1252" i="16"/>
  <c r="C1253" i="16"/>
  <c r="K1253" i="16" s="1"/>
  <c r="F1253" i="16"/>
  <c r="O1253" i="16" s="1"/>
  <c r="L1253" i="16"/>
  <c r="I1253" i="16"/>
  <c r="G1253" i="16"/>
  <c r="B1254" i="16"/>
  <c r="E1253" i="16"/>
  <c r="S1251" i="16"/>
  <c r="U1251" i="16"/>
  <c r="M1198" i="16"/>
  <c r="D1198" i="16"/>
  <c r="J1198" i="16"/>
  <c r="N1198" i="16" s="1"/>
  <c r="P1198" i="16"/>
  <c r="Q1198" i="16"/>
  <c r="R1198" i="16"/>
  <c r="T1198" i="16"/>
  <c r="L1199" i="16"/>
  <c r="C1199" i="16"/>
  <c r="E1199" i="16"/>
  <c r="G1199" i="16"/>
  <c r="I1199" i="16"/>
  <c r="B1200" i="16"/>
  <c r="M1144" i="16"/>
  <c r="D1144" i="16"/>
  <c r="J1144" i="16"/>
  <c r="N1144" i="16" s="1"/>
  <c r="P1144" i="16"/>
  <c r="Q1144" i="16"/>
  <c r="R1144" i="16"/>
  <c r="T1144" i="16"/>
  <c r="L1145" i="16"/>
  <c r="C1145" i="16"/>
  <c r="K1145" i="16" s="1"/>
  <c r="E1145" i="16"/>
  <c r="F1145" i="16"/>
  <c r="O1145" i="16" s="1"/>
  <c r="G1145" i="16"/>
  <c r="I1145" i="16"/>
  <c r="B1146" i="16"/>
  <c r="U1089" i="16"/>
  <c r="S1089" i="16"/>
  <c r="M1090" i="16"/>
  <c r="D1090" i="16"/>
  <c r="J1090" i="16"/>
  <c r="N1090" i="16" s="1"/>
  <c r="P1090" i="16"/>
  <c r="Q1090" i="16"/>
  <c r="R1090" i="16"/>
  <c r="T1090" i="16"/>
  <c r="L1091" i="16"/>
  <c r="C1091" i="16"/>
  <c r="K1091" i="16" s="1"/>
  <c r="E1091" i="16"/>
  <c r="F1091" i="16"/>
  <c r="O1091" i="16" s="1"/>
  <c r="G1091" i="16"/>
  <c r="I1091" i="16"/>
  <c r="B1092" i="16"/>
  <c r="U1035" i="16"/>
  <c r="S1035" i="16"/>
  <c r="M1036" i="16"/>
  <c r="D1036" i="16"/>
  <c r="J1036" i="16"/>
  <c r="N1036" i="16" s="1"/>
  <c r="P1036" i="16"/>
  <c r="Q1036" i="16"/>
  <c r="R1036" i="16"/>
  <c r="T1036" i="16"/>
  <c r="L1037" i="16"/>
  <c r="C1037" i="16"/>
  <c r="K1037" i="16" s="1"/>
  <c r="E1037" i="16"/>
  <c r="F1037" i="16"/>
  <c r="O1037" i="16" s="1"/>
  <c r="G1037" i="16"/>
  <c r="I1037" i="16"/>
  <c r="B1038" i="16"/>
  <c r="D982" i="16"/>
  <c r="J982" i="16"/>
  <c r="P982" i="16"/>
  <c r="Q982" i="16"/>
  <c r="R982" i="16"/>
  <c r="T982" i="16"/>
  <c r="L983" i="16"/>
  <c r="C983" i="16"/>
  <c r="K983" i="16" s="1"/>
  <c r="E983" i="16"/>
  <c r="F983" i="16"/>
  <c r="O983" i="16" s="1"/>
  <c r="G983" i="16"/>
  <c r="I983" i="16"/>
  <c r="B984" i="16"/>
  <c r="M928" i="16"/>
  <c r="D928" i="16"/>
  <c r="J928" i="16"/>
  <c r="N928" i="16" s="1"/>
  <c r="P928" i="16"/>
  <c r="Q928" i="16"/>
  <c r="R928" i="16"/>
  <c r="T928" i="16"/>
  <c r="L929" i="16"/>
  <c r="C929" i="16"/>
  <c r="E929" i="16"/>
  <c r="G929" i="16"/>
  <c r="I929" i="16"/>
  <c r="B930" i="16"/>
  <c r="M874" i="16"/>
  <c r="D874" i="16"/>
  <c r="J874" i="16"/>
  <c r="N874" i="16" s="1"/>
  <c r="P874" i="16"/>
  <c r="Q874" i="16"/>
  <c r="R874" i="16"/>
  <c r="T874" i="16"/>
  <c r="L875" i="16"/>
  <c r="C875" i="16"/>
  <c r="K875" i="16" s="1"/>
  <c r="E875" i="16"/>
  <c r="F875" i="16"/>
  <c r="O875" i="16" s="1"/>
  <c r="G875" i="16"/>
  <c r="I875" i="16"/>
  <c r="B876" i="16"/>
  <c r="U819" i="16"/>
  <c r="S819" i="16"/>
  <c r="M820" i="16"/>
  <c r="D820" i="16"/>
  <c r="J820" i="16"/>
  <c r="N820" i="16" s="1"/>
  <c r="P820" i="16"/>
  <c r="Q820" i="16"/>
  <c r="R820" i="16"/>
  <c r="T820" i="16"/>
  <c r="L821" i="16"/>
  <c r="C821" i="16"/>
  <c r="K821" i="16" s="1"/>
  <c r="E821" i="16"/>
  <c r="F821" i="16"/>
  <c r="O821" i="16" s="1"/>
  <c r="G821" i="16"/>
  <c r="I821" i="16"/>
  <c r="B822" i="16"/>
  <c r="U765" i="16"/>
  <c r="S765" i="16"/>
  <c r="M766" i="16"/>
  <c r="D766" i="16"/>
  <c r="J766" i="16"/>
  <c r="N766" i="16" s="1"/>
  <c r="P766" i="16"/>
  <c r="Q766" i="16"/>
  <c r="R766" i="16"/>
  <c r="T766" i="16"/>
  <c r="L767" i="16"/>
  <c r="C767" i="16"/>
  <c r="E767" i="16"/>
  <c r="G767" i="16"/>
  <c r="I767" i="16"/>
  <c r="B768" i="16"/>
  <c r="U711" i="16"/>
  <c r="S711" i="16"/>
  <c r="D712" i="16"/>
  <c r="J712" i="16"/>
  <c r="P712" i="16"/>
  <c r="Q712" i="16"/>
  <c r="R712" i="16"/>
  <c r="T712" i="16"/>
  <c r="L713" i="16"/>
  <c r="C713" i="16"/>
  <c r="E713" i="16"/>
  <c r="G713" i="16"/>
  <c r="I713" i="16"/>
  <c r="B714" i="16"/>
  <c r="M658" i="16"/>
  <c r="D658" i="16"/>
  <c r="J658" i="16"/>
  <c r="N658" i="16" s="1"/>
  <c r="P658" i="16"/>
  <c r="Q658" i="16"/>
  <c r="R658" i="16"/>
  <c r="T658" i="16"/>
  <c r="L659" i="16"/>
  <c r="C659" i="16"/>
  <c r="E659" i="16"/>
  <c r="G659" i="16"/>
  <c r="I659" i="16"/>
  <c r="B660" i="16"/>
  <c r="U603" i="16"/>
  <c r="S603" i="16"/>
  <c r="M604" i="16"/>
  <c r="D604" i="16"/>
  <c r="J604" i="16"/>
  <c r="N604" i="16" s="1"/>
  <c r="P604" i="16"/>
  <c r="Q604" i="16"/>
  <c r="R604" i="16"/>
  <c r="T604" i="16"/>
  <c r="L605" i="16"/>
  <c r="C605" i="16"/>
  <c r="K605" i="16" s="1"/>
  <c r="E605" i="16"/>
  <c r="F605" i="16"/>
  <c r="O605" i="16" s="1"/>
  <c r="G605" i="16"/>
  <c r="I605" i="16"/>
  <c r="B606" i="16"/>
  <c r="M550" i="16"/>
  <c r="D550" i="16"/>
  <c r="J550" i="16"/>
  <c r="N550" i="16" s="1"/>
  <c r="P550" i="16"/>
  <c r="Q550" i="16"/>
  <c r="R550" i="16"/>
  <c r="T550" i="16"/>
  <c r="L551" i="16"/>
  <c r="I551" i="16"/>
  <c r="B552" i="16"/>
  <c r="C551" i="16"/>
  <c r="K551" i="16" s="1"/>
  <c r="E551" i="16"/>
  <c r="F551" i="16"/>
  <c r="O551" i="16" s="1"/>
  <c r="G551" i="16"/>
  <c r="U495" i="16"/>
  <c r="S495" i="16"/>
  <c r="M496" i="16"/>
  <c r="D496" i="16"/>
  <c r="J496" i="16"/>
  <c r="N496" i="16" s="1"/>
  <c r="P496" i="16"/>
  <c r="Q496" i="16"/>
  <c r="R496" i="16"/>
  <c r="T496" i="16"/>
  <c r="L497" i="16"/>
  <c r="C497" i="16"/>
  <c r="K497" i="16" s="1"/>
  <c r="E497" i="16"/>
  <c r="F497" i="16"/>
  <c r="O497" i="16" s="1"/>
  <c r="G497" i="16"/>
  <c r="I497" i="16"/>
  <c r="B498" i="16"/>
  <c r="U441" i="16"/>
  <c r="S441" i="16"/>
  <c r="D442" i="16"/>
  <c r="J442" i="16"/>
  <c r="P442" i="16"/>
  <c r="Q442" i="16"/>
  <c r="R442" i="16"/>
  <c r="T442" i="16"/>
  <c r="L443" i="16"/>
  <c r="C443" i="16"/>
  <c r="E443" i="16"/>
  <c r="G443" i="16"/>
  <c r="I443" i="16"/>
  <c r="B444" i="16"/>
  <c r="M388" i="16"/>
  <c r="D388" i="16"/>
  <c r="J388" i="16"/>
  <c r="N388" i="16" s="1"/>
  <c r="P388" i="16"/>
  <c r="Q388" i="16"/>
  <c r="R388" i="16"/>
  <c r="T388" i="16"/>
  <c r="L389" i="16"/>
  <c r="C389" i="16"/>
  <c r="E389" i="16"/>
  <c r="G389" i="16"/>
  <c r="I389" i="16"/>
  <c r="B390" i="16"/>
  <c r="S333" i="16"/>
  <c r="U333" i="16"/>
  <c r="M334" i="16"/>
  <c r="D334" i="16"/>
  <c r="J334" i="16"/>
  <c r="N334" i="16" s="1"/>
  <c r="P334" i="16"/>
  <c r="Q334" i="16"/>
  <c r="R334" i="16"/>
  <c r="T334" i="16"/>
  <c r="L335" i="16"/>
  <c r="C335" i="16"/>
  <c r="K335" i="16" s="1"/>
  <c r="E335" i="16"/>
  <c r="F335" i="16"/>
  <c r="O335" i="16" s="1"/>
  <c r="G335" i="16"/>
  <c r="I335" i="16"/>
  <c r="B336" i="16"/>
  <c r="U279" i="16"/>
  <c r="S279" i="16"/>
  <c r="M280" i="16"/>
  <c r="D280" i="16"/>
  <c r="J280" i="16"/>
  <c r="N280" i="16" s="1"/>
  <c r="P280" i="16"/>
  <c r="Q280" i="16"/>
  <c r="R280" i="16"/>
  <c r="T280" i="16"/>
  <c r="L281" i="16"/>
  <c r="C281" i="16"/>
  <c r="K281" i="16" s="1"/>
  <c r="E281" i="16"/>
  <c r="F281" i="16"/>
  <c r="O281" i="16" s="1"/>
  <c r="G281" i="16"/>
  <c r="I281" i="16"/>
  <c r="B282" i="16"/>
  <c r="U225" i="16"/>
  <c r="S225" i="16"/>
  <c r="D226" i="16"/>
  <c r="J226" i="16"/>
  <c r="P226" i="16"/>
  <c r="Q226" i="16"/>
  <c r="R226" i="16"/>
  <c r="T226" i="16"/>
  <c r="L227" i="16"/>
  <c r="C227" i="16"/>
  <c r="K227" i="16" s="1"/>
  <c r="E227" i="16"/>
  <c r="F227" i="16"/>
  <c r="O227" i="16" s="1"/>
  <c r="G227" i="16"/>
  <c r="I227" i="16"/>
  <c r="B228" i="16"/>
  <c r="P172" i="16"/>
  <c r="Q172" i="16"/>
  <c r="R172" i="16"/>
  <c r="T172" i="16"/>
  <c r="L173" i="16"/>
  <c r="I173" i="16"/>
  <c r="C173" i="16"/>
  <c r="E173" i="16"/>
  <c r="G173" i="16"/>
  <c r="B174" i="16"/>
  <c r="D172" i="16"/>
  <c r="J172" i="16"/>
  <c r="S117" i="16"/>
  <c r="U117" i="16"/>
  <c r="L119" i="16"/>
  <c r="G119" i="16"/>
  <c r="C119" i="16"/>
  <c r="E119" i="16"/>
  <c r="B120" i="16"/>
  <c r="I119" i="16"/>
  <c r="J118" i="16"/>
  <c r="D118" i="16"/>
  <c r="P118" i="16"/>
  <c r="Q118" i="16"/>
  <c r="R118" i="16"/>
  <c r="T118" i="16"/>
  <c r="C89" i="7"/>
  <c r="G89" i="7" s="1"/>
  <c r="U55" i="4"/>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P56" i="4"/>
  <c r="F56" i="5" s="1"/>
  <c r="Q56" i="4"/>
  <c r="G56" i="5" s="1"/>
  <c r="R56" i="4"/>
  <c r="H56" i="5" s="1"/>
  <c r="T56" i="4"/>
  <c r="V56" i="4"/>
  <c r="BF56" i="4"/>
  <c r="L57" i="4"/>
  <c r="C57" i="4"/>
  <c r="E57" i="4"/>
  <c r="G57" i="4"/>
  <c r="I57" i="4"/>
  <c r="B58" i="4"/>
  <c r="B57" i="5"/>
  <c r="U4250" i="16"/>
  <c r="S4250" i="16"/>
  <c r="U3788" i="16"/>
  <c r="S3788" i="16"/>
  <c r="U3734" i="16"/>
  <c r="S3734" i="16"/>
  <c r="U3518" i="16"/>
  <c r="S3518" i="16"/>
  <c r="S3464" i="16"/>
  <c r="U3464" i="16"/>
  <c r="U3410" i="16"/>
  <c r="S3410" i="16"/>
  <c r="U3140" i="16"/>
  <c r="S3140" i="16"/>
  <c r="U3032" i="16"/>
  <c r="S3032" i="16"/>
  <c r="U2708" i="16"/>
  <c r="S2708" i="16"/>
  <c r="U2654" i="16"/>
  <c r="S2654" i="16"/>
  <c r="U2600" i="16"/>
  <c r="S2600" i="16"/>
  <c r="U2546" i="16"/>
  <c r="S2546" i="16"/>
  <c r="U2438" i="16"/>
  <c r="S2438" i="16"/>
  <c r="U2384" i="16"/>
  <c r="S2384" i="16"/>
  <c r="U2168" i="16"/>
  <c r="S2168" i="16"/>
  <c r="U1952" i="16"/>
  <c r="S1952" i="16"/>
  <c r="S1898" i="16"/>
  <c r="U1898" i="16"/>
  <c r="U1736" i="16"/>
  <c r="S1736" i="16"/>
  <c r="S1682" i="16"/>
  <c r="U1682" i="16"/>
  <c r="U1628" i="16"/>
  <c r="S1628" i="16"/>
  <c r="U872" i="16"/>
  <c r="S872" i="16"/>
  <c r="U656" i="16"/>
  <c r="S656" i="16"/>
  <c r="U170" i="16"/>
  <c r="S170" i="16"/>
  <c r="M4251" i="16"/>
  <c r="N4251" i="16"/>
  <c r="N4197" i="16"/>
  <c r="M4197" i="16"/>
  <c r="M4143" i="16"/>
  <c r="N4143" i="16"/>
  <c r="M3681" i="16"/>
  <c r="N3681" i="16"/>
  <c r="M3519" i="16"/>
  <c r="N3519" i="16"/>
  <c r="M3465" i="16"/>
  <c r="N3465" i="16"/>
  <c r="M3303" i="16"/>
  <c r="N3303" i="16"/>
  <c r="N3033" i="16"/>
  <c r="M3033" i="16"/>
  <c r="M2979" i="16"/>
  <c r="N2979" i="16"/>
  <c r="N2817" i="16"/>
  <c r="S2817" i="16" s="1"/>
  <c r="M2817" i="16"/>
  <c r="M2763" i="16"/>
  <c r="N2763" i="16"/>
  <c r="M2709" i="16"/>
  <c r="N2709" i="16"/>
  <c r="M2655" i="16"/>
  <c r="N2655" i="16"/>
  <c r="M2601" i="16"/>
  <c r="N2601" i="16"/>
  <c r="M2439" i="16"/>
  <c r="N2439" i="16"/>
  <c r="M2385" i="16"/>
  <c r="N2385" i="16"/>
  <c r="M2169" i="16"/>
  <c r="N2169" i="16"/>
  <c r="M1899" i="16"/>
  <c r="N1899" i="16"/>
  <c r="M1683" i="16"/>
  <c r="N1683" i="16"/>
  <c r="M1629" i="16"/>
  <c r="N1629" i="16"/>
  <c r="M1467" i="16"/>
  <c r="N1467" i="16"/>
  <c r="N1413" i="16"/>
  <c r="M1413" i="16"/>
  <c r="M1359" i="16"/>
  <c r="N1359" i="16"/>
  <c r="N1305" i="16"/>
  <c r="M1305" i="16"/>
  <c r="M1197" i="16"/>
  <c r="N1197" i="16"/>
  <c r="M1143" i="16"/>
  <c r="N1143" i="16"/>
  <c r="M981" i="16"/>
  <c r="N981" i="16"/>
  <c r="M927" i="16"/>
  <c r="N927" i="16"/>
  <c r="M873" i="16"/>
  <c r="N873" i="16"/>
  <c r="M657" i="16"/>
  <c r="N657" i="16"/>
  <c r="M549" i="16"/>
  <c r="N549" i="16"/>
  <c r="M387" i="16"/>
  <c r="N387" i="16"/>
  <c r="M171" i="16"/>
  <c r="N171" i="16"/>
  <c r="F4252" i="16"/>
  <c r="O4252" i="16" s="1"/>
  <c r="K4252" i="16"/>
  <c r="K3736" i="16"/>
  <c r="F3736" i="16"/>
  <c r="O3736" i="16" s="1"/>
  <c r="K3142" i="16"/>
  <c r="F3142" i="16"/>
  <c r="O3142" i="16" s="1"/>
  <c r="F3034" i="16"/>
  <c r="O3034" i="16" s="1"/>
  <c r="K3034" i="16"/>
  <c r="F2872" i="16"/>
  <c r="O2872" i="16" s="1"/>
  <c r="K2872" i="16"/>
  <c r="K2818" i="16"/>
  <c r="F2818" i="16"/>
  <c r="O2818" i="16" s="1"/>
  <c r="K2710" i="16"/>
  <c r="F2710" i="16"/>
  <c r="O2710" i="16" s="1"/>
  <c r="K2602" i="16"/>
  <c r="F2602" i="16"/>
  <c r="O2602" i="16" s="1"/>
  <c r="K2548" i="16"/>
  <c r="F2548" i="16"/>
  <c r="O2548" i="16" s="1"/>
  <c r="F2332" i="16"/>
  <c r="O2332" i="16" s="1"/>
  <c r="K2332" i="16"/>
  <c r="K2062" i="16"/>
  <c r="F2062" i="16"/>
  <c r="O2062" i="16" s="1"/>
  <c r="F2008" i="16"/>
  <c r="O2008" i="16" s="1"/>
  <c r="K2008" i="16"/>
  <c r="F1792" i="16"/>
  <c r="O1792" i="16" s="1"/>
  <c r="K1792" i="16"/>
  <c r="K1468" i="16"/>
  <c r="F1468" i="16"/>
  <c r="O1468" i="16" s="1"/>
  <c r="K1306" i="16"/>
  <c r="F1306" i="16"/>
  <c r="O1306" i="16" s="1"/>
  <c r="F1252" i="16"/>
  <c r="O1252" i="16" s="1"/>
  <c r="K1252" i="16"/>
  <c r="K982" i="16"/>
  <c r="F982" i="16"/>
  <c r="O982" i="16" s="1"/>
  <c r="K712" i="16"/>
  <c r="F712" i="16"/>
  <c r="O712" i="16" s="1"/>
  <c r="K442" i="16"/>
  <c r="F442" i="16"/>
  <c r="O442" i="16" s="1"/>
  <c r="K226" i="16"/>
  <c r="F226" i="16"/>
  <c r="O226" i="16" s="1"/>
  <c r="F172" i="16"/>
  <c r="O172" i="16" s="1"/>
  <c r="K172" i="16"/>
  <c r="K118" i="16"/>
  <c r="F118" i="16"/>
  <c r="O118" i="16" s="1"/>
  <c r="F55" i="5"/>
  <c r="G55" i="5"/>
  <c r="H55" i="5"/>
  <c r="D4661" i="16" l="1"/>
  <c r="F4661" i="16"/>
  <c r="O4661" i="16" s="1"/>
  <c r="K3143" i="16"/>
  <c r="F3143" i="16"/>
  <c r="O3143" i="16" s="1"/>
  <c r="K2927" i="16"/>
  <c r="F2927" i="16"/>
  <c r="O2927" i="16" s="1"/>
  <c r="K2441" i="16"/>
  <c r="F2441" i="16"/>
  <c r="O2441" i="16" s="1"/>
  <c r="K2009" i="16"/>
  <c r="F2009" i="16"/>
  <c r="O2009" i="16" s="1"/>
  <c r="K1793" i="16"/>
  <c r="F1793" i="16"/>
  <c r="O1793" i="16" s="1"/>
  <c r="K767" i="16"/>
  <c r="F767" i="16"/>
  <c r="O767" i="16" s="1"/>
  <c r="K57" i="4"/>
  <c r="F57" i="4"/>
  <c r="C57" i="5" s="1"/>
  <c r="E57" i="5" s="1"/>
  <c r="S4714" i="16"/>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M4607" i="16"/>
  <c r="D4607" i="16"/>
  <c r="J4607" i="16"/>
  <c r="N4607" i="16" s="1"/>
  <c r="P4607" i="16"/>
  <c r="Q4607" i="16"/>
  <c r="R4607" i="16"/>
  <c r="L4608" i="16"/>
  <c r="C4608" i="16"/>
  <c r="E4608" i="16"/>
  <c r="G4608" i="16"/>
  <c r="I4608" i="16"/>
  <c r="B4609" i="16"/>
  <c r="E4554" i="16"/>
  <c r="G4554" i="16"/>
  <c r="I4554" i="16"/>
  <c r="C4554" i="16"/>
  <c r="L4554" i="16"/>
  <c r="B4555" i="16"/>
  <c r="D4553" i="16"/>
  <c r="J4553" i="16"/>
  <c r="P4553" i="16"/>
  <c r="Q4553" i="16"/>
  <c r="R4553" i="16"/>
  <c r="D4253" i="16"/>
  <c r="J4253" i="16"/>
  <c r="P4253" i="16"/>
  <c r="Q4253" i="16"/>
  <c r="R4253" i="16"/>
  <c r="T4253" i="16"/>
  <c r="L4254" i="16"/>
  <c r="C4254" i="16"/>
  <c r="K4254" i="16" s="1"/>
  <c r="E4254" i="16"/>
  <c r="F4254" i="16"/>
  <c r="O4254" i="16" s="1"/>
  <c r="G4254" i="16"/>
  <c r="I4254" i="16"/>
  <c r="B4255" i="16"/>
  <c r="U4198" i="16"/>
  <c r="S4198" i="16"/>
  <c r="D4199" i="16"/>
  <c r="J4199" i="16"/>
  <c r="N4199" i="16" s="1"/>
  <c r="P4199" i="16"/>
  <c r="Q4199" i="16"/>
  <c r="R4199" i="16"/>
  <c r="T4199" i="16"/>
  <c r="M4199" i="16"/>
  <c r="C4200" i="16"/>
  <c r="F4200" i="16" s="1"/>
  <c r="O4200" i="16" s="1"/>
  <c r="E4200" i="16"/>
  <c r="G4200" i="16"/>
  <c r="I4200" i="16"/>
  <c r="K4200" i="16"/>
  <c r="L4200" i="16"/>
  <c r="B4201" i="16"/>
  <c r="U4144" i="16"/>
  <c r="S4144" i="16"/>
  <c r="Q4145" i="16"/>
  <c r="P4145" i="16"/>
  <c r="R4145" i="16"/>
  <c r="T4145" i="16"/>
  <c r="E4146" i="16"/>
  <c r="G4146" i="16"/>
  <c r="L4146" i="16"/>
  <c r="C4146" i="16"/>
  <c r="F4146" i="16" s="1"/>
  <c r="O4146" i="16" s="1"/>
  <c r="I4146" i="16"/>
  <c r="K4146" i="16"/>
  <c r="B4147" i="16"/>
  <c r="D4145" i="16"/>
  <c r="J4145"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K3792" i="16" s="1"/>
  <c r="E3792" i="16"/>
  <c r="F3792" i="16"/>
  <c r="O3792" i="16" s="1"/>
  <c r="G3792" i="16"/>
  <c r="I3792" i="16"/>
  <c r="B3793" i="16"/>
  <c r="M3737" i="16"/>
  <c r="D3737" i="16"/>
  <c r="J3737" i="16"/>
  <c r="N3737" i="16" s="1"/>
  <c r="P3737" i="16"/>
  <c r="Q3737" i="16"/>
  <c r="R3737" i="16"/>
  <c r="T3737" i="16"/>
  <c r="L3738" i="16"/>
  <c r="C3738" i="16"/>
  <c r="E3738" i="16"/>
  <c r="G3738" i="16"/>
  <c r="I3738" i="16"/>
  <c r="B3739" i="16"/>
  <c r="U3682" i="16"/>
  <c r="S3682" i="16"/>
  <c r="M3683" i="16"/>
  <c r="L3684" i="16"/>
  <c r="E3684" i="16"/>
  <c r="C3684" i="16"/>
  <c r="G3684" i="16"/>
  <c r="I3684" i="16"/>
  <c r="B3685" i="16"/>
  <c r="D3683" i="16"/>
  <c r="J3683" i="16"/>
  <c r="N3683" i="16" s="1"/>
  <c r="P3683" i="16"/>
  <c r="Q3683" i="16"/>
  <c r="R3683" i="16"/>
  <c r="T3683"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E3576" i="16"/>
  <c r="G3576" i="16"/>
  <c r="I3576" i="16"/>
  <c r="B3577" i="16"/>
  <c r="U3520" i="16"/>
  <c r="S3520" i="16"/>
  <c r="D3521" i="16"/>
  <c r="J3521" i="16"/>
  <c r="P3521" i="16"/>
  <c r="Q3521" i="16"/>
  <c r="R3521" i="16"/>
  <c r="T3521" i="16"/>
  <c r="L3522" i="16"/>
  <c r="C3522" i="16"/>
  <c r="K3522" i="16" s="1"/>
  <c r="E3522" i="16"/>
  <c r="F3522" i="16"/>
  <c r="O3522" i="16" s="1"/>
  <c r="G3522" i="16"/>
  <c r="I3522" i="16"/>
  <c r="B3523" i="16"/>
  <c r="S3466" i="16"/>
  <c r="U3466" i="16"/>
  <c r="D3467" i="16"/>
  <c r="J3467" i="16"/>
  <c r="P3467" i="16"/>
  <c r="Q3467" i="16"/>
  <c r="R3467" i="16"/>
  <c r="T3467" i="16"/>
  <c r="L3468" i="16"/>
  <c r="C3468" i="16"/>
  <c r="E3468" i="16"/>
  <c r="G3468" i="16"/>
  <c r="B3469" i="16"/>
  <c r="I3468" i="16"/>
  <c r="U3412" i="16"/>
  <c r="S3412"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S3250" i="16"/>
  <c r="U3250" i="16"/>
  <c r="M3251" i="16"/>
  <c r="D3251" i="16"/>
  <c r="J3251" i="16"/>
  <c r="N3251" i="16" s="1"/>
  <c r="P3251" i="16"/>
  <c r="Q3251" i="16"/>
  <c r="R3251" i="16"/>
  <c r="T3251" i="16"/>
  <c r="L3252" i="16"/>
  <c r="C3252" i="16"/>
  <c r="E3252" i="16"/>
  <c r="G3252" i="16"/>
  <c r="I3252" i="16"/>
  <c r="B3253" i="16"/>
  <c r="U3196" i="16"/>
  <c r="S3196" i="16"/>
  <c r="M3197" i="16"/>
  <c r="D3197" i="16"/>
  <c r="J3197" i="16"/>
  <c r="N3197" i="16" s="1"/>
  <c r="P3197" i="16"/>
  <c r="Q3197" i="16"/>
  <c r="R3197" i="16"/>
  <c r="T3197" i="16"/>
  <c r="L3198" i="16"/>
  <c r="C3198" i="16"/>
  <c r="E3198" i="16"/>
  <c r="G3198" i="16"/>
  <c r="I3198" i="16"/>
  <c r="B3199" i="16"/>
  <c r="M3143" i="16"/>
  <c r="D3143" i="16"/>
  <c r="J3143" i="16"/>
  <c r="N3143" i="16" s="1"/>
  <c r="P3143" i="16"/>
  <c r="Q3143" i="16"/>
  <c r="R3143" i="16"/>
  <c r="T3143" i="16"/>
  <c r="L3144" i="16"/>
  <c r="C3144" i="16"/>
  <c r="K3144" i="16" s="1"/>
  <c r="E3144" i="16"/>
  <c r="F3144" i="16"/>
  <c r="O3144" i="16" s="1"/>
  <c r="G3144" i="16"/>
  <c r="I3144" i="16"/>
  <c r="B3145" i="16"/>
  <c r="U3088" i="16"/>
  <c r="S3088" i="16"/>
  <c r="M3089" i="16"/>
  <c r="P3089" i="16"/>
  <c r="Q3089" i="16"/>
  <c r="R3089" i="16"/>
  <c r="T3089" i="16"/>
  <c r="J3089" i="16"/>
  <c r="N3089" i="16" s="1"/>
  <c r="D3089" i="16"/>
  <c r="L3090" i="16"/>
  <c r="G3090" i="16"/>
  <c r="B3091" i="16"/>
  <c r="C3090" i="16"/>
  <c r="I3090" i="16"/>
  <c r="E3090" i="16"/>
  <c r="J3035" i="16"/>
  <c r="D3035" i="16"/>
  <c r="P3035" i="16"/>
  <c r="Q3035" i="16"/>
  <c r="R3035" i="16"/>
  <c r="T3035" i="16"/>
  <c r="L3036" i="16"/>
  <c r="C3036" i="16"/>
  <c r="K3036" i="16" s="1"/>
  <c r="E3036" i="16"/>
  <c r="F3036" i="16"/>
  <c r="O3036" i="16" s="1"/>
  <c r="G3036" i="16"/>
  <c r="B3037" i="16"/>
  <c r="I3036" i="16"/>
  <c r="U2980" i="16"/>
  <c r="S2980" i="16"/>
  <c r="M2981" i="16"/>
  <c r="D2981" i="16"/>
  <c r="J2981" i="16"/>
  <c r="N2981" i="16" s="1"/>
  <c r="P2981" i="16"/>
  <c r="Q2981" i="16"/>
  <c r="R2981" i="16"/>
  <c r="T2981" i="16"/>
  <c r="L2982" i="16"/>
  <c r="C2982" i="16"/>
  <c r="K2982" i="16" s="1"/>
  <c r="E2982" i="16"/>
  <c r="F2982" i="16"/>
  <c r="O2982" i="16" s="1"/>
  <c r="G2982" i="16"/>
  <c r="I2982" i="16"/>
  <c r="B2983" i="16"/>
  <c r="U2926" i="16"/>
  <c r="S2926" i="16"/>
  <c r="M2927" i="16"/>
  <c r="D2927" i="16"/>
  <c r="J2927" i="16"/>
  <c r="N2927" i="16" s="1"/>
  <c r="P2927" i="16"/>
  <c r="Q2927" i="16"/>
  <c r="R2927" i="16"/>
  <c r="T2927" i="16"/>
  <c r="L2928" i="16"/>
  <c r="C2928" i="16"/>
  <c r="E2928" i="16"/>
  <c r="G2928" i="16"/>
  <c r="I2928" i="16"/>
  <c r="B2929" i="16"/>
  <c r="M2873" i="16"/>
  <c r="D2873" i="16"/>
  <c r="J2873" i="16"/>
  <c r="N2873" i="16" s="1"/>
  <c r="P2873" i="16"/>
  <c r="Q2873" i="16"/>
  <c r="R2873" i="16"/>
  <c r="T2873" i="16"/>
  <c r="L2874" i="16"/>
  <c r="C2874" i="16"/>
  <c r="K2874" i="16" s="1"/>
  <c r="E2874" i="16"/>
  <c r="F2874" i="16"/>
  <c r="O2874" i="16" s="1"/>
  <c r="G2874" i="16"/>
  <c r="I2874" i="16"/>
  <c r="B2875" i="16"/>
  <c r="J2819" i="16"/>
  <c r="D2819" i="16"/>
  <c r="L2820" i="16"/>
  <c r="G2820" i="16"/>
  <c r="B2821" i="16"/>
  <c r="C2820" i="16"/>
  <c r="K2820" i="16" s="1"/>
  <c r="E2820" i="16"/>
  <c r="F2820" i="16"/>
  <c r="O2820" i="16" s="1"/>
  <c r="I2820" i="16"/>
  <c r="P2819" i="16"/>
  <c r="Q2819" i="16"/>
  <c r="R2819" i="16"/>
  <c r="T2819" i="16"/>
  <c r="U2819" i="16" s="1"/>
  <c r="U2764" i="16"/>
  <c r="S2764" i="16"/>
  <c r="D2765" i="16"/>
  <c r="J2765" i="16"/>
  <c r="P2765" i="16"/>
  <c r="Q2765" i="16"/>
  <c r="R2765" i="16"/>
  <c r="T2765" i="16"/>
  <c r="L2766" i="16"/>
  <c r="C2766" i="16"/>
  <c r="K2766" i="16" s="1"/>
  <c r="E2766" i="16"/>
  <c r="F2766" i="16"/>
  <c r="O2766" i="16" s="1"/>
  <c r="G2766" i="16"/>
  <c r="I2766" i="16"/>
  <c r="B2767" i="16"/>
  <c r="J2711" i="16"/>
  <c r="D2711" i="16"/>
  <c r="L2712" i="16"/>
  <c r="C2712" i="16"/>
  <c r="K2712" i="16" s="1"/>
  <c r="G2712" i="16"/>
  <c r="B2713" i="16"/>
  <c r="F2712" i="16"/>
  <c r="O2712" i="16" s="1"/>
  <c r="I2712" i="16"/>
  <c r="E2712" i="16"/>
  <c r="P2711" i="16"/>
  <c r="Q2711" i="16"/>
  <c r="R2711" i="16"/>
  <c r="T2711" i="16"/>
  <c r="U2656" i="16"/>
  <c r="S2656" i="16"/>
  <c r="P2657" i="16"/>
  <c r="Q2657" i="16"/>
  <c r="R2657" i="16"/>
  <c r="T2657" i="16"/>
  <c r="L2658" i="16"/>
  <c r="E2658" i="16"/>
  <c r="B2659" i="16"/>
  <c r="C2658" i="16"/>
  <c r="I2658" i="16"/>
  <c r="G2658" i="16"/>
  <c r="D2657" i="16"/>
  <c r="J2657" i="16"/>
  <c r="P2603" i="16"/>
  <c r="Q2603" i="16"/>
  <c r="R2603" i="16"/>
  <c r="T2603" i="16"/>
  <c r="L2604" i="16"/>
  <c r="C2604" i="16"/>
  <c r="K2604" i="16" s="1"/>
  <c r="I2604" i="16"/>
  <c r="B2605" i="16"/>
  <c r="E2604" i="16"/>
  <c r="G2604" i="16"/>
  <c r="F2604" i="16"/>
  <c r="O2604" i="16" s="1"/>
  <c r="D2603" i="16"/>
  <c r="J2603" i="16"/>
  <c r="M2549" i="16"/>
  <c r="L2550" i="16"/>
  <c r="E2550" i="16"/>
  <c r="G2550" i="16"/>
  <c r="B2551" i="16"/>
  <c r="C2550" i="16"/>
  <c r="I2550" i="16"/>
  <c r="J2549" i="16"/>
  <c r="N2549" i="16" s="1"/>
  <c r="D2549" i="16"/>
  <c r="P2549" i="16"/>
  <c r="Q2549" i="16"/>
  <c r="R2549" i="16"/>
  <c r="T2549" i="16"/>
  <c r="U2494" i="16"/>
  <c r="S2494" i="16"/>
  <c r="D2495" i="16"/>
  <c r="J2495" i="16"/>
  <c r="P2495" i="16"/>
  <c r="Q2495" i="16"/>
  <c r="R2495" i="16"/>
  <c r="T2495" i="16"/>
  <c r="L2496" i="16"/>
  <c r="C2496" i="16"/>
  <c r="K2496" i="16" s="1"/>
  <c r="E2496" i="16"/>
  <c r="F2496" i="16"/>
  <c r="O2496" i="16" s="1"/>
  <c r="G2496" i="16"/>
  <c r="I2496" i="16"/>
  <c r="B2497" i="16"/>
  <c r="U2440" i="16"/>
  <c r="S2440" i="16"/>
  <c r="M2441" i="16"/>
  <c r="D2441" i="16"/>
  <c r="J2441" i="16"/>
  <c r="N2441" i="16" s="1"/>
  <c r="P2441" i="16"/>
  <c r="Q2441" i="16"/>
  <c r="R2441" i="16"/>
  <c r="T2441" i="16"/>
  <c r="L2442" i="16"/>
  <c r="C2442" i="16"/>
  <c r="E2442" i="16"/>
  <c r="G2442" i="16"/>
  <c r="I2442" i="16"/>
  <c r="B2443" i="16"/>
  <c r="U2386" i="16"/>
  <c r="S2386" i="16"/>
  <c r="M2387" i="16"/>
  <c r="D2387" i="16"/>
  <c r="J2387" i="16"/>
  <c r="N2387" i="16" s="1"/>
  <c r="P2387" i="16"/>
  <c r="Q2387" i="16"/>
  <c r="R2387" i="16"/>
  <c r="T2387" i="16"/>
  <c r="L2388" i="16"/>
  <c r="C2388" i="16"/>
  <c r="E2388" i="16"/>
  <c r="G2388" i="16"/>
  <c r="I2388" i="16"/>
  <c r="B2389" i="16"/>
  <c r="D2333" i="16"/>
  <c r="J2333" i="16"/>
  <c r="P2333" i="16"/>
  <c r="R2333" i="16"/>
  <c r="Q2333" i="16"/>
  <c r="T2333" i="16"/>
  <c r="L2334" i="16"/>
  <c r="I2334" i="16"/>
  <c r="C2334" i="16"/>
  <c r="K2334" i="16" s="1"/>
  <c r="G2334" i="16"/>
  <c r="E2334" i="16"/>
  <c r="B2335" i="16"/>
  <c r="F2334" i="16"/>
  <c r="O2334" i="16" s="1"/>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D2225" i="16"/>
  <c r="J2225" i="16"/>
  <c r="P2225" i="16"/>
  <c r="Q2225" i="16"/>
  <c r="R2225" i="16"/>
  <c r="T2225" i="16"/>
  <c r="L2226" i="16"/>
  <c r="C2226" i="16"/>
  <c r="E2226" i="16"/>
  <c r="G2226" i="16"/>
  <c r="I2226" i="16"/>
  <c r="B2227" i="16"/>
  <c r="U2170" i="16"/>
  <c r="S2170" i="16"/>
  <c r="D2171" i="16"/>
  <c r="J2171" i="16"/>
  <c r="P2171" i="16"/>
  <c r="Q2171" i="16"/>
  <c r="R2171" i="16"/>
  <c r="T2171" i="16"/>
  <c r="L2172" i="16"/>
  <c r="C2172" i="16"/>
  <c r="K2172" i="16" s="1"/>
  <c r="E2172" i="16"/>
  <c r="F2172" i="16"/>
  <c r="O2172" i="16" s="1"/>
  <c r="G2172" i="16"/>
  <c r="I2172" i="16"/>
  <c r="B2173" i="16"/>
  <c r="S2116" i="16"/>
  <c r="U2116" i="16"/>
  <c r="M2117" i="16"/>
  <c r="D2117" i="16"/>
  <c r="J2117" i="16"/>
  <c r="N2117" i="16" s="1"/>
  <c r="P2117" i="16"/>
  <c r="Q2117" i="16"/>
  <c r="R2117" i="16"/>
  <c r="T2117" i="16"/>
  <c r="L2118" i="16"/>
  <c r="C2118" i="16"/>
  <c r="K2118" i="16" s="1"/>
  <c r="E2118" i="16"/>
  <c r="F2118" i="16"/>
  <c r="O2118" i="16" s="1"/>
  <c r="G2118" i="16"/>
  <c r="I2118" i="16"/>
  <c r="B2119" i="16"/>
  <c r="M2063" i="16"/>
  <c r="D2063" i="16"/>
  <c r="J2063" i="16"/>
  <c r="N2063" i="16" s="1"/>
  <c r="P2063" i="16"/>
  <c r="Q2063" i="16"/>
  <c r="R2063" i="16"/>
  <c r="T2063" i="16"/>
  <c r="L2064" i="16"/>
  <c r="C2064" i="16"/>
  <c r="K2064" i="16" s="1"/>
  <c r="E2064" i="16"/>
  <c r="F2064" i="16"/>
  <c r="O2064" i="16" s="1"/>
  <c r="G2064" i="16"/>
  <c r="I2064" i="16"/>
  <c r="B2065" i="16"/>
  <c r="M2009" i="16"/>
  <c r="D2009" i="16"/>
  <c r="J2009" i="16"/>
  <c r="N2009" i="16" s="1"/>
  <c r="P2009" i="16"/>
  <c r="Q2009" i="16"/>
  <c r="R2009" i="16"/>
  <c r="T2009" i="16"/>
  <c r="L2010" i="16"/>
  <c r="C2010" i="16"/>
  <c r="E2010" i="16"/>
  <c r="G2010" i="16"/>
  <c r="I2010" i="16"/>
  <c r="B2011" i="16"/>
  <c r="U1954" i="16"/>
  <c r="S1954" i="16"/>
  <c r="D1955" i="16"/>
  <c r="J1955" i="16"/>
  <c r="P1955" i="16"/>
  <c r="Q1955" i="16"/>
  <c r="R1955" i="16"/>
  <c r="T1955" i="16"/>
  <c r="L1956" i="16"/>
  <c r="C1956" i="16"/>
  <c r="E1956" i="16"/>
  <c r="G1956" i="16"/>
  <c r="I1956" i="16"/>
  <c r="B1957" i="16"/>
  <c r="S1900" i="16"/>
  <c r="U1900" i="16"/>
  <c r="M1901" i="16"/>
  <c r="D1901" i="16"/>
  <c r="J1901" i="16"/>
  <c r="N1901" i="16" s="1"/>
  <c r="P1901" i="16"/>
  <c r="Q1901" i="16"/>
  <c r="R1901" i="16"/>
  <c r="T1901" i="16"/>
  <c r="L1902" i="16"/>
  <c r="C1902" i="16"/>
  <c r="E1902" i="16"/>
  <c r="G1902" i="16"/>
  <c r="I1902" i="16"/>
  <c r="B1903" i="16"/>
  <c r="U1846" i="16"/>
  <c r="S1846" i="16"/>
  <c r="M1847" i="16"/>
  <c r="D1847" i="16"/>
  <c r="J1847" i="16"/>
  <c r="N1847" i="16" s="1"/>
  <c r="P1847" i="16"/>
  <c r="Q1847" i="16"/>
  <c r="R1847" i="16"/>
  <c r="T1847" i="16"/>
  <c r="L1848" i="16"/>
  <c r="C1848" i="16"/>
  <c r="K1848" i="16" s="1"/>
  <c r="E1848" i="16"/>
  <c r="F1848" i="16"/>
  <c r="O1848" i="16" s="1"/>
  <c r="G1848" i="16"/>
  <c r="I1848" i="16"/>
  <c r="B1849" i="16"/>
  <c r="M1793" i="16"/>
  <c r="D1793" i="16"/>
  <c r="J1793" i="16"/>
  <c r="N1793" i="16" s="1"/>
  <c r="P1793" i="16"/>
  <c r="Q1793" i="16"/>
  <c r="R1793" i="16"/>
  <c r="T1793" i="16"/>
  <c r="L1794" i="16"/>
  <c r="C1794" i="16"/>
  <c r="E1794" i="16"/>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S1684" i="16"/>
  <c r="U1684" i="16"/>
  <c r="M1685" i="16"/>
  <c r="D1685" i="16"/>
  <c r="J1685" i="16"/>
  <c r="N1685" i="16" s="1"/>
  <c r="P1685" i="16"/>
  <c r="Q1685" i="16"/>
  <c r="R1685" i="16"/>
  <c r="T1685" i="16"/>
  <c r="L1686" i="16"/>
  <c r="C1686" i="16"/>
  <c r="K1686" i="16" s="1"/>
  <c r="E1686" i="16"/>
  <c r="F1686" i="16"/>
  <c r="O1686" i="16" s="1"/>
  <c r="G1686" i="16"/>
  <c r="I1686" i="16"/>
  <c r="B1687" i="16"/>
  <c r="U1630" i="16"/>
  <c r="S1630" i="16"/>
  <c r="M1631" i="16"/>
  <c r="D1631" i="16"/>
  <c r="J1631" i="16"/>
  <c r="N1631" i="16" s="1"/>
  <c r="P1631" i="16"/>
  <c r="Q1631" i="16"/>
  <c r="R1631" i="16"/>
  <c r="T1631" i="16"/>
  <c r="L1632" i="16"/>
  <c r="C1632" i="16"/>
  <c r="E1632" i="16"/>
  <c r="G1632" i="16"/>
  <c r="I1632" i="16"/>
  <c r="B1633" i="16"/>
  <c r="U1576" i="16"/>
  <c r="S1576" i="16"/>
  <c r="M1577" i="16"/>
  <c r="D1577" i="16"/>
  <c r="J1577" i="16"/>
  <c r="N1577" i="16" s="1"/>
  <c r="P1577" i="16"/>
  <c r="Q1577" i="16"/>
  <c r="R1577" i="16"/>
  <c r="T1577" i="16"/>
  <c r="L1578" i="16"/>
  <c r="C1578" i="16"/>
  <c r="K1578" i="16" s="1"/>
  <c r="E1578" i="16"/>
  <c r="F1578" i="16"/>
  <c r="O1578" i="16" s="1"/>
  <c r="G1578" i="16"/>
  <c r="I1578" i="16"/>
  <c r="B1579" i="16"/>
  <c r="U1522" i="16"/>
  <c r="S1522" i="16"/>
  <c r="D1523" i="16"/>
  <c r="J1523" i="16"/>
  <c r="P1523" i="16"/>
  <c r="Q1523" i="16"/>
  <c r="R1523" i="16"/>
  <c r="T1523" i="16"/>
  <c r="L1524" i="16"/>
  <c r="C1524" i="16"/>
  <c r="K1524" i="16" s="1"/>
  <c r="E1524" i="16"/>
  <c r="F1524" i="16"/>
  <c r="O1524" i="16" s="1"/>
  <c r="G1524" i="16"/>
  <c r="I1524" i="16"/>
  <c r="B1525" i="16"/>
  <c r="M1469" i="16"/>
  <c r="P1469" i="16"/>
  <c r="Q1469" i="16"/>
  <c r="R1469" i="16"/>
  <c r="T1469" i="16"/>
  <c r="J1469" i="16"/>
  <c r="N1469" i="16" s="1"/>
  <c r="D1469" i="16"/>
  <c r="L1470" i="16"/>
  <c r="I1470" i="16"/>
  <c r="C1470" i="16"/>
  <c r="E1470" i="16"/>
  <c r="G1470" i="16"/>
  <c r="B1471" i="16"/>
  <c r="U1414" i="16"/>
  <c r="S1414" i="16"/>
  <c r="M1415" i="16"/>
  <c r="J1415" i="16"/>
  <c r="N1415" i="16" s="1"/>
  <c r="D1415" i="16"/>
  <c r="L1416" i="16"/>
  <c r="I1416" i="16"/>
  <c r="C1416" i="16"/>
  <c r="K1416" i="16" s="1"/>
  <c r="G1416" i="16"/>
  <c r="E1416" i="16"/>
  <c r="F1416" i="16"/>
  <c r="O1416" i="16" s="1"/>
  <c r="B1417" i="16"/>
  <c r="P1415" i="16"/>
  <c r="Q1415" i="16"/>
  <c r="R1415" i="16"/>
  <c r="T1415" i="16"/>
  <c r="U1360" i="16"/>
  <c r="S1360" i="16"/>
  <c r="D1361" i="16"/>
  <c r="J1361" i="16"/>
  <c r="P1361" i="16"/>
  <c r="Q1361" i="16"/>
  <c r="R1361" i="16"/>
  <c r="T1361" i="16"/>
  <c r="L1362" i="16"/>
  <c r="C1362" i="16"/>
  <c r="I1362" i="16"/>
  <c r="G1362" i="16"/>
  <c r="B1363" i="16"/>
  <c r="E1362" i="16"/>
  <c r="L1308" i="16"/>
  <c r="G1308" i="16"/>
  <c r="C1308" i="16"/>
  <c r="K1308" i="16" s="1"/>
  <c r="B1309" i="16"/>
  <c r="I1308" i="16"/>
  <c r="F1308" i="16"/>
  <c r="O1308" i="16" s="1"/>
  <c r="E1308" i="16"/>
  <c r="J1307" i="16"/>
  <c r="D1307" i="16"/>
  <c r="P1307" i="16"/>
  <c r="Q1307" i="16"/>
  <c r="R1307" i="16"/>
  <c r="T1307" i="16"/>
  <c r="M1253" i="16"/>
  <c r="J1253" i="16"/>
  <c r="N1253" i="16" s="1"/>
  <c r="D1253" i="16"/>
  <c r="P1253" i="16"/>
  <c r="Q1253" i="16"/>
  <c r="R1253" i="16"/>
  <c r="T1253" i="16"/>
  <c r="C1254" i="16"/>
  <c r="F1254" i="16"/>
  <c r="O1254" i="16" s="1"/>
  <c r="L1254" i="16"/>
  <c r="E1254" i="16"/>
  <c r="G1254" i="16"/>
  <c r="I1254" i="16"/>
  <c r="K1254" i="16"/>
  <c r="B1255" i="16"/>
  <c r="U1198" i="16"/>
  <c r="S1198" i="16"/>
  <c r="D1199" i="16"/>
  <c r="J1199" i="16"/>
  <c r="P1199" i="16"/>
  <c r="Q1199" i="16"/>
  <c r="R1199" i="16"/>
  <c r="T1199" i="16"/>
  <c r="L1200" i="16"/>
  <c r="C1200" i="16"/>
  <c r="E1200" i="16"/>
  <c r="G1200" i="16"/>
  <c r="I1200" i="16"/>
  <c r="B1201" i="16"/>
  <c r="U1144" i="16"/>
  <c r="S1144" i="16"/>
  <c r="M1145" i="16"/>
  <c r="D1145" i="16"/>
  <c r="J1145" i="16"/>
  <c r="N1145" i="16" s="1"/>
  <c r="P1145" i="16"/>
  <c r="Q1145" i="16"/>
  <c r="R1145" i="16"/>
  <c r="T1145" i="16"/>
  <c r="L1146" i="16"/>
  <c r="C1146" i="16"/>
  <c r="E1146" i="16"/>
  <c r="G1146" i="16"/>
  <c r="I1146" i="16"/>
  <c r="B1147" i="16"/>
  <c r="U1090" i="16"/>
  <c r="S1090" i="16"/>
  <c r="M1091" i="16"/>
  <c r="D1091" i="16"/>
  <c r="J1091" i="16"/>
  <c r="N1091" i="16" s="1"/>
  <c r="P1091" i="16"/>
  <c r="Q1091" i="16"/>
  <c r="R1091" i="16"/>
  <c r="T1091" i="16"/>
  <c r="L1092" i="16"/>
  <c r="C1092" i="16"/>
  <c r="E1092" i="16"/>
  <c r="G1092" i="16"/>
  <c r="I1092" i="16"/>
  <c r="B1093" i="16"/>
  <c r="U1036" i="16"/>
  <c r="S1036" i="16"/>
  <c r="M1037" i="16"/>
  <c r="D1037" i="16"/>
  <c r="J1037" i="16"/>
  <c r="N1037" i="16" s="1"/>
  <c r="P1037" i="16"/>
  <c r="Q1037" i="16"/>
  <c r="R1037" i="16"/>
  <c r="T1037" i="16"/>
  <c r="L1038" i="16"/>
  <c r="C1038" i="16"/>
  <c r="K1038" i="16" s="1"/>
  <c r="E1038" i="16"/>
  <c r="F1038" i="16"/>
  <c r="O1038" i="16" s="1"/>
  <c r="G1038" i="16"/>
  <c r="I1038" i="16"/>
  <c r="B1039" i="16"/>
  <c r="M983" i="16"/>
  <c r="D983" i="16"/>
  <c r="J983" i="16"/>
  <c r="N983" i="16" s="1"/>
  <c r="P983" i="16"/>
  <c r="Q983" i="16"/>
  <c r="R983" i="16"/>
  <c r="T983" i="16"/>
  <c r="L984" i="16"/>
  <c r="C984" i="16"/>
  <c r="E984" i="16"/>
  <c r="G984" i="16"/>
  <c r="I984" i="16"/>
  <c r="B985" i="16"/>
  <c r="U928" i="16"/>
  <c r="S928" i="16"/>
  <c r="D929" i="16"/>
  <c r="J929" i="16"/>
  <c r="P929" i="16"/>
  <c r="Q929" i="16"/>
  <c r="R929" i="16"/>
  <c r="T929" i="16"/>
  <c r="L930" i="16"/>
  <c r="C930" i="16"/>
  <c r="K930" i="16" s="1"/>
  <c r="E930" i="16"/>
  <c r="F930" i="16"/>
  <c r="O930" i="16" s="1"/>
  <c r="G930" i="16"/>
  <c r="I930" i="16"/>
  <c r="B931" i="16"/>
  <c r="U874" i="16"/>
  <c r="S874" i="16"/>
  <c r="M875" i="16"/>
  <c r="D875" i="16"/>
  <c r="J875" i="16"/>
  <c r="N875" i="16" s="1"/>
  <c r="P875" i="16"/>
  <c r="Q875" i="16"/>
  <c r="R875" i="16"/>
  <c r="T875" i="16"/>
  <c r="L876" i="16"/>
  <c r="C876" i="16"/>
  <c r="E876" i="16"/>
  <c r="G876" i="16"/>
  <c r="I876" i="16"/>
  <c r="B877" i="16"/>
  <c r="U820" i="16"/>
  <c r="S820" i="16"/>
  <c r="M821" i="16"/>
  <c r="D821" i="16"/>
  <c r="J821" i="16"/>
  <c r="N821" i="16" s="1"/>
  <c r="P821" i="16"/>
  <c r="Q821" i="16"/>
  <c r="R821" i="16"/>
  <c r="T821" i="16"/>
  <c r="L822" i="16"/>
  <c r="C822" i="16"/>
  <c r="E822" i="16"/>
  <c r="G822" i="16"/>
  <c r="I822" i="16"/>
  <c r="B823" i="16"/>
  <c r="U766" i="16"/>
  <c r="S766" i="16"/>
  <c r="M767" i="16"/>
  <c r="D767" i="16"/>
  <c r="J767" i="16"/>
  <c r="N767" i="16" s="1"/>
  <c r="P767" i="16"/>
  <c r="Q767" i="16"/>
  <c r="R767" i="16"/>
  <c r="T767" i="16"/>
  <c r="L768" i="16"/>
  <c r="C768" i="16"/>
  <c r="E768" i="16"/>
  <c r="G768" i="16"/>
  <c r="I768" i="16"/>
  <c r="B769" i="16"/>
  <c r="D713" i="16"/>
  <c r="J713" i="16"/>
  <c r="P713" i="16"/>
  <c r="Q713" i="16"/>
  <c r="R713" i="16"/>
  <c r="T713" i="16"/>
  <c r="L714" i="16"/>
  <c r="C714" i="16"/>
  <c r="K714" i="16" s="1"/>
  <c r="E714" i="16"/>
  <c r="F714" i="16"/>
  <c r="O714" i="16" s="1"/>
  <c r="G714" i="16"/>
  <c r="I714" i="16"/>
  <c r="B715" i="16"/>
  <c r="U658" i="16"/>
  <c r="S658" i="16"/>
  <c r="D659" i="16"/>
  <c r="J659" i="16"/>
  <c r="P659" i="16"/>
  <c r="Q659" i="16"/>
  <c r="R659" i="16"/>
  <c r="T659" i="16"/>
  <c r="L660" i="16"/>
  <c r="C660" i="16"/>
  <c r="K660" i="16" s="1"/>
  <c r="E660" i="16"/>
  <c r="F660" i="16"/>
  <c r="O660" i="16" s="1"/>
  <c r="G660" i="16"/>
  <c r="I660" i="16"/>
  <c r="B661" i="16"/>
  <c r="U604" i="16"/>
  <c r="S604" i="16"/>
  <c r="M605" i="16"/>
  <c r="D605" i="16"/>
  <c r="J605" i="16"/>
  <c r="N605" i="16" s="1"/>
  <c r="P605" i="16"/>
  <c r="Q605" i="16"/>
  <c r="R605" i="16"/>
  <c r="T605" i="16"/>
  <c r="L606" i="16"/>
  <c r="C606" i="16"/>
  <c r="K606" i="16" s="1"/>
  <c r="E606" i="16"/>
  <c r="F606" i="16"/>
  <c r="O606" i="16" s="1"/>
  <c r="G606" i="16"/>
  <c r="I606" i="16"/>
  <c r="B607" i="16"/>
  <c r="U550" i="16"/>
  <c r="S550" i="16"/>
  <c r="N551" i="16"/>
  <c r="M551" i="16"/>
  <c r="L552" i="16"/>
  <c r="B553" i="16"/>
  <c r="C552" i="16"/>
  <c r="E552" i="16"/>
  <c r="G552" i="16"/>
  <c r="I552" i="16"/>
  <c r="J551" i="16"/>
  <c r="D551" i="16"/>
  <c r="P551" i="16"/>
  <c r="Q551" i="16"/>
  <c r="R551" i="16"/>
  <c r="T551" i="16"/>
  <c r="U496" i="16"/>
  <c r="S496" i="16"/>
  <c r="M497" i="16"/>
  <c r="D497" i="16"/>
  <c r="J497" i="16"/>
  <c r="N497" i="16" s="1"/>
  <c r="P497" i="16"/>
  <c r="Q497" i="16"/>
  <c r="R497" i="16"/>
  <c r="T497" i="16"/>
  <c r="L498" i="16"/>
  <c r="C498" i="16"/>
  <c r="K498" i="16" s="1"/>
  <c r="E498" i="16"/>
  <c r="F498" i="16"/>
  <c r="O498" i="16" s="1"/>
  <c r="G498" i="16"/>
  <c r="I498" i="16"/>
  <c r="B499" i="16"/>
  <c r="D443" i="16"/>
  <c r="J443" i="16"/>
  <c r="P443" i="16"/>
  <c r="Q443" i="16"/>
  <c r="R443" i="16"/>
  <c r="T443" i="16"/>
  <c r="L444" i="16"/>
  <c r="C444" i="16"/>
  <c r="K444" i="16" s="1"/>
  <c r="E444" i="16"/>
  <c r="F444" i="16"/>
  <c r="O444" i="16" s="1"/>
  <c r="G444" i="16"/>
  <c r="I444" i="16"/>
  <c r="B445" i="16"/>
  <c r="U388" i="16"/>
  <c r="S388" i="16"/>
  <c r="D389" i="16"/>
  <c r="J389" i="16"/>
  <c r="P389" i="16"/>
  <c r="Q389" i="16"/>
  <c r="R389" i="16"/>
  <c r="T389" i="16"/>
  <c r="L390" i="16"/>
  <c r="C390" i="16"/>
  <c r="E390" i="16"/>
  <c r="G390" i="16"/>
  <c r="I390" i="16"/>
  <c r="B391" i="16"/>
  <c r="S334" i="16"/>
  <c r="U334" i="16"/>
  <c r="M335" i="16"/>
  <c r="D335" i="16"/>
  <c r="J335" i="16"/>
  <c r="N335" i="16" s="1"/>
  <c r="P335" i="16"/>
  <c r="Q335" i="16"/>
  <c r="R335" i="16"/>
  <c r="T335" i="16"/>
  <c r="L336" i="16"/>
  <c r="C336" i="16"/>
  <c r="E336" i="16"/>
  <c r="G336" i="16"/>
  <c r="I336" i="16"/>
  <c r="B337" i="16"/>
  <c r="U280" i="16"/>
  <c r="S280" i="16"/>
  <c r="M281" i="16"/>
  <c r="D281" i="16"/>
  <c r="J281" i="16"/>
  <c r="N281" i="16" s="1"/>
  <c r="P281" i="16"/>
  <c r="Q281" i="16"/>
  <c r="R281" i="16"/>
  <c r="T281" i="16"/>
  <c r="L282" i="16"/>
  <c r="C282" i="16"/>
  <c r="K282" i="16" s="1"/>
  <c r="E282" i="16"/>
  <c r="F282" i="16"/>
  <c r="O282" i="16" s="1"/>
  <c r="G282" i="16"/>
  <c r="I282" i="16"/>
  <c r="B283" i="16"/>
  <c r="M227" i="16"/>
  <c r="D227" i="16"/>
  <c r="J227" i="16"/>
  <c r="N227" i="16" s="1"/>
  <c r="P227" i="16"/>
  <c r="Q227" i="16"/>
  <c r="R227" i="16"/>
  <c r="T227" i="16"/>
  <c r="L228" i="16"/>
  <c r="C228" i="16"/>
  <c r="K228" i="16" s="1"/>
  <c r="E228" i="16"/>
  <c r="F228" i="16"/>
  <c r="O228" i="16" s="1"/>
  <c r="G228" i="16"/>
  <c r="I228" i="16"/>
  <c r="B229" i="16"/>
  <c r="D173" i="16"/>
  <c r="J173" i="16"/>
  <c r="P173" i="16"/>
  <c r="Q173" i="16"/>
  <c r="R173" i="16"/>
  <c r="T173" i="16"/>
  <c r="L174" i="16"/>
  <c r="I174" i="16"/>
  <c r="C174" i="16"/>
  <c r="K174" i="16" s="1"/>
  <c r="E174" i="16"/>
  <c r="F174" i="16"/>
  <c r="O174" i="16" s="1"/>
  <c r="G174" i="16"/>
  <c r="B175" i="16"/>
  <c r="P119" i="16"/>
  <c r="Q119" i="16"/>
  <c r="R119" i="16"/>
  <c r="T119" i="16"/>
  <c r="J119" i="16"/>
  <c r="D119" i="16"/>
  <c r="L120" i="16"/>
  <c r="G120" i="16"/>
  <c r="C120" i="16"/>
  <c r="E120" i="16"/>
  <c r="I120" i="16"/>
  <c r="B121" i="16"/>
  <c r="U56" i="4"/>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R57" i="4"/>
  <c r="T57" i="4"/>
  <c r="V57" i="4"/>
  <c r="BF57" i="4"/>
  <c r="L58" i="4"/>
  <c r="C58" i="4"/>
  <c r="K58" i="4" s="1"/>
  <c r="E58" i="4"/>
  <c r="F58" i="4"/>
  <c r="C58" i="5" s="1"/>
  <c r="E58" i="5" s="1"/>
  <c r="G58" i="4"/>
  <c r="I58" i="4"/>
  <c r="B59" i="4"/>
  <c r="B58" i="5"/>
  <c r="U4251" i="16"/>
  <c r="S4251" i="16"/>
  <c r="U4197" i="16"/>
  <c r="S4197" i="16"/>
  <c r="U4143" i="16"/>
  <c r="S4143" i="16"/>
  <c r="U3681" i="16"/>
  <c r="S3681" i="16"/>
  <c r="U3519" i="16"/>
  <c r="S3519" i="16"/>
  <c r="S3465" i="16"/>
  <c r="U3465" i="16"/>
  <c r="U3303" i="16"/>
  <c r="S3303" i="16"/>
  <c r="U3033" i="16"/>
  <c r="S3033" i="16"/>
  <c r="U2979" i="16"/>
  <c r="S2979" i="16"/>
  <c r="U2763" i="16"/>
  <c r="S2763" i="16"/>
  <c r="U2709" i="16"/>
  <c r="S2709" i="16"/>
  <c r="U2655" i="16"/>
  <c r="S2655" i="16"/>
  <c r="U2601" i="16"/>
  <c r="S2601" i="16"/>
  <c r="U2439" i="16"/>
  <c r="S2439" i="16"/>
  <c r="U2385" i="16"/>
  <c r="S2385" i="16"/>
  <c r="U2169" i="16"/>
  <c r="S2169" i="16"/>
  <c r="S1899" i="16"/>
  <c r="U1899" i="16"/>
  <c r="S1683" i="16"/>
  <c r="U1683" i="16"/>
  <c r="U1629" i="16"/>
  <c r="S1629" i="16"/>
  <c r="U1467" i="16"/>
  <c r="S1467" i="16"/>
  <c r="U1413" i="16"/>
  <c r="S1413" i="16"/>
  <c r="U1359" i="16"/>
  <c r="S1359" i="16"/>
  <c r="U1305" i="16"/>
  <c r="S1305" i="16"/>
  <c r="U1197" i="16"/>
  <c r="S1197" i="16"/>
  <c r="U1143" i="16"/>
  <c r="S1143" i="16"/>
  <c r="U981" i="16"/>
  <c r="S981" i="16"/>
  <c r="U927" i="16"/>
  <c r="S927" i="16"/>
  <c r="U873" i="16"/>
  <c r="S873" i="16"/>
  <c r="U657" i="16"/>
  <c r="S657" i="16"/>
  <c r="S549" i="16"/>
  <c r="U549" i="16"/>
  <c r="U387" i="16"/>
  <c r="S387" i="16"/>
  <c r="U171" i="16"/>
  <c r="S171" i="16"/>
  <c r="M4252" i="16"/>
  <c r="N4252" i="16"/>
  <c r="M3736" i="16"/>
  <c r="N3736" i="16"/>
  <c r="M3142" i="16"/>
  <c r="N3142" i="16"/>
  <c r="N3034" i="16"/>
  <c r="M3034" i="16"/>
  <c r="M2872" i="16"/>
  <c r="N2872" i="16"/>
  <c r="M2818" i="16"/>
  <c r="N2818" i="16"/>
  <c r="S2818" i="16" s="1"/>
  <c r="N2710" i="16"/>
  <c r="M2710" i="16"/>
  <c r="M2602" i="16"/>
  <c r="N2602" i="16"/>
  <c r="M2548" i="16"/>
  <c r="N2548" i="16"/>
  <c r="M2332" i="16"/>
  <c r="N2332" i="16"/>
  <c r="M2062" i="16"/>
  <c r="N2062" i="16"/>
  <c r="M2008" i="16"/>
  <c r="N2008" i="16"/>
  <c r="M1792" i="16"/>
  <c r="N1792" i="16"/>
  <c r="N1468" i="16"/>
  <c r="M1468" i="16"/>
  <c r="N1306" i="16"/>
  <c r="M1306" i="16"/>
  <c r="M1252" i="16"/>
  <c r="N1252" i="16"/>
  <c r="M982" i="16"/>
  <c r="N982" i="16"/>
  <c r="M712" i="16"/>
  <c r="N712" i="16"/>
  <c r="M442" i="16"/>
  <c r="N442" i="16"/>
  <c r="M226" i="16"/>
  <c r="N226" i="16"/>
  <c r="M172" i="16"/>
  <c r="N172" i="16"/>
  <c r="M118" i="16"/>
  <c r="N118" i="16"/>
  <c r="F4553" i="16"/>
  <c r="K4553" i="16"/>
  <c r="K4253" i="16"/>
  <c r="F4253" i="16"/>
  <c r="O4253" i="16" s="1"/>
  <c r="F4145" i="16"/>
  <c r="O4145" i="16" s="1"/>
  <c r="K4145" i="16"/>
  <c r="F3521" i="16"/>
  <c r="O3521" i="16" s="1"/>
  <c r="K3521" i="16"/>
  <c r="K3467" i="16"/>
  <c r="F3467" i="16"/>
  <c r="O3467" i="16" s="1"/>
  <c r="F3035" i="16"/>
  <c r="O3035" i="16" s="1"/>
  <c r="K3035" i="16"/>
  <c r="K2819" i="16"/>
  <c r="F2819" i="16"/>
  <c r="O2819" i="16" s="1"/>
  <c r="K2765" i="16"/>
  <c r="F2765" i="16"/>
  <c r="O2765" i="16" s="1"/>
  <c r="F2711" i="16"/>
  <c r="O2711" i="16" s="1"/>
  <c r="K2711" i="16"/>
  <c r="F2657" i="16"/>
  <c r="O2657" i="16" s="1"/>
  <c r="K2657" i="16"/>
  <c r="F2603" i="16"/>
  <c r="O2603" i="16" s="1"/>
  <c r="K2603" i="16"/>
  <c r="F2495" i="16"/>
  <c r="O2495" i="16" s="1"/>
  <c r="K2495" i="16"/>
  <c r="F2333" i="16"/>
  <c r="O2333" i="16" s="1"/>
  <c r="K2333" i="16"/>
  <c r="F2225" i="16"/>
  <c r="O2225" i="16" s="1"/>
  <c r="K2225" i="16"/>
  <c r="K2171" i="16"/>
  <c r="F2171" i="16"/>
  <c r="O2171" i="16" s="1"/>
  <c r="K1955" i="16"/>
  <c r="F1955" i="16"/>
  <c r="O1955" i="16" s="1"/>
  <c r="F1523" i="16"/>
  <c r="O1523" i="16" s="1"/>
  <c r="K1523" i="16"/>
  <c r="F1361" i="16"/>
  <c r="O1361" i="16" s="1"/>
  <c r="K1361" i="16"/>
  <c r="K1307" i="16"/>
  <c r="F1307" i="16"/>
  <c r="O1307" i="16" s="1"/>
  <c r="K1199" i="16"/>
  <c r="F1199" i="16"/>
  <c r="O1199" i="16" s="1"/>
  <c r="K929" i="16"/>
  <c r="F929" i="16"/>
  <c r="O929" i="16" s="1"/>
  <c r="K713" i="16"/>
  <c r="F713" i="16"/>
  <c r="O713" i="16" s="1"/>
  <c r="F659" i="16"/>
  <c r="O659" i="16" s="1"/>
  <c r="K659" i="16"/>
  <c r="F443" i="16"/>
  <c r="O443" i="16" s="1"/>
  <c r="K443" i="16"/>
  <c r="K389" i="16"/>
  <c r="F389" i="16"/>
  <c r="O389" i="16" s="1"/>
  <c r="K173" i="16"/>
  <c r="F173" i="16"/>
  <c r="O173" i="16" s="1"/>
  <c r="F119" i="16"/>
  <c r="O119" i="16" s="1"/>
  <c r="K119" i="16"/>
  <c r="C90" i="7"/>
  <c r="G90" i="7" s="1"/>
  <c r="K3468" i="16" l="1"/>
  <c r="F3468" i="16"/>
  <c r="O3468" i="16" s="1"/>
  <c r="K3090" i="16"/>
  <c r="F3090" i="16"/>
  <c r="O3090" i="16" s="1"/>
  <c r="K2658" i="16"/>
  <c r="F2658" i="16"/>
  <c r="O2658" i="16" s="1"/>
  <c r="K2010" i="16"/>
  <c r="F2010" i="16"/>
  <c r="O2010" i="16" s="1"/>
  <c r="K1794" i="16"/>
  <c r="F1794" i="16"/>
  <c r="O1794" i="16" s="1"/>
  <c r="K1632" i="16"/>
  <c r="F1632" i="16"/>
  <c r="O1632" i="16" s="1"/>
  <c r="K1200" i="16"/>
  <c r="F1200" i="16"/>
  <c r="O1200" i="16" s="1"/>
  <c r="K984" i="16"/>
  <c r="F984" i="16"/>
  <c r="O984" i="16" s="1"/>
  <c r="K768" i="16"/>
  <c r="F768" i="16"/>
  <c r="O768" i="16" s="1"/>
  <c r="K390" i="16"/>
  <c r="F390" i="16"/>
  <c r="O390" i="16" s="1"/>
  <c r="T4714" i="16"/>
  <c r="S4715" i="16"/>
  <c r="T4715" i="16" s="1"/>
  <c r="U4715" i="16"/>
  <c r="M4716" i="16"/>
  <c r="D4716" i="16"/>
  <c r="J4716" i="16"/>
  <c r="N4716" i="16" s="1"/>
  <c r="P4716" i="16"/>
  <c r="Q4716" i="16"/>
  <c r="R4716" i="16"/>
  <c r="L4717" i="16"/>
  <c r="C4717" i="16"/>
  <c r="K4717" i="16" s="1"/>
  <c r="E4717" i="16"/>
  <c r="F4717" i="16"/>
  <c r="G4717" i="16"/>
  <c r="I4717" i="16"/>
  <c r="B4718" i="16"/>
  <c r="P4662" i="16"/>
  <c r="Q4662" i="16"/>
  <c r="R4662" i="16"/>
  <c r="C4663" i="16"/>
  <c r="D4663" i="16" s="1"/>
  <c r="E4663" i="16"/>
  <c r="F4663" i="16"/>
  <c r="O4663" i="16" s="1"/>
  <c r="G4663" i="16"/>
  <c r="B4664" i="16"/>
  <c r="D4608" i="16"/>
  <c r="J4608" i="16"/>
  <c r="P4608" i="16"/>
  <c r="Q4608" i="16"/>
  <c r="R4608" i="16"/>
  <c r="L4609" i="16"/>
  <c r="C4609" i="16"/>
  <c r="K4609" i="16" s="1"/>
  <c r="E4609" i="16"/>
  <c r="F4609" i="16"/>
  <c r="G4609" i="16"/>
  <c r="I4609" i="16"/>
  <c r="B4610" i="16"/>
  <c r="P4554" i="16"/>
  <c r="Q4554" i="16"/>
  <c r="R4554" i="16"/>
  <c r="J4554" i="16"/>
  <c r="D4554" i="16"/>
  <c r="I4555" i="16"/>
  <c r="C4555" i="16"/>
  <c r="E4555" i="16"/>
  <c r="G4555" i="16"/>
  <c r="L4555" i="16"/>
  <c r="B4556" i="16"/>
  <c r="M4254" i="16"/>
  <c r="D4254" i="16"/>
  <c r="J4254" i="16"/>
  <c r="N4254" i="16" s="1"/>
  <c r="P4254" i="16"/>
  <c r="Q4254" i="16"/>
  <c r="R4254" i="16"/>
  <c r="T4254" i="16"/>
  <c r="L4255" i="16"/>
  <c r="C4255" i="16"/>
  <c r="E4255" i="16"/>
  <c r="G4255" i="16"/>
  <c r="I4255" i="16"/>
  <c r="B4256" i="16"/>
  <c r="U4199" i="16"/>
  <c r="S4199" i="16"/>
  <c r="D4200" i="16"/>
  <c r="J4200" i="16"/>
  <c r="N4200" i="16" s="1"/>
  <c r="P4200" i="16"/>
  <c r="Q4200" i="16"/>
  <c r="R4200" i="16"/>
  <c r="T4200" i="16"/>
  <c r="M4200" i="16"/>
  <c r="C4201" i="16"/>
  <c r="E4201" i="16"/>
  <c r="F4201" i="16"/>
  <c r="O4201" i="16" s="1"/>
  <c r="G4201" i="16"/>
  <c r="I4201" i="16"/>
  <c r="K4201" i="16"/>
  <c r="L4201" i="16"/>
  <c r="B4202" i="16"/>
  <c r="P4146" i="16"/>
  <c r="Q4146" i="16"/>
  <c r="R4146" i="16"/>
  <c r="T4146" i="16"/>
  <c r="D4146" i="16"/>
  <c r="J4146" i="16"/>
  <c r="N4146" i="16" s="1"/>
  <c r="M4146" i="16"/>
  <c r="I4147" i="16"/>
  <c r="L4147" i="16"/>
  <c r="B4148" i="16"/>
  <c r="C4147" i="16"/>
  <c r="E4147" i="16"/>
  <c r="G4147" i="16"/>
  <c r="U4091" i="16"/>
  <c r="S4091" i="16"/>
  <c r="M4092" i="16"/>
  <c r="D4092" i="16"/>
  <c r="J4092" i="16"/>
  <c r="N4092" i="16" s="1"/>
  <c r="P4092" i="16"/>
  <c r="Q4092" i="16"/>
  <c r="R4092" i="16"/>
  <c r="T4092" i="16"/>
  <c r="L4093" i="16"/>
  <c r="C4093" i="16"/>
  <c r="K4093" i="16" s="1"/>
  <c r="E4093" i="16"/>
  <c r="F4093" i="16"/>
  <c r="O4093" i="16" s="1"/>
  <c r="G4093" i="16"/>
  <c r="I4093" i="16"/>
  <c r="B4094" i="16"/>
  <c r="U3791" i="16"/>
  <c r="S3791" i="16"/>
  <c r="M3792" i="16"/>
  <c r="D3792" i="16"/>
  <c r="J3792" i="16"/>
  <c r="N3792" i="16" s="1"/>
  <c r="P3792" i="16"/>
  <c r="Q3792" i="16"/>
  <c r="R3792" i="16"/>
  <c r="T3792" i="16"/>
  <c r="L3793" i="16"/>
  <c r="C3793" i="16"/>
  <c r="K3793" i="16" s="1"/>
  <c r="E3793" i="16"/>
  <c r="F3793" i="16"/>
  <c r="O3793" i="16" s="1"/>
  <c r="G3793" i="16"/>
  <c r="I3793" i="16"/>
  <c r="B3794" i="16"/>
  <c r="U3737" i="16"/>
  <c r="S3737" i="16"/>
  <c r="D3738" i="16"/>
  <c r="J3738" i="16"/>
  <c r="P3738" i="16"/>
  <c r="Q3738" i="16"/>
  <c r="R3738" i="16"/>
  <c r="T3738" i="16"/>
  <c r="L3739" i="16"/>
  <c r="C3739" i="16"/>
  <c r="K3739" i="16" s="1"/>
  <c r="E3739" i="16"/>
  <c r="F3739" i="16"/>
  <c r="O3739" i="16" s="1"/>
  <c r="G3739" i="16"/>
  <c r="I3739" i="16"/>
  <c r="B3740" i="16"/>
  <c r="S3683" i="16"/>
  <c r="U3683" i="16"/>
  <c r="D3684" i="16"/>
  <c r="J3684" i="16"/>
  <c r="P3684" i="16"/>
  <c r="Q3684" i="16"/>
  <c r="R3684" i="16"/>
  <c r="T3684" i="16"/>
  <c r="L3685" i="16"/>
  <c r="G3685" i="16"/>
  <c r="C3685" i="16"/>
  <c r="K3685" i="16" s="1"/>
  <c r="E3685" i="16"/>
  <c r="F3685" i="16"/>
  <c r="O3685" i="16" s="1"/>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D3576" i="16"/>
  <c r="J3576" i="16"/>
  <c r="P3576" i="16"/>
  <c r="Q3576" i="16"/>
  <c r="R3576" i="16"/>
  <c r="T3576" i="16"/>
  <c r="L3577" i="16"/>
  <c r="C3577" i="16"/>
  <c r="K3577" i="16" s="1"/>
  <c r="E3577" i="16"/>
  <c r="F3577" i="16"/>
  <c r="O3577" i="16" s="1"/>
  <c r="G3577" i="16"/>
  <c r="I3577" i="16"/>
  <c r="B3578" i="16"/>
  <c r="M3522" i="16"/>
  <c r="D3522" i="16"/>
  <c r="J3522" i="16"/>
  <c r="N3522" i="16" s="1"/>
  <c r="P3522" i="16"/>
  <c r="Q3522" i="16"/>
  <c r="R3522" i="16"/>
  <c r="T3522" i="16"/>
  <c r="L3523" i="16"/>
  <c r="C3523" i="16"/>
  <c r="E3523" i="16"/>
  <c r="G3523" i="16"/>
  <c r="I3523" i="16"/>
  <c r="B3524" i="16"/>
  <c r="M3468" i="16"/>
  <c r="D3468" i="16"/>
  <c r="J3468" i="16"/>
  <c r="N3468" i="16" s="1"/>
  <c r="P3468" i="16"/>
  <c r="Q3468" i="16"/>
  <c r="R3468" i="16"/>
  <c r="T3468" i="16"/>
  <c r="L3469" i="16"/>
  <c r="C3469" i="16"/>
  <c r="K3469" i="16" s="1"/>
  <c r="E3469" i="16"/>
  <c r="F3469" i="16"/>
  <c r="O3469" i="16" s="1"/>
  <c r="G3469" i="16"/>
  <c r="I3469" i="16"/>
  <c r="B3470" i="16"/>
  <c r="U3413" i="16"/>
  <c r="S3413" i="16"/>
  <c r="M3414" i="16"/>
  <c r="D3414" i="16"/>
  <c r="J3414" i="16"/>
  <c r="N3414" i="16" s="1"/>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E3307" i="16"/>
  <c r="G3307" i="16"/>
  <c r="I3307" i="16"/>
  <c r="B3308" i="16"/>
  <c r="S3251" i="16"/>
  <c r="U3251" i="16"/>
  <c r="D3252" i="16"/>
  <c r="J3252" i="16"/>
  <c r="P3252" i="16"/>
  <c r="Q3252" i="16"/>
  <c r="R3252" i="16"/>
  <c r="T3252" i="16"/>
  <c r="L3253" i="16"/>
  <c r="C3253" i="16"/>
  <c r="K3253" i="16" s="1"/>
  <c r="E3253" i="16"/>
  <c r="F3253" i="16"/>
  <c r="O3253" i="16" s="1"/>
  <c r="G3253" i="16"/>
  <c r="I3253" i="16"/>
  <c r="B3254" i="16"/>
  <c r="U3197" i="16"/>
  <c r="S3197" i="16"/>
  <c r="D3198" i="16"/>
  <c r="J3198" i="16"/>
  <c r="P3198" i="16"/>
  <c r="Q3198" i="16"/>
  <c r="R3198" i="16"/>
  <c r="T3198" i="16"/>
  <c r="L3199" i="16"/>
  <c r="C3199" i="16"/>
  <c r="K3199" i="16" s="1"/>
  <c r="E3199" i="16"/>
  <c r="F3199" i="16"/>
  <c r="O3199" i="16" s="1"/>
  <c r="G3199" i="16"/>
  <c r="I3199" i="16"/>
  <c r="B3200" i="16"/>
  <c r="U3143" i="16"/>
  <c r="S3143" i="16"/>
  <c r="M3144" i="16"/>
  <c r="D3144" i="16"/>
  <c r="J3144" i="16"/>
  <c r="N3144" i="16" s="1"/>
  <c r="P3144" i="16"/>
  <c r="Q3144" i="16"/>
  <c r="R3144" i="16"/>
  <c r="T3144" i="16"/>
  <c r="L3145" i="16"/>
  <c r="C3145" i="16"/>
  <c r="E3145" i="16"/>
  <c r="G3145" i="16"/>
  <c r="I3145" i="16"/>
  <c r="B3146" i="16"/>
  <c r="U3089" i="16"/>
  <c r="S3089" i="16"/>
  <c r="M3090" i="16"/>
  <c r="P3090" i="16"/>
  <c r="Q3090" i="16"/>
  <c r="R3090" i="16"/>
  <c r="T3090" i="16"/>
  <c r="L3091" i="16"/>
  <c r="E3091" i="16"/>
  <c r="C3091" i="16"/>
  <c r="B3092" i="16"/>
  <c r="I3091" i="16"/>
  <c r="G3091" i="16"/>
  <c r="D3090" i="16"/>
  <c r="J3090" i="16"/>
  <c r="N3090" i="16" s="1"/>
  <c r="M3036" i="16"/>
  <c r="D3036" i="16"/>
  <c r="J3036" i="16"/>
  <c r="N3036" i="16" s="1"/>
  <c r="P3036" i="16"/>
  <c r="Q3036" i="16"/>
  <c r="R3036" i="16"/>
  <c r="T3036" i="16"/>
  <c r="L3037" i="16"/>
  <c r="C3037" i="16"/>
  <c r="K3037" i="16" s="1"/>
  <c r="E3037" i="16"/>
  <c r="F3037" i="16"/>
  <c r="O3037" i="16" s="1"/>
  <c r="G3037" i="16"/>
  <c r="B3038" i="16"/>
  <c r="I3037" i="16"/>
  <c r="U2981" i="16"/>
  <c r="S2981" i="16"/>
  <c r="M2982" i="16"/>
  <c r="D2982" i="16"/>
  <c r="J2982" i="16"/>
  <c r="N2982" i="16" s="1"/>
  <c r="P2982" i="16"/>
  <c r="Q2982" i="16"/>
  <c r="R2982" i="16"/>
  <c r="T2982" i="16"/>
  <c r="L2983" i="16"/>
  <c r="C2983" i="16"/>
  <c r="E2983" i="16"/>
  <c r="G2983" i="16"/>
  <c r="I2983" i="16"/>
  <c r="B2984" i="16"/>
  <c r="U2927" i="16"/>
  <c r="S2927" i="16"/>
  <c r="D2928" i="16"/>
  <c r="J2928" i="16"/>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P2820" i="16"/>
  <c r="Q2820" i="16"/>
  <c r="R2820" i="16"/>
  <c r="T2820" i="16"/>
  <c r="U2820" i="16" s="1"/>
  <c r="L2821" i="16"/>
  <c r="E2821" i="16"/>
  <c r="C2821" i="16"/>
  <c r="K2821" i="16" s="1"/>
  <c r="F2821" i="16"/>
  <c r="O2821" i="16" s="1"/>
  <c r="G2821" i="16"/>
  <c r="I2821" i="16"/>
  <c r="B2822" i="16"/>
  <c r="J2820" i="16"/>
  <c r="N2820" i="16" s="1"/>
  <c r="S2820" i="16" s="1"/>
  <c r="D2820" i="16"/>
  <c r="M2766" i="16"/>
  <c r="D2766" i="16"/>
  <c r="J2766" i="16"/>
  <c r="N2766" i="16" s="1"/>
  <c r="P2766" i="16"/>
  <c r="Q2766" i="16"/>
  <c r="R2766" i="16"/>
  <c r="T2766" i="16"/>
  <c r="L2767" i="16"/>
  <c r="E2767" i="16"/>
  <c r="I2767" i="16"/>
  <c r="C2767" i="16"/>
  <c r="K2767" i="16" s="1"/>
  <c r="F2767" i="16"/>
  <c r="O2767" i="16" s="1"/>
  <c r="B2768" i="16"/>
  <c r="G2767" i="16"/>
  <c r="M2712" i="16"/>
  <c r="J2712" i="16"/>
  <c r="N2712" i="16" s="1"/>
  <c r="D2712" i="16"/>
  <c r="P2712" i="16"/>
  <c r="Q2712" i="16"/>
  <c r="R2712" i="16"/>
  <c r="T2712" i="16"/>
  <c r="L2713" i="16"/>
  <c r="E2713" i="16"/>
  <c r="I2713" i="16"/>
  <c r="C2713" i="16"/>
  <c r="B2714" i="16"/>
  <c r="G2713" i="16"/>
  <c r="M2658" i="16"/>
  <c r="L2659" i="16"/>
  <c r="I2659" i="16"/>
  <c r="E2659" i="16"/>
  <c r="G2659" i="16"/>
  <c r="B2660" i="16"/>
  <c r="C2659" i="16"/>
  <c r="D2658" i="16"/>
  <c r="J2658" i="16"/>
  <c r="N2658" i="16" s="1"/>
  <c r="P2658" i="16"/>
  <c r="Q2658" i="16"/>
  <c r="R2658" i="16"/>
  <c r="T2658" i="16"/>
  <c r="M2604" i="16"/>
  <c r="D2604" i="16"/>
  <c r="J2604" i="16"/>
  <c r="N2604" i="16" s="1"/>
  <c r="L2605" i="16"/>
  <c r="G2605" i="16"/>
  <c r="C2605" i="16"/>
  <c r="E2605" i="16"/>
  <c r="B2606" i="16"/>
  <c r="I2605" i="16"/>
  <c r="P2604" i="16"/>
  <c r="Q2604" i="16"/>
  <c r="R2604" i="16"/>
  <c r="T2604" i="16"/>
  <c r="S2549" i="16"/>
  <c r="U2549" i="16"/>
  <c r="P2550" i="16"/>
  <c r="Q2550" i="16"/>
  <c r="R2550" i="16"/>
  <c r="T2550" i="16"/>
  <c r="L2551" i="16"/>
  <c r="C2551" i="16"/>
  <c r="K2551" i="16" s="1"/>
  <c r="B2552" i="16"/>
  <c r="I2551" i="16"/>
  <c r="E2551" i="16"/>
  <c r="F2551" i="16"/>
  <c r="O2551" i="16" s="1"/>
  <c r="G2551" i="16"/>
  <c r="J2550" i="16"/>
  <c r="D2550" i="16"/>
  <c r="M2496" i="16"/>
  <c r="D2496" i="16"/>
  <c r="J2496" i="16"/>
  <c r="N2496" i="16" s="1"/>
  <c r="P2496" i="16"/>
  <c r="Q2496" i="16"/>
  <c r="R2496" i="16"/>
  <c r="T2496" i="16"/>
  <c r="L2497" i="16"/>
  <c r="C2497" i="16"/>
  <c r="K2497" i="16" s="1"/>
  <c r="E2497" i="16"/>
  <c r="F2497" i="16"/>
  <c r="O2497" i="16" s="1"/>
  <c r="G2497" i="16"/>
  <c r="I2497" i="16"/>
  <c r="B2498" i="16"/>
  <c r="U2441" i="16"/>
  <c r="S2441" i="16"/>
  <c r="D2442" i="16"/>
  <c r="J2442" i="16"/>
  <c r="P2442" i="16"/>
  <c r="Q2442" i="16"/>
  <c r="R2442" i="16"/>
  <c r="T2442" i="16"/>
  <c r="L2443" i="16"/>
  <c r="C2443" i="16"/>
  <c r="K2443" i="16" s="1"/>
  <c r="E2443" i="16"/>
  <c r="F2443" i="16"/>
  <c r="O2443" i="16" s="1"/>
  <c r="G2443" i="16"/>
  <c r="I2443" i="16"/>
  <c r="B2444" i="16"/>
  <c r="U2387" i="16"/>
  <c r="S2387" i="16"/>
  <c r="D2388" i="16"/>
  <c r="J2388" i="16"/>
  <c r="P2388" i="16"/>
  <c r="Q2388" i="16"/>
  <c r="R2388" i="16"/>
  <c r="T2388" i="16"/>
  <c r="L2389" i="16"/>
  <c r="C2389" i="16"/>
  <c r="E2389" i="16"/>
  <c r="G2389" i="16"/>
  <c r="I2389" i="16"/>
  <c r="B2390" i="16"/>
  <c r="M2334" i="16"/>
  <c r="J2334" i="16"/>
  <c r="N2334" i="16" s="1"/>
  <c r="D2334" i="16"/>
  <c r="P2334" i="16"/>
  <c r="Q2334" i="16"/>
  <c r="R2334" i="16"/>
  <c r="T2334" i="16"/>
  <c r="L2335" i="16"/>
  <c r="G2335" i="16"/>
  <c r="B2336" i="16"/>
  <c r="E2335" i="16"/>
  <c r="C2335" i="16"/>
  <c r="K2335" i="16" s="1"/>
  <c r="F2335" i="16"/>
  <c r="O2335" i="16" s="1"/>
  <c r="I2335" i="16"/>
  <c r="U2279" i="16"/>
  <c r="S2279" i="16"/>
  <c r="M2280" i="16"/>
  <c r="D2280" i="16"/>
  <c r="J2280" i="16"/>
  <c r="N2280" i="16" s="1"/>
  <c r="P2280" i="16"/>
  <c r="Q2280" i="16"/>
  <c r="R2280" i="16"/>
  <c r="T2280" i="16"/>
  <c r="L2281" i="16"/>
  <c r="C2281" i="16"/>
  <c r="E2281" i="16"/>
  <c r="G2281" i="16"/>
  <c r="I2281" i="16"/>
  <c r="B2282" i="16"/>
  <c r="D2226" i="16"/>
  <c r="J2226" i="16"/>
  <c r="P2226" i="16"/>
  <c r="Q2226" i="16"/>
  <c r="R2226" i="16"/>
  <c r="T2226" i="16"/>
  <c r="L2227" i="16"/>
  <c r="C2227" i="16"/>
  <c r="K2227" i="16" s="1"/>
  <c r="E2227" i="16"/>
  <c r="F2227" i="16"/>
  <c r="O2227" i="16" s="1"/>
  <c r="G2227" i="16"/>
  <c r="I2227" i="16"/>
  <c r="B2228" i="16"/>
  <c r="M2172" i="16"/>
  <c r="D2172" i="16"/>
  <c r="J2172" i="16"/>
  <c r="N2172" i="16" s="1"/>
  <c r="P2172" i="16"/>
  <c r="Q2172" i="16"/>
  <c r="R2172" i="16"/>
  <c r="T2172" i="16"/>
  <c r="L2173" i="16"/>
  <c r="C2173" i="16"/>
  <c r="E2173" i="16"/>
  <c r="G2173" i="16"/>
  <c r="I2173" i="16"/>
  <c r="B2174" i="16"/>
  <c r="S2117" i="16"/>
  <c r="U2117" i="16"/>
  <c r="M2118" i="16"/>
  <c r="D2118" i="16"/>
  <c r="J2118" i="16"/>
  <c r="N2118" i="16" s="1"/>
  <c r="P2118" i="16"/>
  <c r="Q2118" i="16"/>
  <c r="R2118" i="16"/>
  <c r="T2118" i="16"/>
  <c r="L2119" i="16"/>
  <c r="C2119" i="16"/>
  <c r="E2119" i="16"/>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D1956" i="16"/>
  <c r="J1956" i="16"/>
  <c r="P1956" i="16"/>
  <c r="Q1956" i="16"/>
  <c r="R1956" i="16"/>
  <c r="T1956" i="16"/>
  <c r="L1957" i="16"/>
  <c r="C1957" i="16"/>
  <c r="K1957" i="16" s="1"/>
  <c r="E1957" i="16"/>
  <c r="F1957" i="16"/>
  <c r="O1957" i="16" s="1"/>
  <c r="G1957" i="16"/>
  <c r="I1957" i="16"/>
  <c r="B1958" i="16"/>
  <c r="S1901" i="16"/>
  <c r="U1901" i="16"/>
  <c r="D1902" i="16"/>
  <c r="J1902" i="16"/>
  <c r="P1902" i="16"/>
  <c r="Q1902" i="16"/>
  <c r="R1902" i="16"/>
  <c r="T1902" i="16"/>
  <c r="L1903" i="16"/>
  <c r="C1903" i="16"/>
  <c r="E1903" i="16"/>
  <c r="G1903" i="16"/>
  <c r="I1903" i="16"/>
  <c r="B1904" i="16"/>
  <c r="U1847" i="16"/>
  <c r="S1847" i="16"/>
  <c r="M1848" i="16"/>
  <c r="D1848" i="16"/>
  <c r="J1848" i="16"/>
  <c r="N1848" i="16" s="1"/>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K1687" i="16" s="1"/>
  <c r="E1687" i="16"/>
  <c r="F1687" i="16"/>
  <c r="O1687" i="16" s="1"/>
  <c r="G1687" i="16"/>
  <c r="I1687" i="16"/>
  <c r="B1688"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M1524" i="16"/>
  <c r="D1524" i="16"/>
  <c r="J1524" i="16"/>
  <c r="N1524" i="16" s="1"/>
  <c r="P1524" i="16"/>
  <c r="Q1524" i="16"/>
  <c r="R1524" i="16"/>
  <c r="T1524" i="16"/>
  <c r="L1525" i="16"/>
  <c r="C1525" i="16"/>
  <c r="K1525" i="16" s="1"/>
  <c r="E1525" i="16"/>
  <c r="F1525" i="16"/>
  <c r="O1525" i="16" s="1"/>
  <c r="G1525" i="16"/>
  <c r="I1525" i="16"/>
  <c r="B1526" i="16"/>
  <c r="U1469" i="16"/>
  <c r="S1469" i="16"/>
  <c r="J1470" i="16"/>
  <c r="D1470" i="16"/>
  <c r="P1470" i="16"/>
  <c r="Q1470" i="16"/>
  <c r="R1470" i="16"/>
  <c r="T1470" i="16"/>
  <c r="L1471" i="16"/>
  <c r="B1472" i="16"/>
  <c r="G1471" i="16"/>
  <c r="C1471" i="16"/>
  <c r="K1471" i="16" s="1"/>
  <c r="F1471" i="16"/>
  <c r="O1471" i="16" s="1"/>
  <c r="E1471" i="16"/>
  <c r="I1471" i="16"/>
  <c r="U1415" i="16"/>
  <c r="S1415" i="16"/>
  <c r="M1416" i="16"/>
  <c r="D1416" i="16"/>
  <c r="J1416" i="16"/>
  <c r="N1416" i="16" s="1"/>
  <c r="P1416" i="16"/>
  <c r="Q1416" i="16"/>
  <c r="R1416" i="16"/>
  <c r="T1416" i="16"/>
  <c r="L1417" i="16"/>
  <c r="C1417" i="16"/>
  <c r="K1417" i="16" s="1"/>
  <c r="E1417" i="16"/>
  <c r="F1417" i="16"/>
  <c r="O1417" i="16" s="1"/>
  <c r="I1417" i="16"/>
  <c r="B1418" i="16"/>
  <c r="G1417" i="16"/>
  <c r="D1362" i="16"/>
  <c r="J1362" i="16"/>
  <c r="P1362" i="16"/>
  <c r="Q1362" i="16"/>
  <c r="R1362" i="16"/>
  <c r="T1362" i="16"/>
  <c r="L1363" i="16"/>
  <c r="G1363" i="16"/>
  <c r="E1363" i="16"/>
  <c r="B1364" i="16"/>
  <c r="I1363" i="16"/>
  <c r="C1363" i="16"/>
  <c r="M1308" i="16"/>
  <c r="P1308" i="16"/>
  <c r="Q1308" i="16"/>
  <c r="R1308" i="16"/>
  <c r="T1308" i="16"/>
  <c r="J1308" i="16"/>
  <c r="N1308" i="16" s="1"/>
  <c r="D1308" i="16"/>
  <c r="L1309" i="16"/>
  <c r="B1310" i="16"/>
  <c r="C1309" i="16"/>
  <c r="E1309" i="16"/>
  <c r="G1309" i="16"/>
  <c r="I1309" i="16"/>
  <c r="S1253" i="16"/>
  <c r="U1253" i="16"/>
  <c r="J1254" i="16"/>
  <c r="N1254" i="16" s="1"/>
  <c r="D1254" i="16"/>
  <c r="P1254" i="16"/>
  <c r="Q1254" i="16"/>
  <c r="R1254" i="16"/>
  <c r="T1254" i="16"/>
  <c r="M1254" i="16"/>
  <c r="G1255" i="16"/>
  <c r="B1256" i="16"/>
  <c r="C1255" i="16"/>
  <c r="F1255" i="16" s="1"/>
  <c r="O1255" i="16" s="1"/>
  <c r="L1255" i="16"/>
  <c r="I1255" i="16"/>
  <c r="E1255" i="16"/>
  <c r="K1255" i="16"/>
  <c r="M1200" i="16"/>
  <c r="D1200" i="16"/>
  <c r="J1200" i="16"/>
  <c r="N1200" i="16" s="1"/>
  <c r="P1200" i="16"/>
  <c r="Q1200" i="16"/>
  <c r="R1200" i="16"/>
  <c r="T1200" i="16"/>
  <c r="L1201" i="16"/>
  <c r="C1201" i="16"/>
  <c r="K1201" i="16" s="1"/>
  <c r="E1201" i="16"/>
  <c r="F1201" i="16"/>
  <c r="O1201" i="16" s="1"/>
  <c r="G1201" i="16"/>
  <c r="I1201" i="16"/>
  <c r="B1202" i="16"/>
  <c r="U1145" i="16"/>
  <c r="S1145" i="16"/>
  <c r="D1146" i="16"/>
  <c r="J1146" i="16"/>
  <c r="P1146" i="16"/>
  <c r="Q1146" i="16"/>
  <c r="R1146" i="16"/>
  <c r="T1146" i="16"/>
  <c r="L1147" i="16"/>
  <c r="C1147" i="16"/>
  <c r="K1147" i="16" s="1"/>
  <c r="E1147" i="16"/>
  <c r="F1147" i="16"/>
  <c r="O1147" i="16" s="1"/>
  <c r="G1147" i="16"/>
  <c r="I1147" i="16"/>
  <c r="B1148" i="16"/>
  <c r="U1091" i="16"/>
  <c r="S1091" i="16"/>
  <c r="D1092" i="16"/>
  <c r="J1092" i="16"/>
  <c r="P1092" i="16"/>
  <c r="Q1092" i="16"/>
  <c r="R1092" i="16"/>
  <c r="T1092" i="16"/>
  <c r="L1093" i="16"/>
  <c r="C1093" i="16"/>
  <c r="E1093" i="16"/>
  <c r="G1093" i="16"/>
  <c r="I1093" i="16"/>
  <c r="B1094" i="16"/>
  <c r="U1037" i="16"/>
  <c r="S1037" i="16"/>
  <c r="M1038" i="16"/>
  <c r="D1038" i="16"/>
  <c r="J1038" i="16"/>
  <c r="N1038" i="16" s="1"/>
  <c r="P1038" i="16"/>
  <c r="Q1038" i="16"/>
  <c r="R1038" i="16"/>
  <c r="T1038" i="16"/>
  <c r="L1039" i="16"/>
  <c r="C1039" i="16"/>
  <c r="E1039" i="16"/>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M930" i="16"/>
  <c r="D930" i="16"/>
  <c r="J930" i="16"/>
  <c r="N930" i="16" s="1"/>
  <c r="P930" i="16"/>
  <c r="Q930" i="16"/>
  <c r="R930" i="16"/>
  <c r="T930" i="16"/>
  <c r="L931" i="16"/>
  <c r="C931" i="16"/>
  <c r="K931" i="16" s="1"/>
  <c r="E931" i="16"/>
  <c r="F931" i="16"/>
  <c r="O931" i="16" s="1"/>
  <c r="G931" i="16"/>
  <c r="I931" i="16"/>
  <c r="B932" i="16"/>
  <c r="U875" i="16"/>
  <c r="S875" i="16"/>
  <c r="D876" i="16"/>
  <c r="J876" i="16"/>
  <c r="P876" i="16"/>
  <c r="Q876" i="16"/>
  <c r="R876" i="16"/>
  <c r="T876" i="16"/>
  <c r="L877" i="16"/>
  <c r="C877" i="16"/>
  <c r="K877" i="16" s="1"/>
  <c r="E877" i="16"/>
  <c r="F877" i="16"/>
  <c r="O877" i="16" s="1"/>
  <c r="G877" i="16"/>
  <c r="I877" i="16"/>
  <c r="B878" i="16"/>
  <c r="U821" i="16"/>
  <c r="S821" i="16"/>
  <c r="D822" i="16"/>
  <c r="J822" i="16"/>
  <c r="P822" i="16"/>
  <c r="Q822" i="16"/>
  <c r="R822" i="16"/>
  <c r="T822" i="16"/>
  <c r="L823" i="16"/>
  <c r="C823" i="16"/>
  <c r="E823" i="16"/>
  <c r="G823" i="16"/>
  <c r="I823" i="16"/>
  <c r="B824" i="16"/>
  <c r="S767" i="16"/>
  <c r="U767" i="16"/>
  <c r="M768" i="16"/>
  <c r="D768" i="16"/>
  <c r="J768" i="16"/>
  <c r="N768" i="16" s="1"/>
  <c r="P768" i="16"/>
  <c r="Q768" i="16"/>
  <c r="R768" i="16"/>
  <c r="T768" i="16"/>
  <c r="L769" i="16"/>
  <c r="C769" i="16"/>
  <c r="K769" i="16" s="1"/>
  <c r="E769" i="16"/>
  <c r="F769" i="16"/>
  <c r="O769" i="16" s="1"/>
  <c r="G769" i="16"/>
  <c r="I769" i="16"/>
  <c r="B770" i="16"/>
  <c r="M714" i="16"/>
  <c r="D714" i="16"/>
  <c r="J714" i="16"/>
  <c r="N714" i="16" s="1"/>
  <c r="P714" i="16"/>
  <c r="Q714" i="16"/>
  <c r="R714" i="16"/>
  <c r="T714" i="16"/>
  <c r="L715" i="16"/>
  <c r="C715" i="16"/>
  <c r="K715" i="16" s="1"/>
  <c r="E715" i="16"/>
  <c r="F715" i="16"/>
  <c r="O715" i="16" s="1"/>
  <c r="G715" i="16"/>
  <c r="I715" i="16"/>
  <c r="B716" i="16"/>
  <c r="M660" i="16"/>
  <c r="D660" i="16"/>
  <c r="J660" i="16"/>
  <c r="N660" i="16" s="1"/>
  <c r="P660" i="16"/>
  <c r="Q660" i="16"/>
  <c r="R660" i="16"/>
  <c r="T660" i="16"/>
  <c r="L661" i="16"/>
  <c r="C661" i="16"/>
  <c r="K661" i="16" s="1"/>
  <c r="E661" i="16"/>
  <c r="F661" i="16"/>
  <c r="O661" i="16" s="1"/>
  <c r="G661" i="16"/>
  <c r="I661" i="16"/>
  <c r="B662" i="16"/>
  <c r="U605" i="16"/>
  <c r="S605" i="16"/>
  <c r="M606" i="16"/>
  <c r="D606" i="16"/>
  <c r="J606" i="16"/>
  <c r="N606" i="16" s="1"/>
  <c r="P606" i="16"/>
  <c r="Q606" i="16"/>
  <c r="R606" i="16"/>
  <c r="T606" i="16"/>
  <c r="L607" i="16"/>
  <c r="C607" i="16"/>
  <c r="K607" i="16" s="1"/>
  <c r="E607" i="16"/>
  <c r="F607" i="16"/>
  <c r="O607" i="16" s="1"/>
  <c r="G607" i="16"/>
  <c r="I607" i="16"/>
  <c r="B608" i="16"/>
  <c r="S551" i="16"/>
  <c r="U551" i="16"/>
  <c r="L553" i="16"/>
  <c r="E553" i="16"/>
  <c r="B554" i="16"/>
  <c r="C553" i="16"/>
  <c r="G553" i="16"/>
  <c r="I553" i="16"/>
  <c r="D552" i="16"/>
  <c r="J552" i="16"/>
  <c r="P552" i="16"/>
  <c r="Q552" i="16"/>
  <c r="R552" i="16"/>
  <c r="T552" i="16"/>
  <c r="U497" i="16"/>
  <c r="S497" i="16"/>
  <c r="M498" i="16"/>
  <c r="D498" i="16"/>
  <c r="J498" i="16"/>
  <c r="N498" i="16" s="1"/>
  <c r="P498" i="16"/>
  <c r="Q498" i="16"/>
  <c r="R498" i="16"/>
  <c r="T498" i="16"/>
  <c r="L499" i="16"/>
  <c r="C499" i="16"/>
  <c r="E499" i="16"/>
  <c r="G499" i="16"/>
  <c r="I499" i="16"/>
  <c r="B500" i="16"/>
  <c r="M444" i="16"/>
  <c r="D444" i="16"/>
  <c r="J444" i="16"/>
  <c r="N444" i="16" s="1"/>
  <c r="P444" i="16"/>
  <c r="Q444" i="16"/>
  <c r="R444" i="16"/>
  <c r="T444" i="16"/>
  <c r="L445" i="16"/>
  <c r="C445" i="16"/>
  <c r="E445" i="16"/>
  <c r="G445" i="16"/>
  <c r="I445" i="16"/>
  <c r="B446" i="16"/>
  <c r="M390" i="16"/>
  <c r="D390" i="16"/>
  <c r="J390" i="16"/>
  <c r="N390" i="16" s="1"/>
  <c r="P390" i="16"/>
  <c r="Q390" i="16"/>
  <c r="R390" i="16"/>
  <c r="T390" i="16"/>
  <c r="L391" i="16"/>
  <c r="C391" i="16"/>
  <c r="K391" i="16" s="1"/>
  <c r="E391" i="16"/>
  <c r="F391" i="16"/>
  <c r="O391" i="16" s="1"/>
  <c r="G391" i="16"/>
  <c r="I391" i="16"/>
  <c r="B392" i="16"/>
  <c r="S335" i="16"/>
  <c r="U335" i="16"/>
  <c r="D336" i="16"/>
  <c r="J336" i="16"/>
  <c r="P336" i="16"/>
  <c r="Q336" i="16"/>
  <c r="R336" i="16"/>
  <c r="T336" i="16"/>
  <c r="L337" i="16"/>
  <c r="C337" i="16"/>
  <c r="K337" i="16" s="1"/>
  <c r="E337" i="16"/>
  <c r="F337" i="16"/>
  <c r="O337" i="16" s="1"/>
  <c r="G337" i="16"/>
  <c r="I337" i="16"/>
  <c r="B338" i="16"/>
  <c r="U281" i="16"/>
  <c r="S281" i="16"/>
  <c r="M282" i="16"/>
  <c r="D282" i="16"/>
  <c r="J282" i="16"/>
  <c r="N282" i="16" s="1"/>
  <c r="P282" i="16"/>
  <c r="Q282" i="16"/>
  <c r="R282" i="16"/>
  <c r="T282" i="16"/>
  <c r="L283" i="16"/>
  <c r="C283" i="16"/>
  <c r="E283" i="16"/>
  <c r="G283" i="16"/>
  <c r="I283" i="16"/>
  <c r="B284" i="16"/>
  <c r="U227" i="16"/>
  <c r="S227" i="16"/>
  <c r="M228" i="16"/>
  <c r="D228" i="16"/>
  <c r="J228" i="16"/>
  <c r="N228" i="16" s="1"/>
  <c r="P228" i="16"/>
  <c r="Q228" i="16"/>
  <c r="R228" i="16"/>
  <c r="T228" i="16"/>
  <c r="L229" i="16"/>
  <c r="C229" i="16"/>
  <c r="K229" i="16" s="1"/>
  <c r="E229" i="16"/>
  <c r="F229" i="16"/>
  <c r="O229" i="16" s="1"/>
  <c r="G229" i="16"/>
  <c r="I229" i="16"/>
  <c r="B230" i="16"/>
  <c r="M174" i="16"/>
  <c r="D174" i="16"/>
  <c r="J174" i="16"/>
  <c r="N174" i="16" s="1"/>
  <c r="P174" i="16"/>
  <c r="Q174" i="16"/>
  <c r="R174" i="16"/>
  <c r="T174" i="16"/>
  <c r="L175" i="16"/>
  <c r="I175" i="16"/>
  <c r="B176" i="16"/>
  <c r="C175" i="16"/>
  <c r="E175" i="16"/>
  <c r="G175" i="16"/>
  <c r="P120" i="16"/>
  <c r="Q120" i="16"/>
  <c r="R120" i="16"/>
  <c r="T120" i="16"/>
  <c r="J120" i="16"/>
  <c r="D120" i="16"/>
  <c r="L121" i="16"/>
  <c r="G121" i="16"/>
  <c r="C121" i="16"/>
  <c r="E121" i="16"/>
  <c r="B122" i="16"/>
  <c r="I121" i="16"/>
  <c r="C91" i="7"/>
  <c r="G91" i="7" s="1"/>
  <c r="U57" i="4"/>
  <c r="C92" i="7" s="1"/>
  <c r="G92" i="7" s="1"/>
  <c r="S57" i="4"/>
  <c r="F57" i="5"/>
  <c r="G57" i="5"/>
  <c r="H57" i="5"/>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G58" i="5" s="1"/>
  <c r="R58" i="4"/>
  <c r="H58" i="5" s="1"/>
  <c r="T58" i="4"/>
  <c r="V58" i="4"/>
  <c r="BF58" i="4"/>
  <c r="L59" i="4"/>
  <c r="C59" i="4"/>
  <c r="K59" i="4" s="1"/>
  <c r="E59" i="4"/>
  <c r="F59" i="4"/>
  <c r="C59" i="5" s="1"/>
  <c r="E59" i="5" s="1"/>
  <c r="G59" i="4"/>
  <c r="I59" i="4"/>
  <c r="B60" i="4"/>
  <c r="B59" i="5"/>
  <c r="U4252" i="16"/>
  <c r="S4252" i="16"/>
  <c r="U3736" i="16"/>
  <c r="S3736" i="16"/>
  <c r="U3142" i="16"/>
  <c r="S3142" i="16"/>
  <c r="U3034" i="16"/>
  <c r="S3034" i="16"/>
  <c r="U2872" i="16"/>
  <c r="S2872" i="16"/>
  <c r="U2710" i="16"/>
  <c r="S2710" i="16"/>
  <c r="U2602" i="16"/>
  <c r="S2602" i="16"/>
  <c r="U2548" i="16"/>
  <c r="S2548" i="16"/>
  <c r="U2332" i="16"/>
  <c r="S2332" i="16"/>
  <c r="U2062" i="16"/>
  <c r="S2062" i="16"/>
  <c r="U2008" i="16"/>
  <c r="S2008" i="16"/>
  <c r="U1792" i="16"/>
  <c r="S1792" i="16"/>
  <c r="U1468" i="16"/>
  <c r="S1468" i="16"/>
  <c r="U1306" i="16"/>
  <c r="S1306" i="16"/>
  <c r="U1252" i="16"/>
  <c r="S1252" i="16"/>
  <c r="U982" i="16"/>
  <c r="S982" i="16"/>
  <c r="U712" i="16"/>
  <c r="S712" i="16"/>
  <c r="U442" i="16"/>
  <c r="S442" i="16"/>
  <c r="U226" i="16"/>
  <c r="S226" i="16"/>
  <c r="U172" i="16"/>
  <c r="S172" i="16"/>
  <c r="U118" i="16"/>
  <c r="S118" i="16"/>
  <c r="N4553" i="16"/>
  <c r="M4553" i="16"/>
  <c r="M4253" i="16"/>
  <c r="N4253" i="16"/>
  <c r="N4145" i="16"/>
  <c r="M4145" i="16"/>
  <c r="M3521" i="16"/>
  <c r="N3521" i="16"/>
  <c r="M3467" i="16"/>
  <c r="N3467" i="16"/>
  <c r="M3035" i="16"/>
  <c r="N3035" i="16"/>
  <c r="N2819" i="16"/>
  <c r="S2819" i="16" s="1"/>
  <c r="M2819" i="16"/>
  <c r="M2765" i="16"/>
  <c r="N2765" i="16"/>
  <c r="N2711" i="16"/>
  <c r="M2711" i="16"/>
  <c r="N2657" i="16"/>
  <c r="M2657" i="16"/>
  <c r="M2603" i="16"/>
  <c r="N2603" i="16"/>
  <c r="M2495" i="16"/>
  <c r="N2495" i="16"/>
  <c r="M2333" i="16"/>
  <c r="N2333" i="16"/>
  <c r="M2225" i="16"/>
  <c r="N2225" i="16"/>
  <c r="M2171" i="16"/>
  <c r="N2171" i="16"/>
  <c r="M1955" i="16"/>
  <c r="N1955" i="16"/>
  <c r="M1523" i="16"/>
  <c r="N1523" i="16"/>
  <c r="M1361" i="16"/>
  <c r="N1361" i="16"/>
  <c r="N1307" i="16"/>
  <c r="M1307" i="16"/>
  <c r="M1199" i="16"/>
  <c r="N1199" i="16"/>
  <c r="M929" i="16"/>
  <c r="N929" i="16"/>
  <c r="M713" i="16"/>
  <c r="N713" i="16"/>
  <c r="M659" i="16"/>
  <c r="N659" i="16"/>
  <c r="M443" i="16"/>
  <c r="N443" i="16"/>
  <c r="M389" i="16"/>
  <c r="N389" i="16"/>
  <c r="N173" i="16"/>
  <c r="M173" i="16"/>
  <c r="M119" i="16"/>
  <c r="N119" i="16"/>
  <c r="K4608" i="16"/>
  <c r="F4608" i="16"/>
  <c r="F4554" i="16"/>
  <c r="K4554" i="16"/>
  <c r="F3738" i="16"/>
  <c r="O3738" i="16" s="1"/>
  <c r="K3738" i="16"/>
  <c r="K3684" i="16"/>
  <c r="F3684" i="16"/>
  <c r="O3684" i="16" s="1"/>
  <c r="F3576" i="16"/>
  <c r="O3576" i="16" s="1"/>
  <c r="K3576" i="16"/>
  <c r="K3252" i="16"/>
  <c r="F3252" i="16"/>
  <c r="O3252" i="16" s="1"/>
  <c r="K3198" i="16"/>
  <c r="F3198" i="16"/>
  <c r="O3198" i="16" s="1"/>
  <c r="F2928" i="16"/>
  <c r="O2928" i="16" s="1"/>
  <c r="K2928" i="16"/>
  <c r="K2550" i="16"/>
  <c r="F2550" i="16"/>
  <c r="O2550" i="16" s="1"/>
  <c r="K2442" i="16"/>
  <c r="F2442" i="16"/>
  <c r="O2442" i="16" s="1"/>
  <c r="F2388" i="16"/>
  <c r="O2388" i="16" s="1"/>
  <c r="K2388" i="16"/>
  <c r="K2226" i="16"/>
  <c r="F2226" i="16"/>
  <c r="O2226" i="16" s="1"/>
  <c r="K1956" i="16"/>
  <c r="F1956" i="16"/>
  <c r="O1956" i="16" s="1"/>
  <c r="K1902" i="16"/>
  <c r="F1902" i="16"/>
  <c r="O1902" i="16" s="1"/>
  <c r="K1470" i="16"/>
  <c r="F1470" i="16"/>
  <c r="O1470" i="16" s="1"/>
  <c r="F1362" i="16"/>
  <c r="O1362" i="16" s="1"/>
  <c r="K1362" i="16"/>
  <c r="F1146" i="16"/>
  <c r="O1146" i="16" s="1"/>
  <c r="K1146" i="16"/>
  <c r="K1092" i="16"/>
  <c r="F1092" i="16"/>
  <c r="O1092" i="16" s="1"/>
  <c r="F876" i="16"/>
  <c r="O876" i="16" s="1"/>
  <c r="K876" i="16"/>
  <c r="K822" i="16"/>
  <c r="F822" i="16"/>
  <c r="O822" i="16" s="1"/>
  <c r="K552" i="16"/>
  <c r="F552" i="16"/>
  <c r="O552" i="16" s="1"/>
  <c r="K336" i="16"/>
  <c r="F336" i="16"/>
  <c r="O336" i="16" s="1"/>
  <c r="K120" i="16"/>
  <c r="F120" i="16"/>
  <c r="O120" i="16" s="1"/>
  <c r="F4147" i="16" l="1"/>
  <c r="O4147" i="16" s="1"/>
  <c r="K4147" i="16"/>
  <c r="K3307" i="16"/>
  <c r="F3307" i="16"/>
  <c r="O3307" i="16" s="1"/>
  <c r="K3091" i="16"/>
  <c r="F3091" i="16"/>
  <c r="O3091" i="16" s="1"/>
  <c r="K2983" i="16"/>
  <c r="F2983" i="16"/>
  <c r="O2983" i="16" s="1"/>
  <c r="K2281" i="16"/>
  <c r="F2281" i="16"/>
  <c r="O2281" i="16" s="1"/>
  <c r="K823" i="16"/>
  <c r="F823" i="16"/>
  <c r="O823" i="16" s="1"/>
  <c r="K445" i="16"/>
  <c r="F445" i="16"/>
  <c r="O445" i="16" s="1"/>
  <c r="S4716" i="16"/>
  <c r="U4716" i="16"/>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M4609" i="16"/>
  <c r="D4609" i="16"/>
  <c r="J4609" i="16"/>
  <c r="N4609" i="16" s="1"/>
  <c r="P4609" i="16"/>
  <c r="Q4609" i="16"/>
  <c r="R4609" i="16"/>
  <c r="L4610" i="16"/>
  <c r="C4610" i="16"/>
  <c r="E4610" i="16"/>
  <c r="G4610" i="16"/>
  <c r="I4610" i="16"/>
  <c r="B4611" i="16"/>
  <c r="J4555" i="16"/>
  <c r="D4555" i="16"/>
  <c r="P4555" i="16"/>
  <c r="Q4555" i="16"/>
  <c r="R4555" i="16"/>
  <c r="C4556" i="16"/>
  <c r="F4556" i="16" s="1"/>
  <c r="E4556" i="16"/>
  <c r="G4556" i="16"/>
  <c r="L4556" i="16"/>
  <c r="I4556" i="16"/>
  <c r="K4556" i="16"/>
  <c r="B4557" i="16"/>
  <c r="U4254" i="16"/>
  <c r="S4254" i="16"/>
  <c r="D4255" i="16"/>
  <c r="J4255" i="16"/>
  <c r="P4255" i="16"/>
  <c r="Q4255" i="16"/>
  <c r="R4255" i="16"/>
  <c r="T4255" i="16"/>
  <c r="L4256" i="16"/>
  <c r="C4256" i="16"/>
  <c r="K4256" i="16" s="1"/>
  <c r="E4256" i="16"/>
  <c r="F4256" i="16"/>
  <c r="O4256" i="16" s="1"/>
  <c r="G4256" i="16"/>
  <c r="I4256" i="16"/>
  <c r="B4257" i="16"/>
  <c r="U4200" i="16"/>
  <c r="S4200" i="16"/>
  <c r="D4201" i="16"/>
  <c r="J4201" i="16"/>
  <c r="N4201" i="16" s="1"/>
  <c r="P4201" i="16"/>
  <c r="Q4201" i="16"/>
  <c r="R4201" i="16"/>
  <c r="T4201" i="16"/>
  <c r="M4201" i="16"/>
  <c r="C4202" i="16"/>
  <c r="E4202" i="16"/>
  <c r="F4202" i="16"/>
  <c r="O4202" i="16" s="1"/>
  <c r="G4202" i="16"/>
  <c r="I4202" i="16"/>
  <c r="K4202" i="16"/>
  <c r="L4202" i="16"/>
  <c r="B4203" i="16"/>
  <c r="U4146" i="16"/>
  <c r="S4146" i="16"/>
  <c r="I4148" i="16"/>
  <c r="B4149" i="16"/>
  <c r="C4148" i="16"/>
  <c r="K4148" i="16" s="1"/>
  <c r="E4148" i="16"/>
  <c r="F4148" i="16"/>
  <c r="O4148" i="16" s="1"/>
  <c r="G4148" i="16"/>
  <c r="L4148" i="16"/>
  <c r="D4147" i="16"/>
  <c r="J4147" i="16"/>
  <c r="P4147" i="16"/>
  <c r="R4147" i="16"/>
  <c r="Q4147" i="16"/>
  <c r="T4147"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M3793" i="16"/>
  <c r="D3793" i="16"/>
  <c r="J3793" i="16"/>
  <c r="N3793" i="16" s="1"/>
  <c r="P3793" i="16"/>
  <c r="Q3793" i="16"/>
  <c r="R3793" i="16"/>
  <c r="T3793" i="16"/>
  <c r="L3794" i="16"/>
  <c r="C3794" i="16"/>
  <c r="E3794" i="16"/>
  <c r="G3794" i="16"/>
  <c r="I3794" i="16"/>
  <c r="B3795" i="16"/>
  <c r="M3739" i="16"/>
  <c r="D3739" i="16"/>
  <c r="J3739" i="16"/>
  <c r="N3739" i="16" s="1"/>
  <c r="P3739" i="16"/>
  <c r="Q3739" i="16"/>
  <c r="R3739" i="16"/>
  <c r="T3739" i="16"/>
  <c r="L3740" i="16"/>
  <c r="C3740" i="16"/>
  <c r="E3740" i="16"/>
  <c r="G3740" i="16"/>
  <c r="I3740" i="16"/>
  <c r="B3741" i="16"/>
  <c r="M3685" i="16"/>
  <c r="P3685" i="16"/>
  <c r="Q3685" i="16"/>
  <c r="R3685" i="16"/>
  <c r="T3685" i="16"/>
  <c r="D3685" i="16"/>
  <c r="J3685" i="16"/>
  <c r="N3685" i="16" s="1"/>
  <c r="L3686" i="16"/>
  <c r="K3686" i="16"/>
  <c r="F3686" i="16"/>
  <c r="O3686" i="16" s="1"/>
  <c r="G3686" i="16"/>
  <c r="I3686" i="16"/>
  <c r="C3686" i="16"/>
  <c r="E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M3577" i="16"/>
  <c r="D3577" i="16"/>
  <c r="J3577" i="16"/>
  <c r="N3577" i="16" s="1"/>
  <c r="P3577" i="16"/>
  <c r="Q3577" i="16"/>
  <c r="R3577" i="16"/>
  <c r="T3577" i="16"/>
  <c r="L3578" i="16"/>
  <c r="C3578" i="16"/>
  <c r="E3578" i="16"/>
  <c r="G3578" i="16"/>
  <c r="I3578" i="16"/>
  <c r="B3579" i="16"/>
  <c r="U3522" i="16"/>
  <c r="S3522" i="16"/>
  <c r="D3523" i="16"/>
  <c r="J3523" i="16"/>
  <c r="P3523" i="16"/>
  <c r="Q3523" i="16"/>
  <c r="R3523" i="16"/>
  <c r="T3523" i="16"/>
  <c r="L3524" i="16"/>
  <c r="C3524" i="16"/>
  <c r="K3524" i="16" s="1"/>
  <c r="E3524" i="16"/>
  <c r="F3524" i="16"/>
  <c r="O3524" i="16" s="1"/>
  <c r="G3524" i="16"/>
  <c r="I3524" i="16"/>
  <c r="B3525" i="16"/>
  <c r="S3468" i="16"/>
  <c r="U3468" i="16"/>
  <c r="M3469" i="16"/>
  <c r="D3469" i="16"/>
  <c r="J3469" i="16"/>
  <c r="N3469" i="16" s="1"/>
  <c r="P3469" i="16"/>
  <c r="Q3469" i="16"/>
  <c r="R3469" i="16"/>
  <c r="T3469" i="16"/>
  <c r="L3470" i="16"/>
  <c r="C3470" i="16"/>
  <c r="E3470" i="16"/>
  <c r="G3470" i="16"/>
  <c r="B3471" i="16"/>
  <c r="I3470" i="16"/>
  <c r="U3414" i="16"/>
  <c r="S3414" i="16"/>
  <c r="D3415" i="16"/>
  <c r="J3415" i="16"/>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D3307" i="16"/>
  <c r="J3307" i="16"/>
  <c r="N3307" i="16" s="1"/>
  <c r="P3307" i="16"/>
  <c r="Q3307" i="16"/>
  <c r="R3307" i="16"/>
  <c r="T3307" i="16"/>
  <c r="L3308" i="16"/>
  <c r="C3308" i="16"/>
  <c r="E3308" i="16"/>
  <c r="G3308" i="16"/>
  <c r="I3308" i="16"/>
  <c r="B3309" i="16"/>
  <c r="M3253" i="16"/>
  <c r="D3253" i="16"/>
  <c r="J3253" i="16"/>
  <c r="N3253" i="16" s="1"/>
  <c r="P3253" i="16"/>
  <c r="Q3253" i="16"/>
  <c r="R3253" i="16"/>
  <c r="T3253" i="16"/>
  <c r="L3254" i="16"/>
  <c r="C3254" i="16"/>
  <c r="K3254" i="16" s="1"/>
  <c r="E3254" i="16"/>
  <c r="F3254" i="16"/>
  <c r="O3254" i="16" s="1"/>
  <c r="G3254" i="16"/>
  <c r="I3254" i="16"/>
  <c r="B3255" i="16"/>
  <c r="M3199" i="16"/>
  <c r="D3199" i="16"/>
  <c r="J3199" i="16"/>
  <c r="N3199" i="16" s="1"/>
  <c r="P3199" i="16"/>
  <c r="Q3199" i="16"/>
  <c r="R3199" i="16"/>
  <c r="T3199" i="16"/>
  <c r="L3200" i="16"/>
  <c r="C3200" i="16"/>
  <c r="E3200" i="16"/>
  <c r="G3200" i="16"/>
  <c r="I3200" i="16"/>
  <c r="B3201" i="16"/>
  <c r="U3144" i="16"/>
  <c r="S3144" i="16"/>
  <c r="D3145" i="16"/>
  <c r="J3145" i="16"/>
  <c r="P3145" i="16"/>
  <c r="Q3145" i="16"/>
  <c r="R3145" i="16"/>
  <c r="T3145" i="16"/>
  <c r="L3146" i="16"/>
  <c r="C3146" i="16"/>
  <c r="K3146" i="16" s="1"/>
  <c r="E3146" i="16"/>
  <c r="F3146" i="16"/>
  <c r="O3146" i="16" s="1"/>
  <c r="G3146" i="16"/>
  <c r="I3146" i="16"/>
  <c r="B3147" i="16"/>
  <c r="U3090" i="16"/>
  <c r="S3090" i="16"/>
  <c r="M3091" i="16"/>
  <c r="J3091" i="16"/>
  <c r="N3091" i="16" s="1"/>
  <c r="D3091" i="16"/>
  <c r="L3092" i="16"/>
  <c r="B3093" i="16"/>
  <c r="C3092" i="16"/>
  <c r="E3092" i="16"/>
  <c r="G3092" i="16"/>
  <c r="I3092" i="16"/>
  <c r="P3091" i="16"/>
  <c r="Q3091" i="16"/>
  <c r="R3091" i="16"/>
  <c r="T3091" i="16"/>
  <c r="U3036" i="16"/>
  <c r="S3036" i="16"/>
  <c r="M3037" i="16"/>
  <c r="D3037" i="16"/>
  <c r="J3037" i="16"/>
  <c r="N3037" i="16" s="1"/>
  <c r="P3037" i="16"/>
  <c r="Q3037" i="16"/>
  <c r="R3037" i="16"/>
  <c r="T3037" i="16"/>
  <c r="L3038" i="16"/>
  <c r="G3038" i="16"/>
  <c r="B3039" i="16"/>
  <c r="C3038" i="16"/>
  <c r="E3038" i="16"/>
  <c r="I3038" i="16"/>
  <c r="U2982" i="16"/>
  <c r="S2982" i="16"/>
  <c r="M2983" i="16"/>
  <c r="D2983" i="16"/>
  <c r="J2983" i="16"/>
  <c r="N2983" i="16" s="1"/>
  <c r="P2983" i="16"/>
  <c r="Q2983" i="16"/>
  <c r="R2983" i="16"/>
  <c r="T2983" i="16"/>
  <c r="L2984" i="16"/>
  <c r="C2984" i="16"/>
  <c r="E2984" i="16"/>
  <c r="G2984" i="16"/>
  <c r="I2984" i="16"/>
  <c r="B2985" i="16"/>
  <c r="D2929" i="16"/>
  <c r="J2929" i="16"/>
  <c r="P2929" i="16"/>
  <c r="Q2929" i="16"/>
  <c r="R2929" i="16"/>
  <c r="T2929" i="16"/>
  <c r="L2930" i="16"/>
  <c r="C2930" i="16"/>
  <c r="E2930" i="16"/>
  <c r="G2930" i="16"/>
  <c r="I2930" i="16"/>
  <c r="B2931" i="16"/>
  <c r="U2874" i="16"/>
  <c r="S2874" i="16"/>
  <c r="M2875" i="16"/>
  <c r="D2875" i="16"/>
  <c r="J2875" i="16"/>
  <c r="N2875" i="16" s="1"/>
  <c r="P2875" i="16"/>
  <c r="Q2875" i="16"/>
  <c r="R2875" i="16"/>
  <c r="T2875" i="16"/>
  <c r="L2876" i="16"/>
  <c r="C2876" i="16"/>
  <c r="E2876" i="16"/>
  <c r="G2876" i="16"/>
  <c r="I2876" i="16"/>
  <c r="B2877" i="16"/>
  <c r="M2821" i="16"/>
  <c r="J2821" i="16"/>
  <c r="N2821" i="16" s="1"/>
  <c r="S2821" i="16" s="1"/>
  <c r="D2821" i="16"/>
  <c r="P2821" i="16"/>
  <c r="Q2821" i="16"/>
  <c r="R2821" i="16"/>
  <c r="T2821" i="16"/>
  <c r="U2821" i="16" s="1"/>
  <c r="L2822" i="16"/>
  <c r="E2822" i="16"/>
  <c r="I2822" i="16"/>
  <c r="G2822" i="16"/>
  <c r="C2822" i="16"/>
  <c r="K2822" i="16" s="1"/>
  <c r="F2822" i="16"/>
  <c r="O2822" i="16" s="1"/>
  <c r="B2823" i="16"/>
  <c r="U2766" i="16"/>
  <c r="S2766" i="16"/>
  <c r="M2767" i="16"/>
  <c r="D2767" i="16"/>
  <c r="J2767" i="16"/>
  <c r="N2767" i="16" s="1"/>
  <c r="L2768" i="16"/>
  <c r="E2768" i="16"/>
  <c r="C2768" i="16"/>
  <c r="G2768" i="16"/>
  <c r="B2769" i="16"/>
  <c r="I2768" i="16"/>
  <c r="P2767" i="16"/>
  <c r="Q2767" i="16"/>
  <c r="R2767" i="16"/>
  <c r="T2767" i="16"/>
  <c r="U2712" i="16"/>
  <c r="S2712" i="16"/>
  <c r="J2713" i="16"/>
  <c r="D2713" i="16"/>
  <c r="L2714" i="16"/>
  <c r="G2714" i="16"/>
  <c r="B2715" i="16"/>
  <c r="I2714" i="16"/>
  <c r="C2714" i="16"/>
  <c r="E2714" i="16"/>
  <c r="P2713" i="16"/>
  <c r="Q2713" i="16"/>
  <c r="R2713" i="16"/>
  <c r="T2713" i="16"/>
  <c r="U2658" i="16"/>
  <c r="S2658" i="16"/>
  <c r="P2659" i="16"/>
  <c r="Q2659" i="16"/>
  <c r="R2659" i="16"/>
  <c r="T2659" i="16"/>
  <c r="L2660" i="16"/>
  <c r="C2660" i="16"/>
  <c r="I2660" i="16"/>
  <c r="E2660" i="16"/>
  <c r="B2661" i="16"/>
  <c r="G2660" i="16"/>
  <c r="D2659" i="16"/>
  <c r="J2659" i="16"/>
  <c r="U2604" i="16"/>
  <c r="S2604" i="16"/>
  <c r="P2605" i="16"/>
  <c r="Q2605" i="16"/>
  <c r="R2605" i="16"/>
  <c r="T2605" i="16"/>
  <c r="J2605" i="16"/>
  <c r="D2605" i="16"/>
  <c r="L2606" i="16"/>
  <c r="E2606" i="16"/>
  <c r="B2607" i="16"/>
  <c r="I2606" i="16"/>
  <c r="G2606" i="16"/>
  <c r="C2606" i="16"/>
  <c r="K2606" i="16" s="1"/>
  <c r="F2606" i="16"/>
  <c r="O2606" i="16" s="1"/>
  <c r="M2551" i="16"/>
  <c r="J2551" i="16"/>
  <c r="N2551" i="16" s="1"/>
  <c r="D2551" i="16"/>
  <c r="L2552" i="16"/>
  <c r="E2552" i="16"/>
  <c r="C2552" i="16"/>
  <c r="I2552" i="16"/>
  <c r="B2553" i="16"/>
  <c r="G2552" i="16"/>
  <c r="P2551" i="16"/>
  <c r="Q2551" i="16"/>
  <c r="R2551" i="16"/>
  <c r="T2551" i="16"/>
  <c r="U2496" i="16"/>
  <c r="S2496" i="16"/>
  <c r="M2497" i="16"/>
  <c r="D2497" i="16"/>
  <c r="J2497" i="16"/>
  <c r="N2497" i="16" s="1"/>
  <c r="P2497" i="16"/>
  <c r="Q2497" i="16"/>
  <c r="R2497" i="16"/>
  <c r="T2497" i="16"/>
  <c r="L2498" i="16"/>
  <c r="C2498" i="16"/>
  <c r="K2498" i="16" s="1"/>
  <c r="E2498" i="16"/>
  <c r="F2498" i="16"/>
  <c r="O2498" i="16" s="1"/>
  <c r="G2498" i="16"/>
  <c r="I2498" i="16"/>
  <c r="B2499" i="16"/>
  <c r="M2443" i="16"/>
  <c r="D2443" i="16"/>
  <c r="J2443" i="16"/>
  <c r="N2443" i="16" s="1"/>
  <c r="P2443" i="16"/>
  <c r="Q2443" i="16"/>
  <c r="R2443" i="16"/>
  <c r="T2443" i="16"/>
  <c r="L2444" i="16"/>
  <c r="C2444" i="16"/>
  <c r="E2444" i="16"/>
  <c r="G2444" i="16"/>
  <c r="I2444" i="16"/>
  <c r="B2445" i="16"/>
  <c r="D2389" i="16"/>
  <c r="J2389" i="16"/>
  <c r="P2389" i="16"/>
  <c r="Q2389" i="16"/>
  <c r="R2389" i="16"/>
  <c r="T2389" i="16"/>
  <c r="L2390" i="16"/>
  <c r="C2390" i="16"/>
  <c r="E2390" i="16"/>
  <c r="G2390" i="16"/>
  <c r="I2390" i="16"/>
  <c r="B2391" i="16"/>
  <c r="U2334" i="16"/>
  <c r="S2334" i="16"/>
  <c r="M2335" i="16"/>
  <c r="P2335" i="16"/>
  <c r="Q2335" i="16"/>
  <c r="R2335" i="16"/>
  <c r="T2335" i="16"/>
  <c r="L2336" i="16"/>
  <c r="I2336" i="16"/>
  <c r="C2336" i="16"/>
  <c r="K2336" i="16" s="1"/>
  <c r="F2336" i="16"/>
  <c r="O2336" i="16" s="1"/>
  <c r="E2336" i="16"/>
  <c r="G2336" i="16"/>
  <c r="B2337" i="16"/>
  <c r="D2335" i="16"/>
  <c r="J2335" i="16"/>
  <c r="N2335" i="16" s="1"/>
  <c r="U2280" i="16"/>
  <c r="S2280" i="16"/>
  <c r="M2281" i="16"/>
  <c r="D2281" i="16"/>
  <c r="J2281" i="16"/>
  <c r="N2281" i="16" s="1"/>
  <c r="P2281" i="16"/>
  <c r="Q2281" i="16"/>
  <c r="R2281" i="16"/>
  <c r="T2281" i="16"/>
  <c r="L2282" i="16"/>
  <c r="C2282" i="16"/>
  <c r="K2282" i="16" s="1"/>
  <c r="E2282" i="16"/>
  <c r="F2282" i="16"/>
  <c r="O2282" i="16" s="1"/>
  <c r="G2282" i="16"/>
  <c r="I2282" i="16"/>
  <c r="B2283" i="16"/>
  <c r="M2227" i="16"/>
  <c r="D2227" i="16"/>
  <c r="J2227" i="16"/>
  <c r="N2227" i="16" s="1"/>
  <c r="P2227" i="16"/>
  <c r="Q2227" i="16"/>
  <c r="R2227" i="16"/>
  <c r="T2227" i="16"/>
  <c r="L2228" i="16"/>
  <c r="C2228" i="16"/>
  <c r="E2228" i="16"/>
  <c r="G2228" i="16"/>
  <c r="I2228" i="16"/>
  <c r="B2229" i="16"/>
  <c r="U2172" i="16"/>
  <c r="S2172" i="16"/>
  <c r="D2173" i="16"/>
  <c r="J2173" i="16"/>
  <c r="P2173" i="16"/>
  <c r="Q2173" i="16"/>
  <c r="R2173" i="16"/>
  <c r="T2173" i="16"/>
  <c r="L2174" i="16"/>
  <c r="C2174" i="16"/>
  <c r="E2174" i="16"/>
  <c r="G2174" i="16"/>
  <c r="I2174" i="16"/>
  <c r="B2175" i="16"/>
  <c r="S2118" i="16"/>
  <c r="U2118" i="16"/>
  <c r="D2119" i="16"/>
  <c r="J2119" i="16"/>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K2066" i="16" s="1"/>
  <c r="E2066" i="16"/>
  <c r="F2066" i="16"/>
  <c r="O2066" i="16" s="1"/>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M1957" i="16"/>
  <c r="D1957" i="16"/>
  <c r="J1957" i="16"/>
  <c r="N1957" i="16" s="1"/>
  <c r="P1957" i="16"/>
  <c r="Q1957" i="16"/>
  <c r="R1957" i="16"/>
  <c r="T1957" i="16"/>
  <c r="L1958" i="16"/>
  <c r="C1958" i="16"/>
  <c r="E1958" i="16"/>
  <c r="G1958" i="16"/>
  <c r="I1958" i="16"/>
  <c r="B1959" i="16"/>
  <c r="D1903" i="16"/>
  <c r="J1903" i="16"/>
  <c r="P1903" i="16"/>
  <c r="Q1903" i="16"/>
  <c r="R1903" i="16"/>
  <c r="T1903" i="16"/>
  <c r="L1904" i="16"/>
  <c r="C1904" i="16"/>
  <c r="E1904" i="16"/>
  <c r="G1904" i="16"/>
  <c r="I1904" i="16"/>
  <c r="B1905" i="16"/>
  <c r="U1848" i="16"/>
  <c r="S1848" i="16"/>
  <c r="D1849" i="16"/>
  <c r="J1849" i="16"/>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S1686" i="16"/>
  <c r="U1686" i="16"/>
  <c r="M1687" i="16"/>
  <c r="D1687" i="16"/>
  <c r="J1687" i="16"/>
  <c r="N1687" i="16" s="1"/>
  <c r="P1687" i="16"/>
  <c r="Q1687" i="16"/>
  <c r="R1687" i="16"/>
  <c r="T1687" i="16"/>
  <c r="L1688" i="16"/>
  <c r="C1688" i="16"/>
  <c r="K1688" i="16" s="1"/>
  <c r="E1688" i="16"/>
  <c r="F1688" i="16"/>
  <c r="O1688" i="16" s="1"/>
  <c r="G1688" i="16"/>
  <c r="I1688" i="16"/>
  <c r="B1689" i="16"/>
  <c r="U1632" i="16"/>
  <c r="S1632" i="16"/>
  <c r="M1633" i="16"/>
  <c r="D1633" i="16"/>
  <c r="J1633" i="16"/>
  <c r="N1633" i="16" s="1"/>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M1471" i="16"/>
  <c r="L1472" i="16"/>
  <c r="I1472" i="16"/>
  <c r="G1472" i="16"/>
  <c r="C1472" i="16"/>
  <c r="E1472" i="16"/>
  <c r="B1473" i="16"/>
  <c r="P1471" i="16"/>
  <c r="Q1471" i="16"/>
  <c r="R1471" i="16"/>
  <c r="T1471" i="16"/>
  <c r="J1471" i="16"/>
  <c r="N1471" i="16" s="1"/>
  <c r="D1471" i="16"/>
  <c r="U1416" i="16"/>
  <c r="S1416" i="16"/>
  <c r="M1417" i="16"/>
  <c r="J1417" i="16"/>
  <c r="N1417" i="16" s="1"/>
  <c r="D1417" i="16"/>
  <c r="L1418" i="16"/>
  <c r="G1418" i="16"/>
  <c r="I1418" i="16"/>
  <c r="B1419" i="16"/>
  <c r="C1418" i="16"/>
  <c r="E1418" i="16"/>
  <c r="P1417" i="16"/>
  <c r="Q1417" i="16"/>
  <c r="R1417" i="16"/>
  <c r="T1417" i="16"/>
  <c r="P1363" i="16"/>
  <c r="Q1363" i="16"/>
  <c r="R1363" i="16"/>
  <c r="T1363" i="16"/>
  <c r="L1364" i="16"/>
  <c r="C1364" i="16"/>
  <c r="K1364" i="16" s="1"/>
  <c r="F1364" i="16"/>
  <c r="O1364" i="16" s="1"/>
  <c r="E1364" i="16"/>
  <c r="B1365" i="16"/>
  <c r="G1364" i="16"/>
  <c r="I1364" i="16"/>
  <c r="J1363" i="16"/>
  <c r="D1363" i="16"/>
  <c r="U1308" i="16"/>
  <c r="S1308" i="16"/>
  <c r="L1310" i="16"/>
  <c r="E1310" i="16"/>
  <c r="B1311" i="16"/>
  <c r="I1310" i="16"/>
  <c r="C1310" i="16"/>
  <c r="K1310" i="16" s="1"/>
  <c r="F1310" i="16"/>
  <c r="O1310" i="16" s="1"/>
  <c r="G1310" i="16"/>
  <c r="J1309" i="16"/>
  <c r="D1309" i="16"/>
  <c r="P1309" i="16"/>
  <c r="Q1309" i="16"/>
  <c r="R1309" i="16"/>
  <c r="T1309" i="16"/>
  <c r="S1254" i="16"/>
  <c r="U1254" i="16"/>
  <c r="P1255" i="16"/>
  <c r="Q1255" i="16"/>
  <c r="R1255" i="16"/>
  <c r="T1255" i="16"/>
  <c r="B1257" i="16"/>
  <c r="E1256" i="16"/>
  <c r="L1256" i="16"/>
  <c r="G1256" i="16"/>
  <c r="I1256" i="16"/>
  <c r="C1256" i="16"/>
  <c r="D1255" i="16"/>
  <c r="J1255" i="16"/>
  <c r="N1255" i="16" s="1"/>
  <c r="M1255" i="16"/>
  <c r="U1200" i="16"/>
  <c r="S1200" i="16"/>
  <c r="M1201" i="16"/>
  <c r="D1201" i="16"/>
  <c r="J1201" i="16"/>
  <c r="N1201" i="16" s="1"/>
  <c r="P1201" i="16"/>
  <c r="Q1201" i="16"/>
  <c r="R1201" i="16"/>
  <c r="T1201" i="16"/>
  <c r="L1202" i="16"/>
  <c r="C1202" i="16"/>
  <c r="K1202" i="16" s="1"/>
  <c r="E1202" i="16"/>
  <c r="F1202" i="16"/>
  <c r="O1202" i="16" s="1"/>
  <c r="G1202" i="16"/>
  <c r="I1202" i="16"/>
  <c r="B1203" i="16"/>
  <c r="M1147" i="16"/>
  <c r="D1147" i="16"/>
  <c r="J1147" i="16"/>
  <c r="N1147" i="16" s="1"/>
  <c r="P1147" i="16"/>
  <c r="Q1147" i="16"/>
  <c r="R1147" i="16"/>
  <c r="T1147" i="16"/>
  <c r="L1148" i="16"/>
  <c r="C1148" i="16"/>
  <c r="E1148" i="16"/>
  <c r="G1148" i="16"/>
  <c r="I1148" i="16"/>
  <c r="B1149" i="16"/>
  <c r="D1093" i="16"/>
  <c r="J1093" i="16"/>
  <c r="P1093" i="16"/>
  <c r="Q1093" i="16"/>
  <c r="R1093" i="16"/>
  <c r="T1093" i="16"/>
  <c r="L1094" i="16"/>
  <c r="C1094" i="16"/>
  <c r="K1094" i="16" s="1"/>
  <c r="E1094" i="16"/>
  <c r="F1094" i="16"/>
  <c r="O1094" i="16" s="1"/>
  <c r="G1094" i="16"/>
  <c r="I1094" i="16"/>
  <c r="B1095" i="16"/>
  <c r="U1038" i="16"/>
  <c r="S1038" i="16"/>
  <c r="D1039" i="16"/>
  <c r="J1039" i="16"/>
  <c r="P1039" i="16"/>
  <c r="Q1039" i="16"/>
  <c r="R1039" i="16"/>
  <c r="T1039" i="16"/>
  <c r="L1040" i="16"/>
  <c r="C1040" i="16"/>
  <c r="K1040" i="16" s="1"/>
  <c r="E1040" i="16"/>
  <c r="F1040" i="16"/>
  <c r="O1040" i="16" s="1"/>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E932" i="16"/>
  <c r="G932" i="16"/>
  <c r="I932" i="16"/>
  <c r="B933" i="16"/>
  <c r="M877" i="16"/>
  <c r="D877" i="16"/>
  <c r="J877" i="16"/>
  <c r="N877" i="16" s="1"/>
  <c r="P877" i="16"/>
  <c r="Q877" i="16"/>
  <c r="R877" i="16"/>
  <c r="T877" i="16"/>
  <c r="L878" i="16"/>
  <c r="C878" i="16"/>
  <c r="E878" i="16"/>
  <c r="G878" i="16"/>
  <c r="I878" i="16"/>
  <c r="B879" i="16"/>
  <c r="M823" i="16"/>
  <c r="D823" i="16"/>
  <c r="J823" i="16"/>
  <c r="N823" i="16" s="1"/>
  <c r="P823" i="16"/>
  <c r="Q823" i="16"/>
  <c r="R823" i="16"/>
  <c r="T823" i="16"/>
  <c r="L824" i="16"/>
  <c r="C824" i="16"/>
  <c r="K824" i="16" s="1"/>
  <c r="E824" i="16"/>
  <c r="F824" i="16"/>
  <c r="O824" i="16" s="1"/>
  <c r="G824" i="16"/>
  <c r="I824" i="16"/>
  <c r="B825" i="16"/>
  <c r="S768" i="16"/>
  <c r="U768" i="16"/>
  <c r="M769" i="16"/>
  <c r="D769" i="16"/>
  <c r="J769" i="16"/>
  <c r="N769" i="16" s="1"/>
  <c r="P769" i="16"/>
  <c r="Q769" i="16"/>
  <c r="R769" i="16"/>
  <c r="T769" i="16"/>
  <c r="L770" i="16"/>
  <c r="C770" i="16"/>
  <c r="K770" i="16" s="1"/>
  <c r="E770" i="16"/>
  <c r="F770" i="16"/>
  <c r="O770" i="16" s="1"/>
  <c r="G770" i="16"/>
  <c r="I770" i="16"/>
  <c r="B771" i="16"/>
  <c r="U714" i="16"/>
  <c r="S714"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E608" i="16"/>
  <c r="G608" i="16"/>
  <c r="I608" i="16"/>
  <c r="B609" i="16"/>
  <c r="L554" i="16"/>
  <c r="G554" i="16"/>
  <c r="I554" i="16"/>
  <c r="B555" i="16"/>
  <c r="C554" i="16"/>
  <c r="E554" i="16"/>
  <c r="D553" i="16"/>
  <c r="J553" i="16"/>
  <c r="P553" i="16"/>
  <c r="Q553" i="16"/>
  <c r="R553" i="16"/>
  <c r="T553" i="16"/>
  <c r="U498" i="16"/>
  <c r="S498" i="16"/>
  <c r="D499" i="16"/>
  <c r="J499" i="16"/>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K392" i="16" s="1"/>
  <c r="E392" i="16"/>
  <c r="F392" i="16"/>
  <c r="O392" i="16" s="1"/>
  <c r="G392" i="16"/>
  <c r="I392" i="16"/>
  <c r="B393" i="16"/>
  <c r="M337" i="16"/>
  <c r="D337" i="16"/>
  <c r="J337" i="16"/>
  <c r="N337" i="16" s="1"/>
  <c r="P337" i="16"/>
  <c r="Q337" i="16"/>
  <c r="R337" i="16"/>
  <c r="T337" i="16"/>
  <c r="L338" i="16"/>
  <c r="C338" i="16"/>
  <c r="E338" i="16"/>
  <c r="G338" i="16"/>
  <c r="I338" i="16"/>
  <c r="B339" i="16"/>
  <c r="U282" i="16"/>
  <c r="S282" i="16"/>
  <c r="D283" i="16"/>
  <c r="J283" i="16"/>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E230" i="16"/>
  <c r="G230" i="16"/>
  <c r="I230" i="16"/>
  <c r="B231" i="16"/>
  <c r="U174" i="16"/>
  <c r="S174" i="16"/>
  <c r="L176" i="16"/>
  <c r="G176" i="16"/>
  <c r="I176" i="16"/>
  <c r="B177" i="16"/>
  <c r="C176" i="16"/>
  <c r="E176" i="16"/>
  <c r="J175" i="16"/>
  <c r="D175" i="16"/>
  <c r="P175" i="16"/>
  <c r="Q175" i="16"/>
  <c r="R175" i="16"/>
  <c r="T175" i="16"/>
  <c r="P121" i="16"/>
  <c r="Q121" i="16"/>
  <c r="R121" i="16"/>
  <c r="T121" i="16"/>
  <c r="J121" i="16"/>
  <c r="D121" i="16"/>
  <c r="L122" i="16"/>
  <c r="I122" i="16"/>
  <c r="B123" i="16"/>
  <c r="C122" i="16"/>
  <c r="E122" i="16"/>
  <c r="G122" i="16"/>
  <c r="U58" i="4"/>
  <c r="C93" i="7" s="1"/>
  <c r="G93" i="7" s="1"/>
  <c r="S58" i="4"/>
  <c r="F54" i="7"/>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4253" i="16"/>
  <c r="S4253" i="16"/>
  <c r="U4145" i="16"/>
  <c r="S4145" i="16"/>
  <c r="U3521" i="16"/>
  <c r="S3521" i="16"/>
  <c r="S3467" i="16"/>
  <c r="U3467" i="16"/>
  <c r="U3035" i="16"/>
  <c r="S3035" i="16"/>
  <c r="U2765" i="16"/>
  <c r="S2765" i="16"/>
  <c r="U2711" i="16"/>
  <c r="S2711" i="16"/>
  <c r="U2657" i="16"/>
  <c r="S2657" i="16"/>
  <c r="U2603" i="16"/>
  <c r="S2603" i="16"/>
  <c r="U2495" i="16"/>
  <c r="S2495" i="16"/>
  <c r="S2333" i="16"/>
  <c r="U2333" i="16"/>
  <c r="U2225" i="16"/>
  <c r="S2225" i="16"/>
  <c r="U2171" i="16"/>
  <c r="S2171" i="16"/>
  <c r="U1955" i="16"/>
  <c r="S1955" i="16"/>
  <c r="U1523" i="16"/>
  <c r="S1523" i="16"/>
  <c r="U1361" i="16"/>
  <c r="S1361" i="16"/>
  <c r="U1307" i="16"/>
  <c r="S1307" i="16"/>
  <c r="U1199" i="16"/>
  <c r="S1199" i="16"/>
  <c r="U929" i="16"/>
  <c r="S929" i="16"/>
  <c r="U713" i="16"/>
  <c r="S713" i="16"/>
  <c r="U659" i="16"/>
  <c r="S659" i="16"/>
  <c r="U443" i="16"/>
  <c r="S443" i="16"/>
  <c r="U389" i="16"/>
  <c r="S389" i="16"/>
  <c r="U173" i="16"/>
  <c r="S173" i="16"/>
  <c r="S119" i="16"/>
  <c r="U119" i="16"/>
  <c r="M4608" i="16"/>
  <c r="N4608" i="16"/>
  <c r="N4554" i="16"/>
  <c r="M4554" i="16"/>
  <c r="M3738" i="16"/>
  <c r="N3738" i="16"/>
  <c r="M3684" i="16"/>
  <c r="N3684" i="16"/>
  <c r="M3576" i="16"/>
  <c r="N3576" i="16"/>
  <c r="M3252" i="16"/>
  <c r="N3252" i="16"/>
  <c r="M3198" i="16"/>
  <c r="N3198" i="16"/>
  <c r="M2928" i="16"/>
  <c r="N2928" i="16"/>
  <c r="N2550" i="16"/>
  <c r="M2550" i="16"/>
  <c r="M2442" i="16"/>
  <c r="N2442" i="16"/>
  <c r="M2388" i="16"/>
  <c r="N2388" i="16"/>
  <c r="M2226" i="16"/>
  <c r="N2226" i="16"/>
  <c r="M1956" i="16"/>
  <c r="N1956" i="16"/>
  <c r="M1902" i="16"/>
  <c r="N1902" i="16"/>
  <c r="N1470" i="16"/>
  <c r="M1470" i="16"/>
  <c r="N1362" i="16"/>
  <c r="M1362" i="16"/>
  <c r="M1146" i="16"/>
  <c r="N1146" i="16"/>
  <c r="M1092" i="16"/>
  <c r="N1092" i="16"/>
  <c r="M876" i="16"/>
  <c r="N876" i="16"/>
  <c r="M822" i="16"/>
  <c r="N822" i="16"/>
  <c r="N552" i="16"/>
  <c r="M552" i="16"/>
  <c r="M336" i="16"/>
  <c r="N336" i="16"/>
  <c r="N120" i="16"/>
  <c r="M120" i="16"/>
  <c r="K4555" i="16"/>
  <c r="F4555" i="16"/>
  <c r="F4255" i="16"/>
  <c r="O4255" i="16" s="1"/>
  <c r="K4255" i="16"/>
  <c r="K3523" i="16"/>
  <c r="F3523" i="16"/>
  <c r="O3523" i="16" s="1"/>
  <c r="K3415" i="16"/>
  <c r="F3415" i="16"/>
  <c r="O3415" i="16" s="1"/>
  <c r="K3145" i="16"/>
  <c r="F3145" i="16"/>
  <c r="O3145" i="16" s="1"/>
  <c r="F2929" i="16"/>
  <c r="O2929" i="16" s="1"/>
  <c r="K2929" i="16"/>
  <c r="F2713" i="16"/>
  <c r="O2713" i="16" s="1"/>
  <c r="K2713" i="16"/>
  <c r="K2659" i="16"/>
  <c r="F2659" i="16"/>
  <c r="O2659" i="16" s="1"/>
  <c r="K2605" i="16"/>
  <c r="F2605" i="16"/>
  <c r="O2605" i="16" s="1"/>
  <c r="K2389" i="16"/>
  <c r="F2389" i="16"/>
  <c r="O2389" i="16" s="1"/>
  <c r="K2173" i="16"/>
  <c r="F2173" i="16"/>
  <c r="O2173" i="16" s="1"/>
  <c r="K2119" i="16"/>
  <c r="F2119" i="16"/>
  <c r="O2119" i="16" s="1"/>
  <c r="K1903" i="16"/>
  <c r="F1903" i="16"/>
  <c r="O1903" i="16" s="1"/>
  <c r="F1849" i="16"/>
  <c r="O1849" i="16" s="1"/>
  <c r="K1849" i="16"/>
  <c r="K1363" i="16"/>
  <c r="F1363" i="16"/>
  <c r="O1363" i="16" s="1"/>
  <c r="F1309" i="16"/>
  <c r="O1309" i="16" s="1"/>
  <c r="K1309" i="16"/>
  <c r="F1093" i="16"/>
  <c r="O1093" i="16" s="1"/>
  <c r="K1093" i="16"/>
  <c r="F1039" i="16"/>
  <c r="O1039" i="16" s="1"/>
  <c r="K1039" i="16"/>
  <c r="F553" i="16"/>
  <c r="O553" i="16" s="1"/>
  <c r="K553" i="16"/>
  <c r="K499" i="16"/>
  <c r="F499" i="16"/>
  <c r="O499" i="16" s="1"/>
  <c r="K283" i="16"/>
  <c r="F283" i="16"/>
  <c r="O283" i="16" s="1"/>
  <c r="K175" i="16"/>
  <c r="F175" i="16"/>
  <c r="O175" i="16" s="1"/>
  <c r="K121" i="16"/>
  <c r="F121" i="16"/>
  <c r="O121" i="16" s="1"/>
  <c r="N4147" i="16" l="1"/>
  <c r="M4147" i="16"/>
  <c r="D4664" i="16"/>
  <c r="F4664" i="16"/>
  <c r="O4664" i="16" s="1"/>
  <c r="K3308" i="16"/>
  <c r="F3308" i="16"/>
  <c r="O3308" i="16" s="1"/>
  <c r="K2876" i="16"/>
  <c r="F2876" i="16"/>
  <c r="O2876" i="16" s="1"/>
  <c r="K2444" i="16"/>
  <c r="F2444" i="16"/>
  <c r="O2444" i="16" s="1"/>
  <c r="K2120" i="16"/>
  <c r="F2120" i="16"/>
  <c r="O2120" i="16" s="1"/>
  <c r="K1850" i="16"/>
  <c r="F1850" i="16"/>
  <c r="O1850" i="16" s="1"/>
  <c r="K230" i="16"/>
  <c r="F230" i="16"/>
  <c r="O230" i="16" s="1"/>
  <c r="T4716" i="16"/>
  <c r="S4717" i="16"/>
  <c r="T4717" i="16" s="1"/>
  <c r="U4717" i="16"/>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D4610" i="16"/>
  <c r="J4610" i="16"/>
  <c r="P4610" i="16"/>
  <c r="Q4610" i="16"/>
  <c r="R4610" i="16"/>
  <c r="L4611" i="16"/>
  <c r="C4611" i="16"/>
  <c r="E4611" i="16"/>
  <c r="G4611" i="16"/>
  <c r="I4611" i="16"/>
  <c r="B4612" i="16"/>
  <c r="D4556" i="16"/>
  <c r="J4556" i="16"/>
  <c r="N4556" i="16" s="1"/>
  <c r="P4556" i="16"/>
  <c r="Q4556" i="16"/>
  <c r="R4556" i="16"/>
  <c r="M4556" i="16"/>
  <c r="G4557" i="16"/>
  <c r="I4557" i="16"/>
  <c r="B4558" i="16"/>
  <c r="C4557" i="16"/>
  <c r="E4557" i="16"/>
  <c r="L4557" i="16"/>
  <c r="M4256" i="16"/>
  <c r="D4256" i="16"/>
  <c r="J4256" i="16"/>
  <c r="N4256" i="16" s="1"/>
  <c r="P4256" i="16"/>
  <c r="Q4256" i="16"/>
  <c r="R4256" i="16"/>
  <c r="T4256" i="16"/>
  <c r="L4257" i="16"/>
  <c r="C4257" i="16"/>
  <c r="K4257" i="16" s="1"/>
  <c r="E4257" i="16"/>
  <c r="F4257" i="16"/>
  <c r="O4257" i="16" s="1"/>
  <c r="G4257" i="16"/>
  <c r="I4257" i="16"/>
  <c r="B4258" i="16"/>
  <c r="U4201" i="16"/>
  <c r="S4201" i="16"/>
  <c r="D4202" i="16"/>
  <c r="J4202" i="16"/>
  <c r="N4202" i="16" s="1"/>
  <c r="P4202" i="16"/>
  <c r="Q4202" i="16"/>
  <c r="R4202" i="16"/>
  <c r="T4202" i="16"/>
  <c r="M4202" i="16"/>
  <c r="C4203" i="16"/>
  <c r="E4203" i="16"/>
  <c r="F4203" i="16"/>
  <c r="O4203" i="16" s="1"/>
  <c r="G4203" i="16"/>
  <c r="I4203" i="16"/>
  <c r="K4203" i="16"/>
  <c r="L4203" i="16"/>
  <c r="B4204" i="16"/>
  <c r="M4148" i="16"/>
  <c r="I4149" i="16"/>
  <c r="B4150" i="16"/>
  <c r="C4149" i="16"/>
  <c r="K4149" i="16" s="1"/>
  <c r="E4149" i="16"/>
  <c r="F4149" i="16"/>
  <c r="O4149" i="16" s="1"/>
  <c r="G4149" i="16"/>
  <c r="L4149" i="16"/>
  <c r="D4148" i="16"/>
  <c r="J4148" i="16"/>
  <c r="N4148" i="16" s="1"/>
  <c r="Q4148" i="16"/>
  <c r="P4148" i="16"/>
  <c r="R4148" i="16"/>
  <c r="T4148" i="16"/>
  <c r="U4147" i="16"/>
  <c r="S4147" i="16"/>
  <c r="U4093" i="16"/>
  <c r="S4093" i="16"/>
  <c r="M4094" i="16"/>
  <c r="D4094" i="16"/>
  <c r="J4094" i="16"/>
  <c r="N4094" i="16" s="1"/>
  <c r="P4094" i="16"/>
  <c r="Q4094" i="16"/>
  <c r="R4094" i="16"/>
  <c r="T4094" i="16"/>
  <c r="L4095" i="16"/>
  <c r="C4095" i="16"/>
  <c r="K4095" i="16" s="1"/>
  <c r="E4095" i="16"/>
  <c r="F4095" i="16"/>
  <c r="O4095" i="16" s="1"/>
  <c r="G4095" i="16"/>
  <c r="I4095" i="16"/>
  <c r="B4096" i="16"/>
  <c r="U3793" i="16"/>
  <c r="S3793" i="16"/>
  <c r="D3794" i="16"/>
  <c r="J3794" i="16"/>
  <c r="P3794" i="16"/>
  <c r="Q3794" i="16"/>
  <c r="R3794" i="16"/>
  <c r="T3794" i="16"/>
  <c r="L3795" i="16"/>
  <c r="C3795" i="16"/>
  <c r="K3795" i="16" s="1"/>
  <c r="E3795" i="16"/>
  <c r="F3795" i="16"/>
  <c r="O3795" i="16" s="1"/>
  <c r="G3795" i="16"/>
  <c r="I3795" i="16"/>
  <c r="B3796" i="16"/>
  <c r="U3739" i="16"/>
  <c r="S3739" i="16"/>
  <c r="D3740" i="16"/>
  <c r="J3740" i="16"/>
  <c r="P3740" i="16"/>
  <c r="Q3740" i="16"/>
  <c r="R3740" i="16"/>
  <c r="T3740" i="16"/>
  <c r="L3741" i="16"/>
  <c r="C3741" i="16"/>
  <c r="E3741" i="16"/>
  <c r="G3741" i="16"/>
  <c r="I3741" i="16"/>
  <c r="B3742" i="16"/>
  <c r="S3685" i="16"/>
  <c r="U3685" i="16"/>
  <c r="M3686" i="16"/>
  <c r="P3686" i="16"/>
  <c r="Q3686" i="16"/>
  <c r="R3686" i="16"/>
  <c r="T3686" i="16"/>
  <c r="J3686" i="16"/>
  <c r="N3686" i="16" s="1"/>
  <c r="D3686" i="16"/>
  <c r="L3687" i="16"/>
  <c r="I3687" i="16"/>
  <c r="B3688" i="16"/>
  <c r="C3687" i="16"/>
  <c r="K3687" i="16" s="1"/>
  <c r="E3687" i="16"/>
  <c r="F3687" i="16"/>
  <c r="O3687" i="16" s="1"/>
  <c r="G3687"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D3578" i="16"/>
  <c r="J3578" i="16"/>
  <c r="P3578" i="16"/>
  <c r="Q3578" i="16"/>
  <c r="R3578" i="16"/>
  <c r="T3578" i="16"/>
  <c r="L3579" i="16"/>
  <c r="C3579" i="16"/>
  <c r="K3579" i="16" s="1"/>
  <c r="E3579" i="16"/>
  <c r="F3579" i="16"/>
  <c r="O3579" i="16" s="1"/>
  <c r="G3579" i="16"/>
  <c r="I3579" i="16"/>
  <c r="B3580" i="16"/>
  <c r="M3524" i="16"/>
  <c r="D3524" i="16"/>
  <c r="J3524" i="16"/>
  <c r="N3524" i="16" s="1"/>
  <c r="P3524" i="16"/>
  <c r="Q3524" i="16"/>
  <c r="R3524" i="16"/>
  <c r="T3524" i="16"/>
  <c r="L3525" i="16"/>
  <c r="C3525" i="16"/>
  <c r="K3525" i="16" s="1"/>
  <c r="E3525" i="16"/>
  <c r="F3525" i="16"/>
  <c r="O3525" i="16" s="1"/>
  <c r="G3525" i="16"/>
  <c r="I3525" i="16"/>
  <c r="B3526" i="16"/>
  <c r="U3469" i="16"/>
  <c r="S3469" i="16"/>
  <c r="D3470" i="16"/>
  <c r="J3470" i="16"/>
  <c r="P3470" i="16"/>
  <c r="Q3470" i="16"/>
  <c r="R3470" i="16"/>
  <c r="T3470" i="16"/>
  <c r="L3471" i="16"/>
  <c r="C3471" i="16"/>
  <c r="K3471" i="16" s="1"/>
  <c r="E3471" i="16"/>
  <c r="F3471" i="16"/>
  <c r="O3471" i="16" s="1"/>
  <c r="G3471" i="16"/>
  <c r="B3472" i="16"/>
  <c r="I3471" i="16"/>
  <c r="M3416" i="16"/>
  <c r="D3416" i="16"/>
  <c r="J3416" i="16"/>
  <c r="N3416" i="16" s="1"/>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D3308" i="16"/>
  <c r="J3308" i="16"/>
  <c r="N3308" i="16" s="1"/>
  <c r="P3308" i="16"/>
  <c r="Q3308" i="16"/>
  <c r="R3308" i="16"/>
  <c r="T3308" i="16"/>
  <c r="L3309" i="16"/>
  <c r="C3309" i="16"/>
  <c r="E3309" i="16"/>
  <c r="G3309" i="16"/>
  <c r="I3309" i="16"/>
  <c r="B3310" i="16"/>
  <c r="S3253" i="16"/>
  <c r="U3253" i="16"/>
  <c r="M3254" i="16"/>
  <c r="D3254" i="16"/>
  <c r="J3254" i="16"/>
  <c r="N3254" i="16" s="1"/>
  <c r="P3254" i="16"/>
  <c r="Q3254" i="16"/>
  <c r="R3254" i="16"/>
  <c r="T3254" i="16"/>
  <c r="L3255" i="16"/>
  <c r="C3255" i="16"/>
  <c r="K3255" i="16" s="1"/>
  <c r="E3255" i="16"/>
  <c r="F3255" i="16"/>
  <c r="O3255" i="16" s="1"/>
  <c r="G3255" i="16"/>
  <c r="I3255" i="16"/>
  <c r="B3256" i="16"/>
  <c r="U3199" i="16"/>
  <c r="S3199" i="16"/>
  <c r="D3200" i="16"/>
  <c r="J3200" i="16"/>
  <c r="P3200" i="16"/>
  <c r="Q3200" i="16"/>
  <c r="R3200" i="16"/>
  <c r="T3200" i="16"/>
  <c r="L3201" i="16"/>
  <c r="C3201" i="16"/>
  <c r="E3201" i="16"/>
  <c r="G3201" i="16"/>
  <c r="I3201" i="16"/>
  <c r="B3202" i="16"/>
  <c r="M3146" i="16"/>
  <c r="D3146" i="16"/>
  <c r="J3146" i="16"/>
  <c r="N3146" i="16" s="1"/>
  <c r="P3146" i="16"/>
  <c r="Q3146" i="16"/>
  <c r="R3146" i="16"/>
  <c r="T3146" i="16"/>
  <c r="L3147" i="16"/>
  <c r="C3147" i="16"/>
  <c r="K3147" i="16" s="1"/>
  <c r="E3147" i="16"/>
  <c r="F3147" i="16"/>
  <c r="O3147" i="16" s="1"/>
  <c r="G3147" i="16"/>
  <c r="I3147" i="16"/>
  <c r="B3148" i="16"/>
  <c r="U3091" i="16"/>
  <c r="S3091" i="16"/>
  <c r="L3093" i="16"/>
  <c r="E3093" i="16"/>
  <c r="B3094" i="16"/>
  <c r="I3093" i="16"/>
  <c r="C3093" i="16"/>
  <c r="G3093" i="16"/>
  <c r="D3092" i="16"/>
  <c r="J3092" i="16"/>
  <c r="P3092" i="16"/>
  <c r="Q3092" i="16"/>
  <c r="R3092" i="16"/>
  <c r="T3092" i="16"/>
  <c r="U3037" i="16"/>
  <c r="S3037" i="16"/>
  <c r="P3038" i="16"/>
  <c r="Q3038" i="16"/>
  <c r="R3038" i="16"/>
  <c r="T3038" i="16"/>
  <c r="L3039" i="16"/>
  <c r="E3039" i="16"/>
  <c r="B3040" i="16"/>
  <c r="C3039" i="16"/>
  <c r="K3039" i="16" s="1"/>
  <c r="F3039" i="16"/>
  <c r="O3039" i="16" s="1"/>
  <c r="G3039" i="16"/>
  <c r="I3039" i="16"/>
  <c r="D3038" i="16"/>
  <c r="J3038" i="16"/>
  <c r="U2983" i="16"/>
  <c r="S2983" i="16"/>
  <c r="D2984" i="16"/>
  <c r="J2984" i="16"/>
  <c r="P2984" i="16"/>
  <c r="Q2984" i="16"/>
  <c r="R2984" i="16"/>
  <c r="T2984" i="16"/>
  <c r="L2985" i="16"/>
  <c r="C2985" i="16"/>
  <c r="K2985" i="16" s="1"/>
  <c r="E2985" i="16"/>
  <c r="F2985" i="16"/>
  <c r="O2985" i="16" s="1"/>
  <c r="G2985" i="16"/>
  <c r="I2985" i="16"/>
  <c r="B2986" i="16"/>
  <c r="D2930" i="16"/>
  <c r="J2930" i="16"/>
  <c r="P2930" i="16"/>
  <c r="Q2930" i="16"/>
  <c r="R2930" i="16"/>
  <c r="T2930" i="16"/>
  <c r="L2931" i="16"/>
  <c r="C2931" i="16"/>
  <c r="E2931" i="16"/>
  <c r="G2931" i="16"/>
  <c r="I2931" i="16"/>
  <c r="B2932" i="16"/>
  <c r="U2875" i="16"/>
  <c r="S2875" i="16"/>
  <c r="M2876" i="16"/>
  <c r="D2876" i="16"/>
  <c r="J2876" i="16"/>
  <c r="N2876" i="16" s="1"/>
  <c r="P2876" i="16"/>
  <c r="Q2876" i="16"/>
  <c r="R2876" i="16"/>
  <c r="T2876" i="16"/>
  <c r="L2877" i="16"/>
  <c r="C2877" i="16"/>
  <c r="E2877" i="16"/>
  <c r="G2877" i="16"/>
  <c r="I2877" i="16"/>
  <c r="B2878" i="16"/>
  <c r="M2822" i="16"/>
  <c r="P2822" i="16"/>
  <c r="Q2822" i="16"/>
  <c r="R2822" i="16"/>
  <c r="T2822" i="16"/>
  <c r="U2822" i="16" s="1"/>
  <c r="J2822" i="16"/>
  <c r="N2822" i="16" s="1"/>
  <c r="S2822" i="16" s="1"/>
  <c r="D2822" i="16"/>
  <c r="L2823" i="16"/>
  <c r="I2823" i="16"/>
  <c r="B2824" i="16"/>
  <c r="C2823" i="16"/>
  <c r="E2823" i="16"/>
  <c r="G2823" i="16"/>
  <c r="U2767" i="16"/>
  <c r="S2767" i="16"/>
  <c r="J2768" i="16"/>
  <c r="D2768" i="16"/>
  <c r="P2768" i="16"/>
  <c r="Q2768" i="16"/>
  <c r="R2768" i="16"/>
  <c r="T2768" i="16"/>
  <c r="L2769" i="16"/>
  <c r="E2769" i="16"/>
  <c r="C2769" i="16"/>
  <c r="G2769" i="16"/>
  <c r="B2770" i="16"/>
  <c r="I2769" i="16"/>
  <c r="P2714" i="16"/>
  <c r="Q2714" i="16"/>
  <c r="R2714" i="16"/>
  <c r="T2714" i="16"/>
  <c r="L2715" i="16"/>
  <c r="E2715" i="16"/>
  <c r="C2715" i="16"/>
  <c r="I2715" i="16"/>
  <c r="G2715" i="16"/>
  <c r="B2716" i="16"/>
  <c r="D2714" i="16"/>
  <c r="J2714" i="16"/>
  <c r="D2660" i="16"/>
  <c r="J2660" i="16"/>
  <c r="L2661" i="16"/>
  <c r="C2661" i="16"/>
  <c r="K2661" i="16" s="1"/>
  <c r="F2661" i="16"/>
  <c r="O2661" i="16" s="1"/>
  <c r="I2661" i="16"/>
  <c r="B2662" i="16"/>
  <c r="E2661" i="16"/>
  <c r="G2661" i="16"/>
  <c r="P2660" i="16"/>
  <c r="Q2660" i="16"/>
  <c r="R2660" i="16"/>
  <c r="T2660" i="16"/>
  <c r="M2606" i="16"/>
  <c r="L2607" i="16"/>
  <c r="E2607" i="16"/>
  <c r="C2607" i="16"/>
  <c r="I2607" i="16"/>
  <c r="B2608" i="16"/>
  <c r="G2607" i="16"/>
  <c r="P2606" i="16"/>
  <c r="Q2606" i="16"/>
  <c r="R2606" i="16"/>
  <c r="T2606" i="16"/>
  <c r="D2606" i="16"/>
  <c r="J2606" i="16"/>
  <c r="N2606" i="16" s="1"/>
  <c r="U2551" i="16"/>
  <c r="S2551" i="16"/>
  <c r="D2552" i="16"/>
  <c r="J2552" i="16"/>
  <c r="L2553" i="16"/>
  <c r="B2554" i="16"/>
  <c r="E2553" i="16"/>
  <c r="I2553" i="16"/>
  <c r="G2553" i="16"/>
  <c r="C2553" i="16"/>
  <c r="P2552" i="16"/>
  <c r="Q2552" i="16"/>
  <c r="R2552" i="16"/>
  <c r="T2552" i="16"/>
  <c r="U2497" i="16"/>
  <c r="S2497" i="16"/>
  <c r="M2498" i="16"/>
  <c r="D2498" i="16"/>
  <c r="J2498" i="16"/>
  <c r="N2498" i="16" s="1"/>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E2445" i="16"/>
  <c r="G2445" i="16"/>
  <c r="I2445" i="16"/>
  <c r="B2446" i="16"/>
  <c r="D2390" i="16"/>
  <c r="J2390" i="16"/>
  <c r="P2390" i="16"/>
  <c r="Q2390" i="16"/>
  <c r="R2390" i="16"/>
  <c r="T2390" i="16"/>
  <c r="L2391" i="16"/>
  <c r="C2391" i="16"/>
  <c r="K2391" i="16" s="1"/>
  <c r="E2391" i="16"/>
  <c r="F2391" i="16"/>
  <c r="O2391" i="16" s="1"/>
  <c r="G2391" i="16"/>
  <c r="I2391" i="16"/>
  <c r="B2392" i="16"/>
  <c r="U2335" i="16"/>
  <c r="S2335" i="16"/>
  <c r="M2336" i="16"/>
  <c r="D2336" i="16"/>
  <c r="J2336" i="16"/>
  <c r="N2336" i="16" s="1"/>
  <c r="P2336" i="16"/>
  <c r="Q2336" i="16"/>
  <c r="R2336" i="16"/>
  <c r="T2336" i="16"/>
  <c r="L2337" i="16"/>
  <c r="E2337" i="16"/>
  <c r="I2337" i="16"/>
  <c r="G2337" i="16"/>
  <c r="C2337" i="16"/>
  <c r="K2337" i="16" s="1"/>
  <c r="B2338" i="16"/>
  <c r="F2337" i="16"/>
  <c r="O2337" i="16" s="1"/>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D2228" i="16"/>
  <c r="J2228" i="16"/>
  <c r="P2228" i="16"/>
  <c r="Q2228" i="16"/>
  <c r="R2228" i="16"/>
  <c r="T2228" i="16"/>
  <c r="L2229" i="16"/>
  <c r="C2229" i="16"/>
  <c r="K2229" i="16" s="1"/>
  <c r="E2229" i="16"/>
  <c r="F2229" i="16"/>
  <c r="O2229" i="16" s="1"/>
  <c r="G2229" i="16"/>
  <c r="I2229" i="16"/>
  <c r="B2230" i="16"/>
  <c r="D2174" i="16"/>
  <c r="J2174" i="16"/>
  <c r="P2174" i="16"/>
  <c r="Q2174" i="16"/>
  <c r="R2174" i="16"/>
  <c r="T2174" i="16"/>
  <c r="L2175" i="16"/>
  <c r="C2175" i="16"/>
  <c r="K2175" i="16" s="1"/>
  <c r="E2175" i="16"/>
  <c r="F2175" i="16"/>
  <c r="O2175" i="16" s="1"/>
  <c r="G2175" i="16"/>
  <c r="I2175" i="16"/>
  <c r="B2176" i="16"/>
  <c r="M2120" i="16"/>
  <c r="D2120" i="16"/>
  <c r="J2120" i="16"/>
  <c r="N2120" i="16" s="1"/>
  <c r="P2120" i="16"/>
  <c r="Q2120" i="16"/>
  <c r="R2120" i="16"/>
  <c r="T2120" i="16"/>
  <c r="L2121" i="16"/>
  <c r="C2121" i="16"/>
  <c r="K2121" i="16" s="1"/>
  <c r="E2121" i="16"/>
  <c r="F2121" i="16"/>
  <c r="O2121" i="16" s="1"/>
  <c r="G2121" i="16"/>
  <c r="I2121" i="16"/>
  <c r="B2122" i="16"/>
  <c r="U2065" i="16"/>
  <c r="S2065" i="16"/>
  <c r="M2066" i="16"/>
  <c r="D2066" i="16"/>
  <c r="J2066" i="16"/>
  <c r="N2066" i="16" s="1"/>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E2013" i="16"/>
  <c r="G2013" i="16"/>
  <c r="I2013" i="16"/>
  <c r="B2014" i="16"/>
  <c r="U1957" i="16"/>
  <c r="S1957" i="16"/>
  <c r="D1958" i="16"/>
  <c r="J1958" i="16"/>
  <c r="P1958" i="16"/>
  <c r="Q1958" i="16"/>
  <c r="R1958" i="16"/>
  <c r="T1958" i="16"/>
  <c r="L1959" i="16"/>
  <c r="C1959" i="16"/>
  <c r="K1959" i="16" s="1"/>
  <c r="E1959" i="16"/>
  <c r="F1959" i="16"/>
  <c r="O1959" i="16" s="1"/>
  <c r="G1959" i="16"/>
  <c r="I1959" i="16"/>
  <c r="B1960" i="16"/>
  <c r="D1904" i="16"/>
  <c r="J1904" i="16"/>
  <c r="P1904" i="16"/>
  <c r="Q1904" i="16"/>
  <c r="R1904" i="16"/>
  <c r="T1904" i="16"/>
  <c r="L1905" i="16"/>
  <c r="C1905" i="16"/>
  <c r="K1905" i="16" s="1"/>
  <c r="E1905" i="16"/>
  <c r="F1905" i="16"/>
  <c r="O1905" i="16" s="1"/>
  <c r="G1905" i="16"/>
  <c r="I1905" i="16"/>
  <c r="B1906" i="16"/>
  <c r="M1850" i="16"/>
  <c r="D1850" i="16"/>
  <c r="J1850" i="16"/>
  <c r="N1850" i="16" s="1"/>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E1797" i="16"/>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S1687" i="16"/>
  <c r="U1687" i="16"/>
  <c r="M1688" i="16"/>
  <c r="D1688" i="16"/>
  <c r="J1688" i="16"/>
  <c r="N1688" i="16" s="1"/>
  <c r="P1688" i="16"/>
  <c r="Q1688" i="16"/>
  <c r="R1688" i="16"/>
  <c r="T1688" i="16"/>
  <c r="L1689" i="16"/>
  <c r="C1689" i="16"/>
  <c r="K1689" i="16" s="1"/>
  <c r="E1689" i="16"/>
  <c r="F1689" i="16"/>
  <c r="O1689" i="16" s="1"/>
  <c r="G1689" i="16"/>
  <c r="I1689" i="16"/>
  <c r="B1690" i="16"/>
  <c r="U1633" i="16"/>
  <c r="S1633" i="16"/>
  <c r="D1634" i="16"/>
  <c r="J1634" i="16"/>
  <c r="P1634" i="16"/>
  <c r="Q1634" i="16"/>
  <c r="R1634" i="16"/>
  <c r="T1634" i="16"/>
  <c r="L1635" i="16"/>
  <c r="C1635" i="16"/>
  <c r="E1635" i="16"/>
  <c r="G1635" i="16"/>
  <c r="I1635" i="16"/>
  <c r="B1636" i="16"/>
  <c r="U1579" i="16"/>
  <c r="S1579" i="16"/>
  <c r="M1580" i="16"/>
  <c r="D1580" i="16"/>
  <c r="J1580" i="16"/>
  <c r="N1580" i="16" s="1"/>
  <c r="P1580" i="16"/>
  <c r="Q1580" i="16"/>
  <c r="R1580" i="16"/>
  <c r="T1580" i="16"/>
  <c r="L1581" i="16"/>
  <c r="C1581" i="16"/>
  <c r="E1581" i="16"/>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S1471" i="16"/>
  <c r="U1471" i="16"/>
  <c r="P1472" i="16"/>
  <c r="Q1472" i="16"/>
  <c r="R1472" i="16"/>
  <c r="T1472" i="16"/>
  <c r="J1472" i="16"/>
  <c r="D1472" i="16"/>
  <c r="L1473" i="16"/>
  <c r="I1473" i="16"/>
  <c r="B1474" i="16"/>
  <c r="E1473" i="16"/>
  <c r="C1473" i="16"/>
  <c r="G1473" i="16"/>
  <c r="U1417" i="16"/>
  <c r="S1417" i="16"/>
  <c r="P1418" i="16"/>
  <c r="Q1418" i="16"/>
  <c r="R1418" i="16"/>
  <c r="T1418" i="16"/>
  <c r="L1419" i="16"/>
  <c r="B1420" i="16"/>
  <c r="E1419" i="16"/>
  <c r="G1419" i="16"/>
  <c r="C1419" i="16"/>
  <c r="I1419" i="16"/>
  <c r="J1418" i="16"/>
  <c r="D1418" i="16"/>
  <c r="M1364" i="16"/>
  <c r="J1364" i="16"/>
  <c r="N1364" i="16" s="1"/>
  <c r="D1364" i="16"/>
  <c r="L1365" i="16"/>
  <c r="G1365" i="16"/>
  <c r="E1365" i="16"/>
  <c r="I1365" i="16"/>
  <c r="B1366" i="16"/>
  <c r="C1365" i="16"/>
  <c r="P1364" i="16"/>
  <c r="Q1364" i="16"/>
  <c r="R1364" i="16"/>
  <c r="T1364" i="16"/>
  <c r="M1310" i="16"/>
  <c r="L1311" i="16"/>
  <c r="I1311" i="16"/>
  <c r="E1311" i="16"/>
  <c r="B1312" i="16"/>
  <c r="G1311" i="16"/>
  <c r="C1311" i="16"/>
  <c r="D1310" i="16"/>
  <c r="J1310" i="16"/>
  <c r="N1310" i="16" s="1"/>
  <c r="P1310" i="16"/>
  <c r="Q1310" i="16"/>
  <c r="R1310" i="16"/>
  <c r="T1310" i="16"/>
  <c r="I1257" i="16"/>
  <c r="B1258" i="16"/>
  <c r="G1257" i="16"/>
  <c r="C1257" i="16"/>
  <c r="K1257" i="16"/>
  <c r="E1257" i="16"/>
  <c r="F1257" i="16"/>
  <c r="O1257" i="16" s="1"/>
  <c r="L1257" i="16"/>
  <c r="P1256" i="16"/>
  <c r="Q1256" i="16"/>
  <c r="R1256" i="16"/>
  <c r="T1256" i="16"/>
  <c r="D1256" i="16"/>
  <c r="J1256" i="16"/>
  <c r="U1255" i="16"/>
  <c r="S1255" i="16"/>
  <c r="U1201" i="16"/>
  <c r="S1201" i="16"/>
  <c r="M1202" i="16"/>
  <c r="D1202" i="16"/>
  <c r="J1202" i="16"/>
  <c r="N1202" i="16" s="1"/>
  <c r="P1202" i="16"/>
  <c r="Q1202" i="16"/>
  <c r="R1202" i="16"/>
  <c r="T1202" i="16"/>
  <c r="L1203" i="16"/>
  <c r="C1203" i="16"/>
  <c r="E1203" i="16"/>
  <c r="G1203" i="16"/>
  <c r="I1203" i="16"/>
  <c r="B1204" i="16"/>
  <c r="U1147" i="16"/>
  <c r="S1147" i="16"/>
  <c r="D1148" i="16"/>
  <c r="J1148" i="16"/>
  <c r="P1148" i="16"/>
  <c r="Q1148" i="16"/>
  <c r="R1148" i="16"/>
  <c r="T1148" i="16"/>
  <c r="L1149" i="16"/>
  <c r="C1149" i="16"/>
  <c r="K1149" i="16" s="1"/>
  <c r="E1149" i="16"/>
  <c r="F1149" i="16"/>
  <c r="O1149" i="16" s="1"/>
  <c r="G1149" i="16"/>
  <c r="I1149" i="16"/>
  <c r="B1150" i="16"/>
  <c r="M1094" i="16"/>
  <c r="D1094" i="16"/>
  <c r="J1094" i="16"/>
  <c r="N1094" i="16" s="1"/>
  <c r="P1094" i="16"/>
  <c r="Q1094" i="16"/>
  <c r="R1094" i="16"/>
  <c r="T1094" i="16"/>
  <c r="L1095" i="16"/>
  <c r="C1095" i="16"/>
  <c r="E1095" i="16"/>
  <c r="G1095" i="16"/>
  <c r="I1095" i="16"/>
  <c r="B1096" i="16"/>
  <c r="M1040" i="16"/>
  <c r="D1040" i="16"/>
  <c r="J1040" i="16"/>
  <c r="N1040" i="16" s="1"/>
  <c r="P1040" i="16"/>
  <c r="Q1040" i="16"/>
  <c r="R1040" i="16"/>
  <c r="T1040" i="16"/>
  <c r="L1041" i="16"/>
  <c r="C1041" i="16"/>
  <c r="E1041" i="16"/>
  <c r="G1041" i="16"/>
  <c r="I1041" i="16"/>
  <c r="B1042" i="16"/>
  <c r="U985" i="16"/>
  <c r="S985" i="16"/>
  <c r="M986" i="16"/>
  <c r="D986" i="16"/>
  <c r="J986" i="16"/>
  <c r="N986" i="16" s="1"/>
  <c r="P986" i="16"/>
  <c r="Q986" i="16"/>
  <c r="R986" i="16"/>
  <c r="T986" i="16"/>
  <c r="L987" i="16"/>
  <c r="C987" i="16"/>
  <c r="E987" i="16"/>
  <c r="G987" i="16"/>
  <c r="I987" i="16"/>
  <c r="B988" i="16"/>
  <c r="U931" i="16"/>
  <c r="S931" i="16"/>
  <c r="D932" i="16"/>
  <c r="J932" i="16"/>
  <c r="P932" i="16"/>
  <c r="Q932" i="16"/>
  <c r="R932" i="16"/>
  <c r="T932" i="16"/>
  <c r="L933" i="16"/>
  <c r="C933" i="16"/>
  <c r="K933" i="16" s="1"/>
  <c r="E933" i="16"/>
  <c r="F933" i="16"/>
  <c r="O933" i="16" s="1"/>
  <c r="G933" i="16"/>
  <c r="I933" i="16"/>
  <c r="B934" i="16"/>
  <c r="U877" i="16"/>
  <c r="S877" i="16"/>
  <c r="D878" i="16"/>
  <c r="J878" i="16"/>
  <c r="P878" i="16"/>
  <c r="Q878" i="16"/>
  <c r="R878" i="16"/>
  <c r="T878" i="16"/>
  <c r="L879" i="16"/>
  <c r="C879" i="16"/>
  <c r="K879" i="16" s="1"/>
  <c r="E879" i="16"/>
  <c r="F879" i="16"/>
  <c r="O879" i="16" s="1"/>
  <c r="G879" i="16"/>
  <c r="I879" i="16"/>
  <c r="B880" i="16"/>
  <c r="U823" i="16"/>
  <c r="S823" i="16"/>
  <c r="M824" i="16"/>
  <c r="D824" i="16"/>
  <c r="J824" i="16"/>
  <c r="N824" i="16" s="1"/>
  <c r="P824" i="16"/>
  <c r="Q824" i="16"/>
  <c r="R824" i="16"/>
  <c r="T824" i="16"/>
  <c r="L825" i="16"/>
  <c r="C825" i="16"/>
  <c r="E825" i="16"/>
  <c r="G825" i="16"/>
  <c r="I825" i="16"/>
  <c r="B826" i="16"/>
  <c r="S769" i="16"/>
  <c r="U769" i="16"/>
  <c r="M770" i="16"/>
  <c r="D770" i="16"/>
  <c r="J770" i="16"/>
  <c r="N770" i="16" s="1"/>
  <c r="P770" i="16"/>
  <c r="Q770" i="16"/>
  <c r="R770" i="16"/>
  <c r="T770" i="16"/>
  <c r="L771" i="16"/>
  <c r="C771" i="16"/>
  <c r="K771" i="16" s="1"/>
  <c r="E771" i="16"/>
  <c r="F771" i="16"/>
  <c r="O771" i="16" s="1"/>
  <c r="G771" i="16"/>
  <c r="I771" i="16"/>
  <c r="B772"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K663" i="16" s="1"/>
  <c r="E663" i="16"/>
  <c r="F663" i="16"/>
  <c r="O663" i="16" s="1"/>
  <c r="G663" i="16"/>
  <c r="I663" i="16"/>
  <c r="B664" i="16"/>
  <c r="U607" i="16"/>
  <c r="S607" i="16"/>
  <c r="D608" i="16"/>
  <c r="J608" i="16"/>
  <c r="P608" i="16"/>
  <c r="Q608" i="16"/>
  <c r="R608" i="16"/>
  <c r="T608" i="16"/>
  <c r="L609" i="16"/>
  <c r="C609" i="16"/>
  <c r="E609" i="16"/>
  <c r="G609" i="16"/>
  <c r="I609" i="16"/>
  <c r="B610" i="16"/>
  <c r="P554" i="16"/>
  <c r="Q554" i="16"/>
  <c r="R554" i="16"/>
  <c r="T554" i="16"/>
  <c r="L555" i="16"/>
  <c r="E555" i="16"/>
  <c r="G555" i="16"/>
  <c r="C555" i="16"/>
  <c r="I555" i="16"/>
  <c r="B556" i="16"/>
  <c r="J554" i="16"/>
  <c r="D554" i="16"/>
  <c r="M500" i="16"/>
  <c r="D500" i="16"/>
  <c r="J500" i="16"/>
  <c r="N500" i="16" s="1"/>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U391" i="16"/>
  <c r="S391" i="16"/>
  <c r="M392" i="16"/>
  <c r="D392" i="16"/>
  <c r="J392" i="16"/>
  <c r="N392" i="16" s="1"/>
  <c r="P392" i="16"/>
  <c r="Q392" i="16"/>
  <c r="R392" i="16"/>
  <c r="T392" i="16"/>
  <c r="L393" i="16"/>
  <c r="C393" i="16"/>
  <c r="E393" i="16"/>
  <c r="G393" i="16"/>
  <c r="I393" i="16"/>
  <c r="B394" i="16"/>
  <c r="S337" i="16"/>
  <c r="U337" i="16"/>
  <c r="D338" i="16"/>
  <c r="J338" i="16"/>
  <c r="P338" i="16"/>
  <c r="Q338" i="16"/>
  <c r="R338" i="16"/>
  <c r="T338" i="16"/>
  <c r="L339" i="16"/>
  <c r="C339" i="16"/>
  <c r="K339" i="16" s="1"/>
  <c r="E339" i="16"/>
  <c r="F339" i="16"/>
  <c r="O339" i="16" s="1"/>
  <c r="G339" i="16"/>
  <c r="I339" i="16"/>
  <c r="B340"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K231" i="16" s="1"/>
  <c r="E231" i="16"/>
  <c r="F231" i="16"/>
  <c r="O231" i="16" s="1"/>
  <c r="G231" i="16"/>
  <c r="I231" i="16"/>
  <c r="B232" i="16"/>
  <c r="P176" i="16"/>
  <c r="Q176" i="16"/>
  <c r="R176" i="16"/>
  <c r="T176" i="16"/>
  <c r="L177" i="16"/>
  <c r="G177" i="16"/>
  <c r="C177" i="16"/>
  <c r="E177" i="16"/>
  <c r="I177" i="16"/>
  <c r="B178" i="16"/>
  <c r="D176" i="16"/>
  <c r="J176" i="16"/>
  <c r="L123" i="16"/>
  <c r="G123" i="16"/>
  <c r="I123" i="16"/>
  <c r="B124" i="16"/>
  <c r="C123" i="16"/>
  <c r="E123" i="16"/>
  <c r="D122" i="16"/>
  <c r="J122" i="16"/>
  <c r="P122" i="16"/>
  <c r="Q122" i="16"/>
  <c r="R122" i="16"/>
  <c r="T122" i="16"/>
  <c r="U59" i="4"/>
  <c r="C94" i="7" s="1"/>
  <c r="G94" i="7" s="1"/>
  <c r="S59" i="4"/>
  <c r="F59" i="5"/>
  <c r="G59" i="5"/>
  <c r="H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T60" i="4"/>
  <c r="V60" i="4"/>
  <c r="BF60" i="4"/>
  <c r="L61" i="4"/>
  <c r="C61" i="4"/>
  <c r="K61" i="4" s="1"/>
  <c r="E61" i="4"/>
  <c r="F61" i="4"/>
  <c r="C61" i="5" s="1"/>
  <c r="E61" i="5" s="1"/>
  <c r="G61" i="4"/>
  <c r="I61" i="4"/>
  <c r="B62" i="4"/>
  <c r="B61" i="5"/>
  <c r="U3738" i="16"/>
  <c r="S3738" i="16"/>
  <c r="S3684" i="16"/>
  <c r="U3684" i="16"/>
  <c r="U3576" i="16"/>
  <c r="S3576" i="16"/>
  <c r="S3252" i="16"/>
  <c r="U3252" i="16"/>
  <c r="U3198" i="16"/>
  <c r="S3198" i="16"/>
  <c r="U2928" i="16"/>
  <c r="S2928" i="16"/>
  <c r="S2550" i="16"/>
  <c r="U2550" i="16"/>
  <c r="U2442" i="16"/>
  <c r="S2442" i="16"/>
  <c r="U2388" i="16"/>
  <c r="S2388" i="16"/>
  <c r="U2226" i="16"/>
  <c r="S2226" i="16"/>
  <c r="U1956" i="16"/>
  <c r="S1956" i="16"/>
  <c r="S1902" i="16"/>
  <c r="U1902" i="16"/>
  <c r="S1470" i="16"/>
  <c r="U1470" i="16"/>
  <c r="U1362" i="16"/>
  <c r="S1362" i="16"/>
  <c r="U1146" i="16"/>
  <c r="S1146" i="16"/>
  <c r="U1092" i="16"/>
  <c r="S1092" i="16"/>
  <c r="U876" i="16"/>
  <c r="S876" i="16"/>
  <c r="U822" i="16"/>
  <c r="S822" i="16"/>
  <c r="U552" i="16"/>
  <c r="S552" i="16"/>
  <c r="S336" i="16"/>
  <c r="U336" i="16"/>
  <c r="S120" i="16"/>
  <c r="U120" i="16"/>
  <c r="N4555" i="16"/>
  <c r="M4555" i="16"/>
  <c r="M4255" i="16"/>
  <c r="N4255" i="16"/>
  <c r="M3523" i="16"/>
  <c r="N3523" i="16"/>
  <c r="M3415" i="16"/>
  <c r="N3415" i="16"/>
  <c r="M3145" i="16"/>
  <c r="N3145" i="16"/>
  <c r="M2929" i="16"/>
  <c r="N2929" i="16"/>
  <c r="N2713" i="16"/>
  <c r="M2713" i="16"/>
  <c r="M2659" i="16"/>
  <c r="N2659" i="16"/>
  <c r="N2605" i="16"/>
  <c r="M2605" i="16"/>
  <c r="M2389" i="16"/>
  <c r="N2389" i="16"/>
  <c r="M2173" i="16"/>
  <c r="N2173" i="16"/>
  <c r="M2119" i="16"/>
  <c r="N2119" i="16"/>
  <c r="M1903" i="16"/>
  <c r="N1903" i="16"/>
  <c r="M1849" i="16"/>
  <c r="N1849" i="16"/>
  <c r="N1363" i="16"/>
  <c r="M1363" i="16"/>
  <c r="N1309" i="16"/>
  <c r="M1309" i="16"/>
  <c r="M1093" i="16"/>
  <c r="N1093" i="16"/>
  <c r="M1039" i="16"/>
  <c r="N1039" i="16"/>
  <c r="M553" i="16"/>
  <c r="N553" i="16"/>
  <c r="M499" i="16"/>
  <c r="N499" i="16"/>
  <c r="M283" i="16"/>
  <c r="N283" i="16"/>
  <c r="M175" i="16"/>
  <c r="N175" i="16"/>
  <c r="N121" i="16"/>
  <c r="M121" i="16"/>
  <c r="K4610" i="16"/>
  <c r="F4610" i="16"/>
  <c r="F3794" i="16"/>
  <c r="O3794" i="16" s="1"/>
  <c r="K3794" i="16"/>
  <c r="K3740" i="16"/>
  <c r="F3740" i="16"/>
  <c r="O3740" i="16" s="1"/>
  <c r="F3578" i="16"/>
  <c r="O3578" i="16" s="1"/>
  <c r="K3578" i="16"/>
  <c r="K3470" i="16"/>
  <c r="F3470" i="16"/>
  <c r="O3470" i="16" s="1"/>
  <c r="K3200" i="16"/>
  <c r="F3200" i="16"/>
  <c r="O3200" i="16" s="1"/>
  <c r="K3092" i="16"/>
  <c r="F3092" i="16"/>
  <c r="O3092" i="16" s="1"/>
  <c r="K3038" i="16"/>
  <c r="F3038" i="16"/>
  <c r="O3038" i="16" s="1"/>
  <c r="F2984" i="16"/>
  <c r="O2984" i="16" s="1"/>
  <c r="K2984" i="16"/>
  <c r="F2930" i="16"/>
  <c r="O2930" i="16" s="1"/>
  <c r="K2930" i="16"/>
  <c r="F2768" i="16"/>
  <c r="O2768" i="16" s="1"/>
  <c r="K2768" i="16"/>
  <c r="F2714" i="16"/>
  <c r="O2714" i="16" s="1"/>
  <c r="K2714" i="16"/>
  <c r="F2660" i="16"/>
  <c r="O2660" i="16" s="1"/>
  <c r="K2660" i="16"/>
  <c r="K2552" i="16"/>
  <c r="F2552" i="16"/>
  <c r="O2552" i="16" s="1"/>
  <c r="F2390" i="16"/>
  <c r="O2390" i="16" s="1"/>
  <c r="K2390" i="16"/>
  <c r="F2228" i="16"/>
  <c r="O2228" i="16" s="1"/>
  <c r="K2228" i="16"/>
  <c r="F2174" i="16"/>
  <c r="O2174" i="16" s="1"/>
  <c r="K2174" i="16"/>
  <c r="F1958" i="16"/>
  <c r="O1958" i="16" s="1"/>
  <c r="K1958" i="16"/>
  <c r="F1904" i="16"/>
  <c r="O1904" i="16" s="1"/>
  <c r="K1904" i="16"/>
  <c r="K1634" i="16"/>
  <c r="F1634" i="16"/>
  <c r="O1634" i="16" s="1"/>
  <c r="K1472" i="16"/>
  <c r="F1472" i="16"/>
  <c r="O1472" i="16" s="1"/>
  <c r="K1418" i="16"/>
  <c r="F1418" i="16"/>
  <c r="O1418" i="16" s="1"/>
  <c r="K1256" i="16"/>
  <c r="F1256" i="16"/>
  <c r="O1256" i="16" s="1"/>
  <c r="K1148" i="16"/>
  <c r="F1148" i="16"/>
  <c r="O1148" i="16" s="1"/>
  <c r="F932" i="16"/>
  <c r="O932" i="16" s="1"/>
  <c r="K932" i="16"/>
  <c r="F878" i="16"/>
  <c r="O878" i="16" s="1"/>
  <c r="K878" i="16"/>
  <c r="K608" i="16"/>
  <c r="F608" i="16"/>
  <c r="O608" i="16" s="1"/>
  <c r="F554" i="16"/>
  <c r="O554" i="16" s="1"/>
  <c r="K554" i="16"/>
  <c r="F338" i="16"/>
  <c r="O338" i="16" s="1"/>
  <c r="K338" i="16"/>
  <c r="F176" i="16"/>
  <c r="O176" i="16" s="1"/>
  <c r="K176" i="16"/>
  <c r="F122" i="16"/>
  <c r="O122" i="16" s="1"/>
  <c r="K122" i="16"/>
  <c r="K3309" i="16" l="1"/>
  <c r="F3309" i="16"/>
  <c r="O3309" i="16" s="1"/>
  <c r="K3093" i="16"/>
  <c r="F3093" i="16"/>
  <c r="O3093" i="16" s="1"/>
  <c r="K2931" i="16"/>
  <c r="F2931" i="16"/>
  <c r="O2931" i="16" s="1"/>
  <c r="K2769" i="16"/>
  <c r="F2769" i="16"/>
  <c r="O2769" i="16" s="1"/>
  <c r="K2445" i="16"/>
  <c r="F2445" i="16"/>
  <c r="O2445" i="16" s="1"/>
  <c r="K1851" i="16"/>
  <c r="F1851" i="16"/>
  <c r="O1851" i="16" s="1"/>
  <c r="K1635" i="16"/>
  <c r="F1635" i="16"/>
  <c r="O1635" i="16" s="1"/>
  <c r="K1203" i="16"/>
  <c r="F1203" i="16"/>
  <c r="O1203" i="16" s="1"/>
  <c r="K987" i="16"/>
  <c r="F987" i="16"/>
  <c r="O987" i="16" s="1"/>
  <c r="K393" i="16"/>
  <c r="F393" i="16"/>
  <c r="O393" i="16" s="1"/>
  <c r="S4718" i="16"/>
  <c r="U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D4611" i="16"/>
  <c r="J4611" i="16"/>
  <c r="P4611" i="16"/>
  <c r="Q4611" i="16"/>
  <c r="R4611" i="16"/>
  <c r="L4612" i="16"/>
  <c r="C4612" i="16"/>
  <c r="E4612" i="16"/>
  <c r="G4612" i="16"/>
  <c r="I4612" i="16"/>
  <c r="B4613" i="16"/>
  <c r="P4557" i="16"/>
  <c r="Q4557" i="16"/>
  <c r="R4557" i="16"/>
  <c r="I4558" i="16"/>
  <c r="L4558" i="16"/>
  <c r="C4558" i="16"/>
  <c r="F4558" i="16" s="1"/>
  <c r="E4558" i="16"/>
  <c r="G4558" i="16"/>
  <c r="K4558" i="16"/>
  <c r="B4559" i="16"/>
  <c r="J4557" i="16"/>
  <c r="D4557" i="16"/>
  <c r="U4256" i="16"/>
  <c r="S4256" i="16"/>
  <c r="M4257" i="16"/>
  <c r="D4257" i="16"/>
  <c r="J4257" i="16"/>
  <c r="N4257" i="16" s="1"/>
  <c r="P4257" i="16"/>
  <c r="Q4257" i="16"/>
  <c r="R4257" i="16"/>
  <c r="T4257" i="16"/>
  <c r="L4258" i="16"/>
  <c r="C4258" i="16"/>
  <c r="K4258" i="16" s="1"/>
  <c r="E4258" i="16"/>
  <c r="F4258" i="16"/>
  <c r="O4258" i="16" s="1"/>
  <c r="G4258" i="16"/>
  <c r="I4258" i="16"/>
  <c r="B4259" i="16"/>
  <c r="U4202" i="16"/>
  <c r="S4202" i="16"/>
  <c r="D4203" i="16"/>
  <c r="J4203" i="16"/>
  <c r="N4203" i="16" s="1"/>
  <c r="P4203" i="16"/>
  <c r="Q4203" i="16"/>
  <c r="R4203" i="16"/>
  <c r="T4203" i="16"/>
  <c r="M4203" i="16"/>
  <c r="C4204" i="16"/>
  <c r="F4204" i="16" s="1"/>
  <c r="O4204" i="16" s="1"/>
  <c r="E4204" i="16"/>
  <c r="G4204" i="16"/>
  <c r="I4204" i="16"/>
  <c r="K4204" i="16"/>
  <c r="L4204" i="16"/>
  <c r="B4205" i="16"/>
  <c r="U4148" i="16"/>
  <c r="S4148" i="16"/>
  <c r="M4149" i="16"/>
  <c r="G4150" i="16"/>
  <c r="C4150" i="16"/>
  <c r="E4150" i="16"/>
  <c r="L4150" i="16"/>
  <c r="I4150" i="16"/>
  <c r="B4151" i="16"/>
  <c r="D4149" i="16"/>
  <c r="J4149" i="16"/>
  <c r="N4149" i="16" s="1"/>
  <c r="Q4149" i="16"/>
  <c r="P4149" i="16"/>
  <c r="R4149" i="16"/>
  <c r="T4149" i="16"/>
  <c r="U4094" i="16"/>
  <c r="S4094" i="16"/>
  <c r="M4095" i="16"/>
  <c r="D4095" i="16"/>
  <c r="J4095" i="16"/>
  <c r="N4095" i="16" s="1"/>
  <c r="P4095" i="16"/>
  <c r="Q4095" i="16"/>
  <c r="R4095" i="16"/>
  <c r="T4095" i="16"/>
  <c r="L4096" i="16"/>
  <c r="C4096" i="16"/>
  <c r="K4096" i="16" s="1"/>
  <c r="E4096" i="16"/>
  <c r="F4096" i="16"/>
  <c r="O4096" i="16" s="1"/>
  <c r="G4096" i="16"/>
  <c r="I4096" i="16"/>
  <c r="B4097" i="16"/>
  <c r="M3795" i="16"/>
  <c r="D3795" i="16"/>
  <c r="J3795" i="16"/>
  <c r="N3795" i="16" s="1"/>
  <c r="P3795" i="16"/>
  <c r="Q3795" i="16"/>
  <c r="R3795" i="16"/>
  <c r="T3795" i="16"/>
  <c r="L3796" i="16"/>
  <c r="C3796" i="16"/>
  <c r="E3796" i="16"/>
  <c r="G3796" i="16"/>
  <c r="I3796" i="16"/>
  <c r="B3797" i="16"/>
  <c r="D3741" i="16"/>
  <c r="J3741" i="16"/>
  <c r="P3741" i="16"/>
  <c r="Q3741" i="16"/>
  <c r="R3741" i="16"/>
  <c r="T3741" i="16"/>
  <c r="L3742" i="16"/>
  <c r="C3742" i="16"/>
  <c r="E3742" i="16"/>
  <c r="G3742" i="16"/>
  <c r="I3742" i="16"/>
  <c r="B3743" i="16"/>
  <c r="S3686" i="16"/>
  <c r="U3686" i="16"/>
  <c r="M3687" i="16"/>
  <c r="L3688" i="16"/>
  <c r="I3688" i="16"/>
  <c r="B3689" i="16"/>
  <c r="C3688" i="16"/>
  <c r="E3688" i="16"/>
  <c r="G3688" i="16"/>
  <c r="J3687" i="16"/>
  <c r="N3687" i="16" s="1"/>
  <c r="D3687" i="16"/>
  <c r="P3687" i="16"/>
  <c r="Q3687" i="16"/>
  <c r="R3687" i="16"/>
  <c r="T3687" i="16"/>
  <c r="U3632" i="16"/>
  <c r="S3632" i="16"/>
  <c r="M3633" i="16"/>
  <c r="D3633" i="16"/>
  <c r="J3633" i="16"/>
  <c r="N3633" i="16" s="1"/>
  <c r="P3633" i="16"/>
  <c r="Q3633" i="16"/>
  <c r="R3633" i="16"/>
  <c r="T3633" i="16"/>
  <c r="L3634" i="16"/>
  <c r="C3634" i="16"/>
  <c r="K3634" i="16" s="1"/>
  <c r="E3634" i="16"/>
  <c r="F3634" i="16"/>
  <c r="O3634" i="16" s="1"/>
  <c r="G3634" i="16"/>
  <c r="I3634" i="16"/>
  <c r="B3635" i="16"/>
  <c r="M3579" i="16"/>
  <c r="D3579" i="16"/>
  <c r="J3579" i="16"/>
  <c r="N3579" i="16" s="1"/>
  <c r="P3579" i="16"/>
  <c r="Q3579" i="16"/>
  <c r="R3579" i="16"/>
  <c r="T3579" i="16"/>
  <c r="L3580" i="16"/>
  <c r="C3580" i="16"/>
  <c r="K3580" i="16" s="1"/>
  <c r="E3580" i="16"/>
  <c r="F3580" i="16"/>
  <c r="O3580" i="16" s="1"/>
  <c r="G3580" i="16"/>
  <c r="I3580" i="16"/>
  <c r="B3581" i="16"/>
  <c r="U3524" i="16"/>
  <c r="S3524" i="16"/>
  <c r="M3525" i="16"/>
  <c r="D3525" i="16"/>
  <c r="J3525" i="16"/>
  <c r="N3525" i="16" s="1"/>
  <c r="P3525" i="16"/>
  <c r="Q3525" i="16"/>
  <c r="R3525" i="16"/>
  <c r="T3525" i="16"/>
  <c r="L3526" i="16"/>
  <c r="C3526" i="16"/>
  <c r="K3526" i="16" s="1"/>
  <c r="E3526" i="16"/>
  <c r="F3526" i="16"/>
  <c r="O3526" i="16" s="1"/>
  <c r="G3526" i="16"/>
  <c r="I3526" i="16"/>
  <c r="B3527" i="16"/>
  <c r="M3471" i="16"/>
  <c r="D3471" i="16"/>
  <c r="J3471" i="16"/>
  <c r="N3471" i="16" s="1"/>
  <c r="P3471" i="16"/>
  <c r="Q3471" i="16"/>
  <c r="R3471" i="16"/>
  <c r="T3471" i="16"/>
  <c r="L3472" i="16"/>
  <c r="C3472" i="16"/>
  <c r="E3472" i="16"/>
  <c r="G3472" i="16"/>
  <c r="B3473" i="16"/>
  <c r="I3472" i="16"/>
  <c r="U3416" i="16"/>
  <c r="S3416" i="16"/>
  <c r="M3417" i="16"/>
  <c r="D3417" i="16"/>
  <c r="J3417" i="16"/>
  <c r="N3417" i="16" s="1"/>
  <c r="P3417" i="16"/>
  <c r="Q3417" i="16"/>
  <c r="R3417" i="16"/>
  <c r="T3417" i="16"/>
  <c r="L3418" i="16"/>
  <c r="C3418" i="16"/>
  <c r="E3418" i="16"/>
  <c r="G3418" i="16"/>
  <c r="I3418" i="16"/>
  <c r="B3419" i="16"/>
  <c r="U3362" i="16"/>
  <c r="S3362" i="16"/>
  <c r="M3363" i="16"/>
  <c r="D3363" i="16"/>
  <c r="J3363" i="16"/>
  <c r="N3363" i="16" s="1"/>
  <c r="P3363" i="16"/>
  <c r="Q3363" i="16"/>
  <c r="R3363" i="16"/>
  <c r="T3363" i="16"/>
  <c r="L3364" i="16"/>
  <c r="C3364" i="16"/>
  <c r="E3364" i="16"/>
  <c r="G3364" i="16"/>
  <c r="I3364" i="16"/>
  <c r="B3365" i="16"/>
  <c r="U3308" i="16"/>
  <c r="S3308" i="16"/>
  <c r="M3309" i="16"/>
  <c r="D3309" i="16"/>
  <c r="J3309" i="16"/>
  <c r="N3309" i="16" s="1"/>
  <c r="P3309" i="16"/>
  <c r="Q3309" i="16"/>
  <c r="R3309" i="16"/>
  <c r="T3309" i="16"/>
  <c r="L3310" i="16"/>
  <c r="C3310" i="16"/>
  <c r="E3310" i="16"/>
  <c r="G3310" i="16"/>
  <c r="I3310" i="16"/>
  <c r="B3311" i="16"/>
  <c r="S3254" i="16"/>
  <c r="U3254" i="16"/>
  <c r="M3255" i="16"/>
  <c r="D3255" i="16"/>
  <c r="J3255" i="16"/>
  <c r="N3255" i="16" s="1"/>
  <c r="P3255" i="16"/>
  <c r="Q3255" i="16"/>
  <c r="R3255" i="16"/>
  <c r="T3255" i="16"/>
  <c r="L3256" i="16"/>
  <c r="C3256" i="16"/>
  <c r="K3256" i="16" s="1"/>
  <c r="E3256" i="16"/>
  <c r="F3256" i="16"/>
  <c r="O3256" i="16" s="1"/>
  <c r="G3256" i="16"/>
  <c r="I3256" i="16"/>
  <c r="B3257" i="16"/>
  <c r="D3201" i="16"/>
  <c r="J3201" i="16"/>
  <c r="P3201" i="16"/>
  <c r="Q3201" i="16"/>
  <c r="R3201" i="16"/>
  <c r="T3201" i="16"/>
  <c r="L3202" i="16"/>
  <c r="C3202" i="16"/>
  <c r="E3202" i="16"/>
  <c r="G3202" i="16"/>
  <c r="I3202" i="16"/>
  <c r="B3203" i="16"/>
  <c r="U3146" i="16"/>
  <c r="S3146" i="16"/>
  <c r="M3147" i="16"/>
  <c r="D3147" i="16"/>
  <c r="J3147" i="16"/>
  <c r="N3147" i="16" s="1"/>
  <c r="P3147" i="16"/>
  <c r="Q3147" i="16"/>
  <c r="R3147" i="16"/>
  <c r="T3147" i="16"/>
  <c r="L3148" i="16"/>
  <c r="C3148" i="16"/>
  <c r="K3148" i="16" s="1"/>
  <c r="E3148" i="16"/>
  <c r="F3148" i="16"/>
  <c r="O3148" i="16" s="1"/>
  <c r="G3148" i="16"/>
  <c r="I3148" i="16"/>
  <c r="B3149" i="16"/>
  <c r="M3093" i="16"/>
  <c r="L3094" i="16"/>
  <c r="E3094" i="16"/>
  <c r="C3094" i="16"/>
  <c r="G3094" i="16"/>
  <c r="B3095" i="16"/>
  <c r="I3094" i="16"/>
  <c r="D3093" i="16"/>
  <c r="J3093" i="16"/>
  <c r="N3093" i="16" s="1"/>
  <c r="P3093" i="16"/>
  <c r="Q3093" i="16"/>
  <c r="R3093" i="16"/>
  <c r="T3093" i="16"/>
  <c r="M3039" i="16"/>
  <c r="L3040" i="16"/>
  <c r="E3040" i="16"/>
  <c r="B3041" i="16"/>
  <c r="C3040" i="16"/>
  <c r="K3040" i="16" s="1"/>
  <c r="F3040" i="16"/>
  <c r="O3040" i="16" s="1"/>
  <c r="G3040" i="16"/>
  <c r="I3040" i="16"/>
  <c r="J3039" i="16"/>
  <c r="N3039" i="16" s="1"/>
  <c r="D3039" i="16"/>
  <c r="P3039" i="16"/>
  <c r="Q3039" i="16"/>
  <c r="R3039" i="16"/>
  <c r="T3039" i="16"/>
  <c r="M2985" i="16"/>
  <c r="D2985" i="16"/>
  <c r="J2985" i="16"/>
  <c r="N2985" i="16" s="1"/>
  <c r="P2985" i="16"/>
  <c r="Q2985" i="16"/>
  <c r="R2985" i="16"/>
  <c r="T2985" i="16"/>
  <c r="L2986" i="16"/>
  <c r="C2986" i="16"/>
  <c r="K2986" i="16" s="1"/>
  <c r="E2986" i="16"/>
  <c r="F2986" i="16"/>
  <c r="O2986" i="16" s="1"/>
  <c r="G2986" i="16"/>
  <c r="I2986" i="16"/>
  <c r="B2987" i="16"/>
  <c r="M2931" i="16"/>
  <c r="D2931" i="16"/>
  <c r="J2931" i="16"/>
  <c r="N2931" i="16" s="1"/>
  <c r="P2931" i="16"/>
  <c r="Q2931" i="16"/>
  <c r="R2931" i="16"/>
  <c r="T2931" i="16"/>
  <c r="L2932" i="16"/>
  <c r="C2932" i="16"/>
  <c r="K2932" i="16" s="1"/>
  <c r="E2932" i="16"/>
  <c r="F2932" i="16"/>
  <c r="O2932" i="16" s="1"/>
  <c r="G2932" i="16"/>
  <c r="I2932" i="16"/>
  <c r="B2933" i="16"/>
  <c r="U2876" i="16"/>
  <c r="S2876" i="16"/>
  <c r="D2877" i="16"/>
  <c r="J2877" i="16"/>
  <c r="P2877" i="16"/>
  <c r="Q2877" i="16"/>
  <c r="R2877" i="16"/>
  <c r="T2877" i="16"/>
  <c r="L2878" i="16"/>
  <c r="C2878" i="16"/>
  <c r="K2878" i="16" s="1"/>
  <c r="E2878" i="16"/>
  <c r="F2878" i="16"/>
  <c r="O2878" i="16" s="1"/>
  <c r="G2878" i="16"/>
  <c r="I2878" i="16"/>
  <c r="B2879" i="16"/>
  <c r="L2824" i="16"/>
  <c r="G2824" i="16"/>
  <c r="I2824" i="16"/>
  <c r="C2824" i="16"/>
  <c r="K2824" i="16" s="1"/>
  <c r="B2825" i="16"/>
  <c r="E2824" i="16"/>
  <c r="F2824" i="16"/>
  <c r="O2824" i="16" s="1"/>
  <c r="D2823" i="16"/>
  <c r="J2823" i="16"/>
  <c r="P2823" i="16"/>
  <c r="Q2823" i="16"/>
  <c r="R2823" i="16"/>
  <c r="T2823" i="16"/>
  <c r="U2823" i="16" s="1"/>
  <c r="M2769" i="16"/>
  <c r="D2769" i="16"/>
  <c r="J2769" i="16"/>
  <c r="N2769" i="16" s="1"/>
  <c r="P2769" i="16"/>
  <c r="Q2769" i="16"/>
  <c r="R2769" i="16"/>
  <c r="T2769" i="16"/>
  <c r="L2770" i="16"/>
  <c r="C2770" i="16"/>
  <c r="G2770" i="16"/>
  <c r="E2770" i="16"/>
  <c r="I2770" i="16"/>
  <c r="B2771" i="16"/>
  <c r="J2715" i="16"/>
  <c r="D2715" i="16"/>
  <c r="P2715" i="16"/>
  <c r="Q2715" i="16"/>
  <c r="R2715" i="16"/>
  <c r="T2715" i="16"/>
  <c r="L2716" i="16"/>
  <c r="B2717" i="16"/>
  <c r="I2716" i="16"/>
  <c r="E2716" i="16"/>
  <c r="C2716" i="16"/>
  <c r="G2716" i="16"/>
  <c r="M2661" i="16"/>
  <c r="D2661" i="16"/>
  <c r="J2661" i="16"/>
  <c r="N2661" i="16" s="1"/>
  <c r="L2662" i="16"/>
  <c r="G2662" i="16"/>
  <c r="I2662" i="16"/>
  <c r="C2662" i="16"/>
  <c r="K2662" i="16" s="1"/>
  <c r="B2663" i="16"/>
  <c r="E2662" i="16"/>
  <c r="F2662" i="16"/>
  <c r="O2662" i="16" s="1"/>
  <c r="P2661" i="16"/>
  <c r="Q2661" i="16"/>
  <c r="R2661" i="16"/>
  <c r="T2661" i="16"/>
  <c r="U2606" i="16"/>
  <c r="S2606" i="16"/>
  <c r="J2607" i="16"/>
  <c r="D2607" i="16"/>
  <c r="L2608" i="16"/>
  <c r="E2608" i="16"/>
  <c r="B2609" i="16"/>
  <c r="C2608" i="16"/>
  <c r="G2608" i="16"/>
  <c r="I2608" i="16"/>
  <c r="P2607" i="16"/>
  <c r="Q2607" i="16"/>
  <c r="R2607" i="16"/>
  <c r="T2607" i="16"/>
  <c r="L2554" i="16"/>
  <c r="I2554" i="16"/>
  <c r="C2554" i="16"/>
  <c r="E2554" i="16"/>
  <c r="G2554" i="16"/>
  <c r="B2555" i="16"/>
  <c r="P2553" i="16"/>
  <c r="Q2553" i="16"/>
  <c r="R2553" i="16"/>
  <c r="T2553" i="16"/>
  <c r="D2553" i="16"/>
  <c r="J2553" i="16"/>
  <c r="U2498" i="16"/>
  <c r="S2498"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E2446" i="16"/>
  <c r="G2446" i="16"/>
  <c r="I2446" i="16"/>
  <c r="B2447" i="16"/>
  <c r="M2391" i="16"/>
  <c r="D2391" i="16"/>
  <c r="J2391" i="16"/>
  <c r="N2391" i="16" s="1"/>
  <c r="P2391" i="16"/>
  <c r="Q2391" i="16"/>
  <c r="R2391" i="16"/>
  <c r="T2391" i="16"/>
  <c r="L2392" i="16"/>
  <c r="C2392" i="16"/>
  <c r="K2392" i="16" s="1"/>
  <c r="E2392" i="16"/>
  <c r="F2392" i="16"/>
  <c r="O2392" i="16" s="1"/>
  <c r="G2392" i="16"/>
  <c r="I2392" i="16"/>
  <c r="B2393" i="16"/>
  <c r="U2336" i="16"/>
  <c r="S2336" i="16"/>
  <c r="M2337" i="16"/>
  <c r="P2337" i="16"/>
  <c r="Q2337" i="16"/>
  <c r="R2337" i="16"/>
  <c r="T2337" i="16"/>
  <c r="D2337" i="16"/>
  <c r="J2337" i="16"/>
  <c r="N2337" i="16" s="1"/>
  <c r="L2338" i="16"/>
  <c r="I2338" i="16"/>
  <c r="B2339" i="16"/>
  <c r="G2338" i="16"/>
  <c r="E2338" i="16"/>
  <c r="C2338" i="16"/>
  <c r="U2282" i="16"/>
  <c r="S2282" i="16"/>
  <c r="M2283" i="16"/>
  <c r="D2283" i="16"/>
  <c r="J2283" i="16"/>
  <c r="N2283" i="16" s="1"/>
  <c r="P2283" i="16"/>
  <c r="Q2283" i="16"/>
  <c r="R2283" i="16"/>
  <c r="T2283" i="16"/>
  <c r="L2284" i="16"/>
  <c r="C2284" i="16"/>
  <c r="K2284" i="16" s="1"/>
  <c r="E2284" i="16"/>
  <c r="F2284" i="16"/>
  <c r="O2284" i="16" s="1"/>
  <c r="G2284" i="16"/>
  <c r="I2284" i="16"/>
  <c r="B2285" i="16"/>
  <c r="M2229" i="16"/>
  <c r="D2229" i="16"/>
  <c r="J2229" i="16"/>
  <c r="N2229" i="16" s="1"/>
  <c r="P2229" i="16"/>
  <c r="Q2229" i="16"/>
  <c r="R2229" i="16"/>
  <c r="T2229" i="16"/>
  <c r="L2230" i="16"/>
  <c r="C2230" i="16"/>
  <c r="E2230" i="16"/>
  <c r="G2230" i="16"/>
  <c r="I2230" i="16"/>
  <c r="B2231" i="16"/>
  <c r="M2175" i="16"/>
  <c r="D2175" i="16"/>
  <c r="J2175" i="16"/>
  <c r="N2175" i="16" s="1"/>
  <c r="P2175" i="16"/>
  <c r="Q2175" i="16"/>
  <c r="R2175" i="16"/>
  <c r="T2175" i="16"/>
  <c r="L2176" i="16"/>
  <c r="C2176" i="16"/>
  <c r="K2176" i="16" s="1"/>
  <c r="E2176" i="16"/>
  <c r="F2176" i="16"/>
  <c r="O2176" i="16" s="1"/>
  <c r="G2176" i="16"/>
  <c r="I2176" i="16"/>
  <c r="B2177" i="16"/>
  <c r="S2120" i="16"/>
  <c r="U2120" i="16"/>
  <c r="M2121" i="16"/>
  <c r="D2121" i="16"/>
  <c r="J2121" i="16"/>
  <c r="N2121" i="16" s="1"/>
  <c r="P2121" i="16"/>
  <c r="Q2121" i="16"/>
  <c r="R2121" i="16"/>
  <c r="T2121" i="16"/>
  <c r="L2122" i="16"/>
  <c r="C2122" i="16"/>
  <c r="K2122" i="16" s="1"/>
  <c r="E2122" i="16"/>
  <c r="F2122" i="16"/>
  <c r="O2122" i="16" s="1"/>
  <c r="G2122" i="16"/>
  <c r="I2122" i="16"/>
  <c r="B2123" i="16"/>
  <c r="U2066" i="16"/>
  <c r="S2066" i="16"/>
  <c r="D2067" i="16"/>
  <c r="J2067" i="16"/>
  <c r="P2067" i="16"/>
  <c r="Q2067" i="16"/>
  <c r="R2067" i="16"/>
  <c r="T2067" i="16"/>
  <c r="L2068" i="16"/>
  <c r="C2068" i="16"/>
  <c r="K2068" i="16" s="1"/>
  <c r="E2068" i="16"/>
  <c r="F2068" i="16"/>
  <c r="O2068" i="16" s="1"/>
  <c r="G2068" i="16"/>
  <c r="I2068" i="16"/>
  <c r="B2069" i="16"/>
  <c r="U2012" i="16"/>
  <c r="S2012" i="16"/>
  <c r="D2013" i="16"/>
  <c r="J2013" i="16"/>
  <c r="P2013" i="16"/>
  <c r="Q2013" i="16"/>
  <c r="R2013" i="16"/>
  <c r="T2013" i="16"/>
  <c r="L2014" i="16"/>
  <c r="C2014" i="16"/>
  <c r="K2014" i="16" s="1"/>
  <c r="E2014" i="16"/>
  <c r="F2014" i="16"/>
  <c r="O2014" i="16" s="1"/>
  <c r="G2014" i="16"/>
  <c r="I2014" i="16"/>
  <c r="B2015" i="16"/>
  <c r="M1959" i="16"/>
  <c r="D1959" i="16"/>
  <c r="J1959" i="16"/>
  <c r="N1959" i="16" s="1"/>
  <c r="P1959" i="16"/>
  <c r="Q1959" i="16"/>
  <c r="R1959" i="16"/>
  <c r="T1959" i="16"/>
  <c r="L1960" i="16"/>
  <c r="C1960" i="16"/>
  <c r="K1960" i="16" s="1"/>
  <c r="E1960" i="16"/>
  <c r="F1960" i="16"/>
  <c r="O1960" i="16" s="1"/>
  <c r="G1960" i="16"/>
  <c r="I1960" i="16"/>
  <c r="B1961" i="16"/>
  <c r="M1905" i="16"/>
  <c r="D1905" i="16"/>
  <c r="J1905" i="16"/>
  <c r="N1905" i="16" s="1"/>
  <c r="P1905" i="16"/>
  <c r="Q1905" i="16"/>
  <c r="R1905" i="16"/>
  <c r="T1905" i="16"/>
  <c r="L1906" i="16"/>
  <c r="C1906" i="16"/>
  <c r="E1906" i="16"/>
  <c r="G1906" i="16"/>
  <c r="I1906" i="16"/>
  <c r="B1907" i="16"/>
  <c r="U1850" i="16"/>
  <c r="S1850" i="16"/>
  <c r="M1851" i="16"/>
  <c r="D1851" i="16"/>
  <c r="J1851" i="16"/>
  <c r="N1851" i="16" s="1"/>
  <c r="P1851" i="16"/>
  <c r="Q1851" i="16"/>
  <c r="R1851" i="16"/>
  <c r="T1851" i="16"/>
  <c r="L1852" i="16"/>
  <c r="C1852" i="16"/>
  <c r="K1852" i="16" s="1"/>
  <c r="E1852" i="16"/>
  <c r="F1852" i="16"/>
  <c r="O1852" i="16" s="1"/>
  <c r="G1852" i="16"/>
  <c r="I1852" i="16"/>
  <c r="B1853" i="16"/>
  <c r="U1796" i="16"/>
  <c r="S1796" i="16"/>
  <c r="D1797" i="16"/>
  <c r="J1797" i="16"/>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S1688" i="16"/>
  <c r="U1688" i="16"/>
  <c r="M1689" i="16"/>
  <c r="D1689" i="16"/>
  <c r="J1689" i="16"/>
  <c r="N1689" i="16" s="1"/>
  <c r="P1689" i="16"/>
  <c r="Q1689" i="16"/>
  <c r="R1689" i="16"/>
  <c r="T1689" i="16"/>
  <c r="L1690" i="16"/>
  <c r="C1690" i="16"/>
  <c r="K1690" i="16" s="1"/>
  <c r="E1690" i="16"/>
  <c r="F1690" i="16"/>
  <c r="O1690" i="16" s="1"/>
  <c r="G1690" i="16"/>
  <c r="I1690" i="16"/>
  <c r="B1691" i="16"/>
  <c r="M1635" i="16"/>
  <c r="D1635" i="16"/>
  <c r="J1635" i="16"/>
  <c r="N1635" i="16" s="1"/>
  <c r="P1635" i="16"/>
  <c r="Q1635" i="16"/>
  <c r="R1635" i="16"/>
  <c r="T1635" i="16"/>
  <c r="L1636" i="16"/>
  <c r="C1636" i="16"/>
  <c r="E1636" i="16"/>
  <c r="G1636" i="16"/>
  <c r="I1636" i="16"/>
  <c r="B1637" i="16"/>
  <c r="U1580" i="16"/>
  <c r="S1580" i="16"/>
  <c r="D1581" i="16"/>
  <c r="J1581" i="16"/>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L1474" i="16"/>
  <c r="G1474" i="16"/>
  <c r="C1474" i="16"/>
  <c r="K1474" i="16" s="1"/>
  <c r="E1474" i="16"/>
  <c r="I1474" i="16"/>
  <c r="F1474" i="16"/>
  <c r="O1474" i="16" s="1"/>
  <c r="B1475" i="16"/>
  <c r="D1473" i="16"/>
  <c r="J1473" i="16"/>
  <c r="P1473" i="16"/>
  <c r="Q1473" i="16"/>
  <c r="R1473" i="16"/>
  <c r="T1473" i="16"/>
  <c r="L1420" i="16"/>
  <c r="B1421" i="16"/>
  <c r="E1420" i="16"/>
  <c r="G1420" i="16"/>
  <c r="C1420" i="16"/>
  <c r="I1420" i="16"/>
  <c r="P1419" i="16"/>
  <c r="Q1419" i="16"/>
  <c r="R1419" i="16"/>
  <c r="T1419" i="16"/>
  <c r="J1419" i="16"/>
  <c r="D1419" i="16"/>
  <c r="U1364" i="16"/>
  <c r="S1364" i="16"/>
  <c r="P1365" i="16"/>
  <c r="Q1365" i="16"/>
  <c r="R1365" i="16"/>
  <c r="T1365" i="16"/>
  <c r="L1366" i="16"/>
  <c r="E1366" i="16"/>
  <c r="I1366" i="16"/>
  <c r="B1367" i="16"/>
  <c r="C1366" i="16"/>
  <c r="G1366" i="16"/>
  <c r="J1365" i="16"/>
  <c r="D1365" i="16"/>
  <c r="U1310" i="16"/>
  <c r="S1310" i="16"/>
  <c r="L1312" i="16"/>
  <c r="C1312" i="16"/>
  <c r="I1312" i="16"/>
  <c r="E1312" i="16"/>
  <c r="G1312" i="16"/>
  <c r="B1313" i="16"/>
  <c r="P1311" i="16"/>
  <c r="Q1311" i="16"/>
  <c r="R1311" i="16"/>
  <c r="T1311" i="16"/>
  <c r="D1311" i="16"/>
  <c r="J1311" i="16"/>
  <c r="G1258" i="16"/>
  <c r="L1258" i="16"/>
  <c r="C1258" i="16"/>
  <c r="I1258" i="16"/>
  <c r="B1259" i="16"/>
  <c r="E1258" i="16"/>
  <c r="P1257" i="16"/>
  <c r="Q1257" i="16"/>
  <c r="R1257" i="16"/>
  <c r="T1257" i="16"/>
  <c r="J1257" i="16"/>
  <c r="N1257" i="16" s="1"/>
  <c r="D1257" i="16"/>
  <c r="M1257" i="16"/>
  <c r="U1202" i="16"/>
  <c r="S1202" i="16"/>
  <c r="M1203" i="16"/>
  <c r="D1203" i="16"/>
  <c r="J1203" i="16"/>
  <c r="N1203" i="16" s="1"/>
  <c r="P1203" i="16"/>
  <c r="Q1203" i="16"/>
  <c r="R1203" i="16"/>
  <c r="T1203" i="16"/>
  <c r="L1204" i="16"/>
  <c r="C1204" i="16"/>
  <c r="E1204" i="16"/>
  <c r="G1204" i="16"/>
  <c r="I1204" i="16"/>
  <c r="B1205" i="16"/>
  <c r="M1149" i="16"/>
  <c r="D1149" i="16"/>
  <c r="J1149" i="16"/>
  <c r="N1149" i="16" s="1"/>
  <c r="P1149" i="16"/>
  <c r="Q1149" i="16"/>
  <c r="R1149" i="16"/>
  <c r="T1149" i="16"/>
  <c r="L1150" i="16"/>
  <c r="C1150" i="16"/>
  <c r="K1150" i="16" s="1"/>
  <c r="E1150" i="16"/>
  <c r="F1150" i="16"/>
  <c r="O1150" i="16" s="1"/>
  <c r="G1150" i="16"/>
  <c r="I1150" i="16"/>
  <c r="B1151" i="16"/>
  <c r="U1094" i="16"/>
  <c r="S1094" i="16"/>
  <c r="D1095" i="16"/>
  <c r="J1095" i="16"/>
  <c r="P1095" i="16"/>
  <c r="Q1095" i="16"/>
  <c r="R1095" i="16"/>
  <c r="T1095" i="16"/>
  <c r="L1096" i="16"/>
  <c r="C1096" i="16"/>
  <c r="E1096" i="16"/>
  <c r="G1096" i="16"/>
  <c r="I1096" i="16"/>
  <c r="B1097" i="16"/>
  <c r="U1040" i="16"/>
  <c r="S1040" i="16"/>
  <c r="D1041" i="16"/>
  <c r="J1041" i="16"/>
  <c r="P1041" i="16"/>
  <c r="Q1041" i="16"/>
  <c r="R1041" i="16"/>
  <c r="T1041" i="16"/>
  <c r="L1042" i="16"/>
  <c r="C1042" i="16"/>
  <c r="K1042" i="16" s="1"/>
  <c r="E1042" i="16"/>
  <c r="F1042" i="16"/>
  <c r="O1042" i="16" s="1"/>
  <c r="G1042" i="16"/>
  <c r="I1042" i="16"/>
  <c r="B1043" i="16"/>
  <c r="U986" i="16"/>
  <c r="S986" i="16"/>
  <c r="M987" i="16"/>
  <c r="D987" i="16"/>
  <c r="J987" i="16"/>
  <c r="N987" i="16" s="1"/>
  <c r="P987" i="16"/>
  <c r="Q987" i="16"/>
  <c r="R987" i="16"/>
  <c r="T987" i="16"/>
  <c r="L988" i="16"/>
  <c r="C988" i="16"/>
  <c r="E988" i="16"/>
  <c r="G988" i="16"/>
  <c r="I988" i="16"/>
  <c r="B989" i="16"/>
  <c r="M933" i="16"/>
  <c r="D933" i="16"/>
  <c r="J933" i="16"/>
  <c r="N933" i="16" s="1"/>
  <c r="P933" i="16"/>
  <c r="Q933" i="16"/>
  <c r="R933" i="16"/>
  <c r="T933" i="16"/>
  <c r="L934" i="16"/>
  <c r="C934" i="16"/>
  <c r="K934" i="16" s="1"/>
  <c r="E934" i="16"/>
  <c r="F934" i="16"/>
  <c r="O934" i="16" s="1"/>
  <c r="G934" i="16"/>
  <c r="I934" i="16"/>
  <c r="B935" i="16"/>
  <c r="M879" i="16"/>
  <c r="D879" i="16"/>
  <c r="J879" i="16"/>
  <c r="N879" i="16" s="1"/>
  <c r="P879" i="16"/>
  <c r="Q879" i="16"/>
  <c r="R879" i="16"/>
  <c r="T879" i="16"/>
  <c r="L880" i="16"/>
  <c r="C880" i="16"/>
  <c r="K880" i="16" s="1"/>
  <c r="E880" i="16"/>
  <c r="F880" i="16"/>
  <c r="O880" i="16" s="1"/>
  <c r="G880" i="16"/>
  <c r="I880" i="16"/>
  <c r="B881" i="16"/>
  <c r="U824" i="16"/>
  <c r="S824" i="16"/>
  <c r="D825" i="16"/>
  <c r="J825" i="16"/>
  <c r="P825" i="16"/>
  <c r="Q825" i="16"/>
  <c r="R825" i="16"/>
  <c r="T825" i="16"/>
  <c r="L826" i="16"/>
  <c r="C826" i="16"/>
  <c r="K826" i="16" s="1"/>
  <c r="E826" i="16"/>
  <c r="F826" i="16"/>
  <c r="O826" i="16" s="1"/>
  <c r="G826" i="16"/>
  <c r="I826" i="16"/>
  <c r="B827" i="16"/>
  <c r="S770" i="16"/>
  <c r="U770" i="16"/>
  <c r="M771" i="16"/>
  <c r="D771" i="16"/>
  <c r="J771" i="16"/>
  <c r="N771" i="16" s="1"/>
  <c r="P771" i="16"/>
  <c r="Q771" i="16"/>
  <c r="R771" i="16"/>
  <c r="T771" i="16"/>
  <c r="L772" i="16"/>
  <c r="C772" i="16"/>
  <c r="K772" i="16" s="1"/>
  <c r="E772" i="16"/>
  <c r="F772" i="16"/>
  <c r="O772" i="16" s="1"/>
  <c r="G772" i="16"/>
  <c r="I772" i="16"/>
  <c r="B773" i="16"/>
  <c r="U716" i="16"/>
  <c r="S716" i="16"/>
  <c r="M717" i="16"/>
  <c r="D717" i="16"/>
  <c r="J717" i="16"/>
  <c r="N717" i="16" s="1"/>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D609" i="16"/>
  <c r="J609" i="16"/>
  <c r="P609" i="16"/>
  <c r="Q609" i="16"/>
  <c r="R609" i="16"/>
  <c r="T609" i="16"/>
  <c r="L610" i="16"/>
  <c r="C610" i="16"/>
  <c r="K610" i="16" s="1"/>
  <c r="E610" i="16"/>
  <c r="F610" i="16"/>
  <c r="O610" i="16" s="1"/>
  <c r="G610" i="16"/>
  <c r="I610" i="16"/>
  <c r="B611" i="16"/>
  <c r="P555" i="16"/>
  <c r="Q555" i="16"/>
  <c r="R555" i="16"/>
  <c r="T555" i="16"/>
  <c r="D555" i="16"/>
  <c r="J555" i="16"/>
  <c r="L556" i="16"/>
  <c r="I556" i="16"/>
  <c r="B557" i="16"/>
  <c r="C556" i="16"/>
  <c r="E556" i="16"/>
  <c r="G556" i="16"/>
  <c r="U500" i="16"/>
  <c r="S500"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M393" i="16"/>
  <c r="D393" i="16"/>
  <c r="J393" i="16"/>
  <c r="N393" i="16" s="1"/>
  <c r="P393" i="16"/>
  <c r="Q393" i="16"/>
  <c r="R393" i="16"/>
  <c r="T393" i="16"/>
  <c r="L394" i="16"/>
  <c r="C394" i="16"/>
  <c r="K394" i="16" s="1"/>
  <c r="E394" i="16"/>
  <c r="F394" i="16"/>
  <c r="O394" i="16" s="1"/>
  <c r="G394" i="16"/>
  <c r="I394" i="16"/>
  <c r="B395" i="16"/>
  <c r="M339" i="16"/>
  <c r="D339" i="16"/>
  <c r="J339" i="16"/>
  <c r="N339" i="16" s="1"/>
  <c r="P339" i="16"/>
  <c r="Q339" i="16"/>
  <c r="R339" i="16"/>
  <c r="T339" i="16"/>
  <c r="L340" i="16"/>
  <c r="C340" i="16"/>
  <c r="K340" i="16" s="1"/>
  <c r="E340" i="16"/>
  <c r="F340" i="16"/>
  <c r="O340" i="16" s="1"/>
  <c r="G340" i="16"/>
  <c r="I340" i="16"/>
  <c r="B341" i="16"/>
  <c r="U284" i="16"/>
  <c r="S284" i="16"/>
  <c r="M285" i="16"/>
  <c r="D285" i="16"/>
  <c r="J285" i="16"/>
  <c r="N285" i="16" s="1"/>
  <c r="P285" i="16"/>
  <c r="Q285" i="16"/>
  <c r="R285" i="16"/>
  <c r="T285" i="16"/>
  <c r="L286" i="16"/>
  <c r="C286" i="16"/>
  <c r="E286" i="16"/>
  <c r="G286" i="16"/>
  <c r="I286" i="16"/>
  <c r="B287" i="16"/>
  <c r="U230" i="16"/>
  <c r="S230" i="16"/>
  <c r="M231" i="16"/>
  <c r="D231" i="16"/>
  <c r="J231" i="16"/>
  <c r="N231" i="16" s="1"/>
  <c r="P231" i="16"/>
  <c r="Q231" i="16"/>
  <c r="R231" i="16"/>
  <c r="T231" i="16"/>
  <c r="L232" i="16"/>
  <c r="C232" i="16"/>
  <c r="K232" i="16" s="1"/>
  <c r="E232" i="16"/>
  <c r="F232" i="16"/>
  <c r="O232" i="16" s="1"/>
  <c r="G232" i="16"/>
  <c r="I232" i="16"/>
  <c r="B233" i="16"/>
  <c r="P177" i="16"/>
  <c r="Q177" i="16"/>
  <c r="R177" i="16"/>
  <c r="T177" i="16"/>
  <c r="D177" i="16"/>
  <c r="J177" i="16"/>
  <c r="L178" i="16"/>
  <c r="G178" i="16"/>
  <c r="I178" i="16"/>
  <c r="B179" i="16"/>
  <c r="C178" i="16"/>
  <c r="E178" i="16"/>
  <c r="P123" i="16"/>
  <c r="Q123" i="16"/>
  <c r="R123" i="16"/>
  <c r="T123" i="16"/>
  <c r="L124" i="16"/>
  <c r="C124" i="16"/>
  <c r="E124" i="16"/>
  <c r="G124" i="16"/>
  <c r="I124" i="16"/>
  <c r="B125" i="16"/>
  <c r="D123" i="16"/>
  <c r="J123" i="16"/>
  <c r="U60" i="4"/>
  <c r="C95" i="7" s="1"/>
  <c r="G95" i="7" s="1"/>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T61" i="4"/>
  <c r="V61" i="4"/>
  <c r="BF61" i="4"/>
  <c r="L62" i="4"/>
  <c r="C62" i="4"/>
  <c r="K62" i="4" s="1"/>
  <c r="E62" i="4"/>
  <c r="F62" i="4"/>
  <c r="C62" i="5" s="1"/>
  <c r="E62" i="5" s="1"/>
  <c r="G62" i="4"/>
  <c r="I62" i="4"/>
  <c r="B63" i="4"/>
  <c r="B62" i="5"/>
  <c r="U4255" i="16"/>
  <c r="S4255" i="16"/>
  <c r="U3523" i="16"/>
  <c r="S3523" i="16"/>
  <c r="U3415" i="16"/>
  <c r="S3415" i="16"/>
  <c r="U3145" i="16"/>
  <c r="S3145" i="16"/>
  <c r="U2929" i="16"/>
  <c r="S2929" i="16"/>
  <c r="U2713" i="16"/>
  <c r="S2713" i="16"/>
  <c r="U2659" i="16"/>
  <c r="S2659" i="16"/>
  <c r="U2605" i="16"/>
  <c r="S2605" i="16"/>
  <c r="U2389" i="16"/>
  <c r="S2389" i="16"/>
  <c r="U2173" i="16"/>
  <c r="S2173" i="16"/>
  <c r="S2119" i="16"/>
  <c r="U2119" i="16"/>
  <c r="S1903" i="16"/>
  <c r="U1903" i="16"/>
  <c r="U1849" i="16"/>
  <c r="S1849" i="16"/>
  <c r="U1363" i="16"/>
  <c r="S1363" i="16"/>
  <c r="U1309" i="16"/>
  <c r="S1309" i="16"/>
  <c r="U1093" i="16"/>
  <c r="S1093" i="16"/>
  <c r="U1039" i="16"/>
  <c r="S1039" i="16"/>
  <c r="S553" i="16"/>
  <c r="U553" i="16"/>
  <c r="U499" i="16"/>
  <c r="S499" i="16"/>
  <c r="U283" i="16"/>
  <c r="S283" i="16"/>
  <c r="U175" i="16"/>
  <c r="S175" i="16"/>
  <c r="S121" i="16"/>
  <c r="U121" i="16"/>
  <c r="M4610" i="16"/>
  <c r="N4610" i="16"/>
  <c r="M3794" i="16"/>
  <c r="N3794" i="16"/>
  <c r="M3740" i="16"/>
  <c r="N3740" i="16"/>
  <c r="M3578" i="16"/>
  <c r="N3578" i="16"/>
  <c r="N3470" i="16"/>
  <c r="M3470" i="16"/>
  <c r="M3200" i="16"/>
  <c r="N3200" i="16"/>
  <c r="N3092" i="16"/>
  <c r="M3092" i="16"/>
  <c r="N3038" i="16"/>
  <c r="M3038" i="16"/>
  <c r="M2984" i="16"/>
  <c r="N2984" i="16"/>
  <c r="M2930" i="16"/>
  <c r="N2930" i="16"/>
  <c r="N2768" i="16"/>
  <c r="M2768" i="16"/>
  <c r="N2714" i="16"/>
  <c r="M2714" i="16"/>
  <c r="M2660" i="16"/>
  <c r="N2660" i="16"/>
  <c r="M2552" i="16"/>
  <c r="N2552" i="16"/>
  <c r="M2390" i="16"/>
  <c r="N2390" i="16"/>
  <c r="M2228" i="16"/>
  <c r="N2228" i="16"/>
  <c r="M2174" i="16"/>
  <c r="N2174" i="16"/>
  <c r="M1958" i="16"/>
  <c r="N1958" i="16"/>
  <c r="M1904" i="16"/>
  <c r="N1904" i="16"/>
  <c r="M1634" i="16"/>
  <c r="N1634" i="16"/>
  <c r="M1472" i="16"/>
  <c r="N1472" i="16"/>
  <c r="M1418" i="16"/>
  <c r="N1418" i="16"/>
  <c r="N1256" i="16"/>
  <c r="M1256" i="16"/>
  <c r="M1148" i="16"/>
  <c r="N1148" i="16"/>
  <c r="M932" i="16"/>
  <c r="N932" i="16"/>
  <c r="M878" i="16"/>
  <c r="N878" i="16"/>
  <c r="M608" i="16"/>
  <c r="N608" i="16"/>
  <c r="M554" i="16"/>
  <c r="N554" i="16"/>
  <c r="M338" i="16"/>
  <c r="N338" i="16"/>
  <c r="N176" i="16"/>
  <c r="M176" i="16"/>
  <c r="N122" i="16"/>
  <c r="M122" i="16"/>
  <c r="K4611" i="16"/>
  <c r="F4611" i="16"/>
  <c r="K4557" i="16"/>
  <c r="F4557" i="16"/>
  <c r="K3741" i="16"/>
  <c r="F3741" i="16"/>
  <c r="O3741" i="16" s="1"/>
  <c r="K3201" i="16"/>
  <c r="F3201" i="16"/>
  <c r="O3201" i="16" s="1"/>
  <c r="F2877" i="16"/>
  <c r="O2877" i="16" s="1"/>
  <c r="K2877" i="16"/>
  <c r="K2823" i="16"/>
  <c r="F2823" i="16"/>
  <c r="O2823" i="16" s="1"/>
  <c r="F2715" i="16"/>
  <c r="O2715" i="16" s="1"/>
  <c r="K2715" i="16"/>
  <c r="F2607" i="16"/>
  <c r="O2607" i="16" s="1"/>
  <c r="K2607" i="16"/>
  <c r="K2553" i="16"/>
  <c r="F2553" i="16"/>
  <c r="O2553" i="16" s="1"/>
  <c r="K2067" i="16"/>
  <c r="F2067" i="16"/>
  <c r="O2067" i="16" s="1"/>
  <c r="F2013" i="16"/>
  <c r="O2013" i="16" s="1"/>
  <c r="K2013" i="16"/>
  <c r="K1797" i="16"/>
  <c r="F1797" i="16"/>
  <c r="O1797" i="16" s="1"/>
  <c r="K1581" i="16"/>
  <c r="F1581" i="16"/>
  <c r="O1581" i="16" s="1"/>
  <c r="K1473" i="16"/>
  <c r="F1473" i="16"/>
  <c r="O1473" i="16" s="1"/>
  <c r="F1419" i="16"/>
  <c r="O1419" i="16" s="1"/>
  <c r="K1419" i="16"/>
  <c r="F1365" i="16"/>
  <c r="O1365" i="16" s="1"/>
  <c r="K1365" i="16"/>
  <c r="K1311" i="16"/>
  <c r="F1311" i="16"/>
  <c r="O1311" i="16" s="1"/>
  <c r="K1095" i="16"/>
  <c r="F1095" i="16"/>
  <c r="O1095" i="16" s="1"/>
  <c r="K1041" i="16"/>
  <c r="F1041" i="16"/>
  <c r="O1041" i="16" s="1"/>
  <c r="K825" i="16"/>
  <c r="F825" i="16"/>
  <c r="O825" i="16" s="1"/>
  <c r="K609" i="16"/>
  <c r="F609" i="16"/>
  <c r="O609" i="16" s="1"/>
  <c r="K555" i="16"/>
  <c r="F555" i="16"/>
  <c r="O555" i="16" s="1"/>
  <c r="K177" i="16"/>
  <c r="F177" i="16"/>
  <c r="O177" i="16" s="1"/>
  <c r="F123" i="16"/>
  <c r="O123" i="16" s="1"/>
  <c r="K123" i="16"/>
  <c r="F60" i="5"/>
  <c r="G60" i="5"/>
  <c r="H60" i="5"/>
  <c r="K4612" i="16" l="1"/>
  <c r="F4612" i="16"/>
  <c r="F4150" i="16"/>
  <c r="O4150" i="16" s="1"/>
  <c r="K4150" i="16"/>
  <c r="N4150" i="16" s="1"/>
  <c r="K3364" i="16"/>
  <c r="F3364" i="16"/>
  <c r="O3364" i="16" s="1"/>
  <c r="K3310" i="16"/>
  <c r="F3310" i="16"/>
  <c r="O3310" i="16" s="1"/>
  <c r="K3094" i="16"/>
  <c r="F3094" i="16"/>
  <c r="O3094" i="16" s="1"/>
  <c r="K2230" i="16"/>
  <c r="F2230" i="16"/>
  <c r="O2230" i="16" s="1"/>
  <c r="K1636" i="16"/>
  <c r="F1636" i="16"/>
  <c r="O1636" i="16" s="1"/>
  <c r="K1312" i="16"/>
  <c r="F1312" i="16"/>
  <c r="O1312" i="16" s="1"/>
  <c r="K1204" i="16"/>
  <c r="F1204" i="16"/>
  <c r="O1204" i="16" s="1"/>
  <c r="K988" i="16"/>
  <c r="F988" i="16"/>
  <c r="O988" i="16" s="1"/>
  <c r="T4718" i="16"/>
  <c r="S4719" i="16"/>
  <c r="T4719" i="16" s="1"/>
  <c r="U4719" i="16"/>
  <c r="M4720" i="16"/>
  <c r="D4720" i="16"/>
  <c r="J4720" i="16"/>
  <c r="N4720" i="16" s="1"/>
  <c r="P4720" i="16"/>
  <c r="Q4720" i="16"/>
  <c r="R4720" i="16"/>
  <c r="L4721" i="16"/>
  <c r="C4721" i="16"/>
  <c r="E4721" i="16"/>
  <c r="G4721" i="16"/>
  <c r="I4721" i="16"/>
  <c r="B4722" i="16"/>
  <c r="P4666" i="16"/>
  <c r="Q4666" i="16"/>
  <c r="R4666" i="16"/>
  <c r="C4667" i="16"/>
  <c r="D4667" i="16" s="1"/>
  <c r="E4667" i="16"/>
  <c r="F4667" i="16"/>
  <c r="O4667" i="16" s="1"/>
  <c r="G4667" i="16"/>
  <c r="B4668" i="16"/>
  <c r="M4612" i="16"/>
  <c r="D4612" i="16"/>
  <c r="J4612" i="16"/>
  <c r="N4612" i="16" s="1"/>
  <c r="P4612" i="16"/>
  <c r="Q4612" i="16"/>
  <c r="R4612" i="16"/>
  <c r="L4613" i="16"/>
  <c r="C4613" i="16"/>
  <c r="E4613" i="16"/>
  <c r="G4613" i="16"/>
  <c r="I4613" i="16"/>
  <c r="B4614" i="16"/>
  <c r="D4558" i="16"/>
  <c r="J4558" i="16"/>
  <c r="N4558" i="16" s="1"/>
  <c r="P4558" i="16"/>
  <c r="Q4558" i="16"/>
  <c r="R4558" i="16"/>
  <c r="M4558" i="16"/>
  <c r="C4559" i="16"/>
  <c r="K4559" i="16" s="1"/>
  <c r="E4559" i="16"/>
  <c r="B4560" i="16"/>
  <c r="F4559" i="16"/>
  <c r="G4559" i="16"/>
  <c r="I4559" i="16"/>
  <c r="L4559" i="16"/>
  <c r="U4257" i="16"/>
  <c r="S4257" i="16"/>
  <c r="M4258" i="16"/>
  <c r="D4258" i="16"/>
  <c r="J4258" i="16"/>
  <c r="N4258" i="16" s="1"/>
  <c r="P4258" i="16"/>
  <c r="Q4258" i="16"/>
  <c r="R4258" i="16"/>
  <c r="T4258" i="16"/>
  <c r="L4259" i="16"/>
  <c r="C4259" i="16"/>
  <c r="K4259" i="16" s="1"/>
  <c r="E4259" i="16"/>
  <c r="F4259" i="16"/>
  <c r="O4259" i="16" s="1"/>
  <c r="G4259" i="16"/>
  <c r="I4259" i="16"/>
  <c r="B4260" i="16"/>
  <c r="U4203" i="16"/>
  <c r="S4203" i="16"/>
  <c r="D4204" i="16"/>
  <c r="J4204" i="16"/>
  <c r="N4204" i="16" s="1"/>
  <c r="P4204" i="16"/>
  <c r="Q4204" i="16"/>
  <c r="R4204" i="16"/>
  <c r="T4204" i="16"/>
  <c r="M4204" i="16"/>
  <c r="C4205" i="16"/>
  <c r="E4205" i="16"/>
  <c r="G4205" i="16"/>
  <c r="I4205" i="16"/>
  <c r="L4205" i="16"/>
  <c r="B4206" i="16"/>
  <c r="U4149" i="16"/>
  <c r="S4149" i="16"/>
  <c r="Q4150" i="16"/>
  <c r="P4150" i="16"/>
  <c r="R4150" i="16"/>
  <c r="T4150" i="16"/>
  <c r="J4150" i="16"/>
  <c r="D4150" i="16"/>
  <c r="M4150" i="16"/>
  <c r="E4151" i="16"/>
  <c r="G4151" i="16"/>
  <c r="I4151" i="16"/>
  <c r="C4151" i="16"/>
  <c r="F4151" i="16"/>
  <c r="O4151" i="16" s="1"/>
  <c r="K4151" i="16"/>
  <c r="L4151" i="16"/>
  <c r="B4152" i="16"/>
  <c r="U4095" i="16"/>
  <c r="S4095" i="16"/>
  <c r="M4096" i="16"/>
  <c r="D4096" i="16"/>
  <c r="J4096" i="16"/>
  <c r="N4096" i="16" s="1"/>
  <c r="P4096" i="16"/>
  <c r="Q4096" i="16"/>
  <c r="R4096" i="16"/>
  <c r="T4096" i="16"/>
  <c r="I4097" i="16"/>
  <c r="C4097" i="16"/>
  <c r="E4097" i="16"/>
  <c r="G4097" i="16"/>
  <c r="L4097" i="16"/>
  <c r="B4098" i="16"/>
  <c r="U3795" i="16"/>
  <c r="S3795" i="16"/>
  <c r="D3796" i="16"/>
  <c r="J3796" i="16"/>
  <c r="P3796" i="16"/>
  <c r="Q3796" i="16"/>
  <c r="R3796" i="16"/>
  <c r="T3796" i="16"/>
  <c r="L3797" i="16"/>
  <c r="C3797" i="16"/>
  <c r="E3797" i="16"/>
  <c r="G3797" i="16"/>
  <c r="I3797" i="16"/>
  <c r="B3798" i="16"/>
  <c r="D3742" i="16"/>
  <c r="J3742" i="16"/>
  <c r="P3742" i="16"/>
  <c r="Q3742" i="16"/>
  <c r="R3742" i="16"/>
  <c r="T3742" i="16"/>
  <c r="L3743" i="16"/>
  <c r="C3743" i="16"/>
  <c r="K3743" i="16" s="1"/>
  <c r="E3743" i="16"/>
  <c r="F3743" i="16"/>
  <c r="O3743" i="16" s="1"/>
  <c r="G3743" i="16"/>
  <c r="I3743" i="16"/>
  <c r="B3744" i="16"/>
  <c r="U3687" i="16"/>
  <c r="S3687" i="16"/>
  <c r="L3689" i="16"/>
  <c r="I3689" i="16"/>
  <c r="C3689" i="16"/>
  <c r="E3689" i="16"/>
  <c r="G3689" i="16"/>
  <c r="B3690" i="16"/>
  <c r="J3688" i="16"/>
  <c r="D3688" i="16"/>
  <c r="P3688" i="16"/>
  <c r="Q3688" i="16"/>
  <c r="R3688" i="16"/>
  <c r="T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M3526" i="16"/>
  <c r="D3526" i="16"/>
  <c r="J3526" i="16"/>
  <c r="N3526" i="16" s="1"/>
  <c r="P3526" i="16"/>
  <c r="Q3526" i="16"/>
  <c r="R3526" i="16"/>
  <c r="T3526" i="16"/>
  <c r="L3527" i="16"/>
  <c r="C3527" i="16"/>
  <c r="E3527" i="16"/>
  <c r="G3527" i="16"/>
  <c r="I3527" i="16"/>
  <c r="B3528" i="16"/>
  <c r="S3471" i="16"/>
  <c r="U3471" i="16"/>
  <c r="D3472" i="16"/>
  <c r="J3472" i="16"/>
  <c r="P3472" i="16"/>
  <c r="Q3472" i="16"/>
  <c r="R3472" i="16"/>
  <c r="T3472" i="16"/>
  <c r="L3473" i="16"/>
  <c r="C3473" i="16"/>
  <c r="K3473" i="16" s="1"/>
  <c r="E3473" i="16"/>
  <c r="F3473" i="16"/>
  <c r="O3473" i="16" s="1"/>
  <c r="G3473" i="16"/>
  <c r="B3474" i="16"/>
  <c r="I3473" i="16"/>
  <c r="U3417" i="16"/>
  <c r="S3417" i="16"/>
  <c r="D3418" i="16"/>
  <c r="J3418" i="16"/>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S3255" i="16"/>
  <c r="U3255" i="16"/>
  <c r="M3256" i="16"/>
  <c r="D3256" i="16"/>
  <c r="J3256" i="16"/>
  <c r="N3256" i="16" s="1"/>
  <c r="P3256" i="16"/>
  <c r="Q3256" i="16"/>
  <c r="R3256" i="16"/>
  <c r="T3256" i="16"/>
  <c r="L3257" i="16"/>
  <c r="C3257" i="16"/>
  <c r="E3257" i="16"/>
  <c r="G3257" i="16"/>
  <c r="I3257" i="16"/>
  <c r="B3258" i="16"/>
  <c r="D3202" i="16"/>
  <c r="J3202" i="16"/>
  <c r="P3202" i="16"/>
  <c r="Q3202" i="16"/>
  <c r="R3202" i="16"/>
  <c r="T3202" i="16"/>
  <c r="L3203" i="16"/>
  <c r="C3203" i="16"/>
  <c r="K3203" i="16" s="1"/>
  <c r="E3203" i="16"/>
  <c r="F3203" i="16"/>
  <c r="O3203" i="16" s="1"/>
  <c r="G3203" i="16"/>
  <c r="I3203" i="16"/>
  <c r="B3204" i="16"/>
  <c r="U3147" i="16"/>
  <c r="S3147" i="16"/>
  <c r="M3148" i="16"/>
  <c r="D3148" i="16"/>
  <c r="J3148" i="16"/>
  <c r="N3148" i="16" s="1"/>
  <c r="P3148" i="16"/>
  <c r="Q3148" i="16"/>
  <c r="R3148" i="16"/>
  <c r="T3148" i="16"/>
  <c r="L3149" i="16"/>
  <c r="C3149" i="16"/>
  <c r="E3149" i="16"/>
  <c r="G3149" i="16"/>
  <c r="I3149" i="16"/>
  <c r="B3150" i="16"/>
  <c r="U3093" i="16"/>
  <c r="S3093" i="16"/>
  <c r="M3094" i="16"/>
  <c r="D3094" i="16"/>
  <c r="J3094" i="16"/>
  <c r="N3094" i="16" s="1"/>
  <c r="P3094" i="16"/>
  <c r="Q3094" i="16"/>
  <c r="R3094" i="16"/>
  <c r="T3094" i="16"/>
  <c r="L3095" i="16"/>
  <c r="E3095" i="16"/>
  <c r="G3095" i="16"/>
  <c r="I3095" i="16"/>
  <c r="B3096" i="16"/>
  <c r="C3095" i="16"/>
  <c r="U3039" i="16"/>
  <c r="S3039" i="16"/>
  <c r="M3040" i="16"/>
  <c r="L3041" i="16"/>
  <c r="C3041" i="16"/>
  <c r="E3041" i="16"/>
  <c r="G3041" i="16"/>
  <c r="I3041" i="16"/>
  <c r="B3042" i="16"/>
  <c r="D3040" i="16"/>
  <c r="J3040" i="16"/>
  <c r="N3040" i="16" s="1"/>
  <c r="P3040" i="16"/>
  <c r="Q3040" i="16"/>
  <c r="R3040" i="16"/>
  <c r="T3040" i="16"/>
  <c r="U2985" i="16"/>
  <c r="S2985" i="16"/>
  <c r="M2986" i="16"/>
  <c r="D2986" i="16"/>
  <c r="J2986" i="16"/>
  <c r="N2986" i="16" s="1"/>
  <c r="P2986" i="16"/>
  <c r="Q2986" i="16"/>
  <c r="R2986" i="16"/>
  <c r="T2986" i="16"/>
  <c r="L2987" i="16"/>
  <c r="C2987" i="16"/>
  <c r="E2987" i="16"/>
  <c r="G2987" i="16"/>
  <c r="I2987" i="16"/>
  <c r="B2988" i="16"/>
  <c r="U2931" i="16"/>
  <c r="S2931" i="16"/>
  <c r="M2932" i="16"/>
  <c r="D2932" i="16"/>
  <c r="J2932" i="16"/>
  <c r="N2932" i="16" s="1"/>
  <c r="P2932" i="16"/>
  <c r="Q2932" i="16"/>
  <c r="R2932" i="16"/>
  <c r="T2932" i="16"/>
  <c r="L2933" i="16"/>
  <c r="C2933" i="16"/>
  <c r="K2933" i="16" s="1"/>
  <c r="E2933" i="16"/>
  <c r="F2933" i="16"/>
  <c r="O2933" i="16" s="1"/>
  <c r="G2933" i="16"/>
  <c r="I2933" i="16"/>
  <c r="B2934" i="16"/>
  <c r="M2878" i="16"/>
  <c r="D2878" i="16"/>
  <c r="J2878" i="16"/>
  <c r="N2878" i="16" s="1"/>
  <c r="P2878" i="16"/>
  <c r="Q2878" i="16"/>
  <c r="R2878" i="16"/>
  <c r="T2878" i="16"/>
  <c r="L2879" i="16"/>
  <c r="C2879" i="16"/>
  <c r="E2879" i="16"/>
  <c r="G2879" i="16"/>
  <c r="I2879" i="16"/>
  <c r="B2880" i="16"/>
  <c r="M2824" i="16"/>
  <c r="P2824" i="16"/>
  <c r="Q2824" i="16"/>
  <c r="R2824" i="16"/>
  <c r="T2824" i="16"/>
  <c r="U2824" i="16" s="1"/>
  <c r="D2824" i="16"/>
  <c r="J2824" i="16"/>
  <c r="N2824" i="16" s="1"/>
  <c r="S2824" i="16" s="1"/>
  <c r="L2825" i="16"/>
  <c r="E2825" i="16"/>
  <c r="G2825" i="16"/>
  <c r="C2825" i="16"/>
  <c r="I2825" i="16"/>
  <c r="B2826" i="16"/>
  <c r="U2769" i="16"/>
  <c r="S2769" i="16"/>
  <c r="J2770" i="16"/>
  <c r="D2770" i="16"/>
  <c r="P2770" i="16"/>
  <c r="Q2770" i="16"/>
  <c r="R2770" i="16"/>
  <c r="T2770" i="16"/>
  <c r="L2771" i="16"/>
  <c r="B2772" i="16"/>
  <c r="C2771" i="16"/>
  <c r="E2771" i="16"/>
  <c r="G2771" i="16"/>
  <c r="I2771" i="16"/>
  <c r="L2717" i="16"/>
  <c r="I2717" i="16"/>
  <c r="E2717" i="16"/>
  <c r="B2718" i="16"/>
  <c r="G2717" i="16"/>
  <c r="C2717" i="16"/>
  <c r="D2716" i="16"/>
  <c r="J2716" i="16"/>
  <c r="P2716" i="16"/>
  <c r="Q2716" i="16"/>
  <c r="R2716" i="16"/>
  <c r="T2716" i="16"/>
  <c r="U2661" i="16"/>
  <c r="S2661" i="16"/>
  <c r="M2662" i="16"/>
  <c r="P2662" i="16"/>
  <c r="Q2662" i="16"/>
  <c r="R2662" i="16"/>
  <c r="T2662" i="16"/>
  <c r="J2662" i="16"/>
  <c r="N2662" i="16" s="1"/>
  <c r="D2662" i="16"/>
  <c r="L2663" i="16"/>
  <c r="E2663" i="16"/>
  <c r="B2664" i="16"/>
  <c r="I2663" i="16"/>
  <c r="G2663" i="16"/>
  <c r="C2663" i="16"/>
  <c r="L2609" i="16"/>
  <c r="E2609" i="16"/>
  <c r="G2609" i="16"/>
  <c r="B2610" i="16"/>
  <c r="C2609" i="16"/>
  <c r="K2609" i="16" s="1"/>
  <c r="F2609" i="16"/>
  <c r="O2609" i="16" s="1"/>
  <c r="I2609" i="16"/>
  <c r="D2608" i="16"/>
  <c r="J2608" i="16"/>
  <c r="P2608" i="16"/>
  <c r="Q2608" i="16"/>
  <c r="R2608" i="16"/>
  <c r="T2608" i="16"/>
  <c r="D2554" i="16"/>
  <c r="J2554" i="16"/>
  <c r="P2554" i="16"/>
  <c r="Q2554" i="16"/>
  <c r="R2554" i="16"/>
  <c r="T2554" i="16"/>
  <c r="L2555" i="16"/>
  <c r="I2555" i="16"/>
  <c r="E2555" i="16"/>
  <c r="G2555" i="16"/>
  <c r="B2556" i="16"/>
  <c r="C2555" i="16"/>
  <c r="U2499" i="16"/>
  <c r="S2499" i="16"/>
  <c r="M2500" i="16"/>
  <c r="D2500" i="16"/>
  <c r="J2500" i="16"/>
  <c r="N2500" i="16" s="1"/>
  <c r="P2500" i="16"/>
  <c r="Q2500" i="16"/>
  <c r="R2500" i="16"/>
  <c r="T2500" i="16"/>
  <c r="L2501" i="16"/>
  <c r="C2501" i="16"/>
  <c r="E2501" i="16"/>
  <c r="G2501" i="16"/>
  <c r="I2501" i="16"/>
  <c r="B2502" i="16"/>
  <c r="U2445" i="16"/>
  <c r="S2445" i="16"/>
  <c r="D2446" i="16"/>
  <c r="J2446" i="16"/>
  <c r="P2446" i="16"/>
  <c r="Q2446" i="16"/>
  <c r="R2446" i="16"/>
  <c r="T2446" i="16"/>
  <c r="L2447" i="16"/>
  <c r="C2447" i="16"/>
  <c r="E2447" i="16"/>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U2337" i="16"/>
  <c r="S2337" i="16"/>
  <c r="L2339" i="16"/>
  <c r="B2340" i="16"/>
  <c r="E2339" i="16"/>
  <c r="G2339" i="16"/>
  <c r="I2339" i="16"/>
  <c r="C2339" i="16"/>
  <c r="P2338" i="16"/>
  <c r="Q2338" i="16"/>
  <c r="R2338" i="16"/>
  <c r="T2338" i="16"/>
  <c r="J2338" i="16"/>
  <c r="D2338"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E2231" i="16"/>
  <c r="G2231" i="16"/>
  <c r="I2231" i="16"/>
  <c r="B2232" i="16"/>
  <c r="U2175" i="16"/>
  <c r="S2175" i="16"/>
  <c r="M2176" i="16"/>
  <c r="D2176" i="16"/>
  <c r="J2176" i="16"/>
  <c r="N2176" i="16" s="1"/>
  <c r="P2176" i="16"/>
  <c r="Q2176" i="16"/>
  <c r="R2176" i="16"/>
  <c r="T2176" i="16"/>
  <c r="L2177" i="16"/>
  <c r="C2177" i="16"/>
  <c r="K2177" i="16" s="1"/>
  <c r="E2177" i="16"/>
  <c r="F2177" i="16"/>
  <c r="O2177" i="16" s="1"/>
  <c r="G2177" i="16"/>
  <c r="I2177" i="16"/>
  <c r="B2178" i="16"/>
  <c r="S2121" i="16"/>
  <c r="U2121" i="16"/>
  <c r="M2122" i="16"/>
  <c r="D2122" i="16"/>
  <c r="J2122" i="16"/>
  <c r="N2122" i="16" s="1"/>
  <c r="P2122" i="16"/>
  <c r="Q2122" i="16"/>
  <c r="R2122" i="16"/>
  <c r="T2122" i="16"/>
  <c r="L2123" i="16"/>
  <c r="C2123" i="16"/>
  <c r="K2123" i="16" s="1"/>
  <c r="E2123" i="16"/>
  <c r="F2123" i="16"/>
  <c r="O2123" i="16" s="1"/>
  <c r="G2123" i="16"/>
  <c r="I2123" i="16"/>
  <c r="B2124" i="16"/>
  <c r="M2068" i="16"/>
  <c r="D2068" i="16"/>
  <c r="J2068" i="16"/>
  <c r="N2068" i="16" s="1"/>
  <c r="P2068" i="16"/>
  <c r="Q2068" i="16"/>
  <c r="R2068" i="16"/>
  <c r="T2068" i="16"/>
  <c r="L2069" i="16"/>
  <c r="C2069" i="16"/>
  <c r="K2069" i="16" s="1"/>
  <c r="E2069" i="16"/>
  <c r="F2069" i="16"/>
  <c r="O2069" i="16" s="1"/>
  <c r="G2069" i="16"/>
  <c r="I2069" i="16"/>
  <c r="B2070"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S1905" i="16"/>
  <c r="U1905" i="16"/>
  <c r="D1906" i="16"/>
  <c r="J1906" i="16"/>
  <c r="P1906" i="16"/>
  <c r="Q1906" i="16"/>
  <c r="R1906" i="16"/>
  <c r="T1906" i="16"/>
  <c r="L1907" i="16"/>
  <c r="C1907" i="16"/>
  <c r="K1907" i="16" s="1"/>
  <c r="E1907" i="16"/>
  <c r="F1907" i="16"/>
  <c r="O1907" i="16" s="1"/>
  <c r="G1907" i="16"/>
  <c r="I1907" i="16"/>
  <c r="B1908" i="16"/>
  <c r="U1851" i="16"/>
  <c r="S1851" i="16"/>
  <c r="M1852" i="16"/>
  <c r="D1852" i="16"/>
  <c r="J1852" i="16"/>
  <c r="N1852" i="16" s="1"/>
  <c r="P1852" i="16"/>
  <c r="Q1852" i="16"/>
  <c r="R1852" i="16"/>
  <c r="T1852" i="16"/>
  <c r="L1853" i="16"/>
  <c r="C1853" i="16"/>
  <c r="K1853" i="16" s="1"/>
  <c r="E1853" i="16"/>
  <c r="F1853" i="16"/>
  <c r="O1853" i="16" s="1"/>
  <c r="G1853" i="16"/>
  <c r="I1853" i="16"/>
  <c r="B1854"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E1745" i="16"/>
  <c r="G1745" i="16"/>
  <c r="I1745" i="16"/>
  <c r="B1746" i="16"/>
  <c r="S1689" i="16"/>
  <c r="U1689" i="16"/>
  <c r="M1690" i="16"/>
  <c r="D1690" i="16"/>
  <c r="J1690" i="16"/>
  <c r="N1690" i="16" s="1"/>
  <c r="P1690" i="16"/>
  <c r="Q1690" i="16"/>
  <c r="R1690" i="16"/>
  <c r="T1690" i="16"/>
  <c r="L1691" i="16"/>
  <c r="C1691" i="16"/>
  <c r="K1691" i="16" s="1"/>
  <c r="E1691" i="16"/>
  <c r="F1691" i="16"/>
  <c r="O1691" i="16" s="1"/>
  <c r="G1691" i="16"/>
  <c r="I1691" i="16"/>
  <c r="B1692" i="16"/>
  <c r="U1635" i="16"/>
  <c r="S1635" i="16"/>
  <c r="M1636" i="16"/>
  <c r="D1636" i="16"/>
  <c r="J1636" i="16"/>
  <c r="N1636" i="16" s="1"/>
  <c r="P1636" i="16"/>
  <c r="Q1636" i="16"/>
  <c r="R1636" i="16"/>
  <c r="T1636" i="16"/>
  <c r="L1637" i="16"/>
  <c r="C1637" i="16"/>
  <c r="K1637" i="16" s="1"/>
  <c r="E1637" i="16"/>
  <c r="F1637" i="16"/>
  <c r="O1637" i="16" s="1"/>
  <c r="G1637" i="16"/>
  <c r="I1637" i="16"/>
  <c r="B1638" i="16"/>
  <c r="M1582" i="16"/>
  <c r="D1582" i="16"/>
  <c r="J1582" i="16"/>
  <c r="N1582" i="16" s="1"/>
  <c r="P1582" i="16"/>
  <c r="Q1582" i="16"/>
  <c r="R1582" i="16"/>
  <c r="T1582" i="16"/>
  <c r="L1583" i="16"/>
  <c r="C1583" i="16"/>
  <c r="K1583" i="16" s="1"/>
  <c r="E1583" i="16"/>
  <c r="F1583" i="16"/>
  <c r="O1583" i="16" s="1"/>
  <c r="G1583" i="16"/>
  <c r="I1583" i="16"/>
  <c r="B1584" i="16"/>
  <c r="U1527" i="16"/>
  <c r="S1527" i="16"/>
  <c r="M1528" i="16"/>
  <c r="D1528" i="16"/>
  <c r="J1528" i="16"/>
  <c r="N1528" i="16" s="1"/>
  <c r="P1528" i="16"/>
  <c r="Q1528" i="16"/>
  <c r="R1528" i="16"/>
  <c r="T1528" i="16"/>
  <c r="L1529" i="16"/>
  <c r="C1529" i="16"/>
  <c r="E1529" i="16"/>
  <c r="G1529" i="16"/>
  <c r="I1529" i="16"/>
  <c r="B1530" i="16"/>
  <c r="M1474" i="16"/>
  <c r="P1474" i="16"/>
  <c r="Q1474" i="16"/>
  <c r="R1474" i="16"/>
  <c r="T1474" i="16"/>
  <c r="D1474" i="16"/>
  <c r="J1474" i="16"/>
  <c r="N1474" i="16" s="1"/>
  <c r="L1475" i="16"/>
  <c r="I1475" i="16"/>
  <c r="G1475" i="16"/>
  <c r="B1476" i="16"/>
  <c r="E1475" i="16"/>
  <c r="C1475" i="16"/>
  <c r="L1421" i="16"/>
  <c r="C1421" i="16"/>
  <c r="I1421" i="16"/>
  <c r="E1421" i="16"/>
  <c r="G1421" i="16"/>
  <c r="B1422" i="16"/>
  <c r="P1420" i="16"/>
  <c r="Q1420" i="16"/>
  <c r="R1420" i="16"/>
  <c r="T1420" i="16"/>
  <c r="J1420" i="16"/>
  <c r="D1420" i="16"/>
  <c r="L1367" i="16"/>
  <c r="E1367" i="16"/>
  <c r="B1368" i="16"/>
  <c r="G1367" i="16"/>
  <c r="I1367" i="16"/>
  <c r="C1367" i="16"/>
  <c r="D1366" i="16"/>
  <c r="J1366" i="16"/>
  <c r="P1366" i="16"/>
  <c r="Q1366" i="16"/>
  <c r="R1366" i="16"/>
  <c r="T1366" i="16"/>
  <c r="M1312" i="16"/>
  <c r="J1312" i="16"/>
  <c r="N1312" i="16" s="1"/>
  <c r="D1312" i="16"/>
  <c r="P1312" i="16"/>
  <c r="Q1312" i="16"/>
  <c r="R1312" i="16"/>
  <c r="T1312" i="16"/>
  <c r="L1313" i="16"/>
  <c r="G1313" i="16"/>
  <c r="B1314" i="16"/>
  <c r="I1313" i="16"/>
  <c r="C1313" i="16"/>
  <c r="K1313" i="16" s="1"/>
  <c r="F1313" i="16"/>
  <c r="O1313" i="16" s="1"/>
  <c r="E1313" i="16"/>
  <c r="P1258" i="16"/>
  <c r="Q1258" i="16"/>
  <c r="R1258" i="16"/>
  <c r="T1258" i="16"/>
  <c r="J1258" i="16"/>
  <c r="D1258" i="16"/>
  <c r="L1259" i="16"/>
  <c r="B1260" i="16"/>
  <c r="E1259" i="16"/>
  <c r="G1259" i="16"/>
  <c r="I1259" i="16"/>
  <c r="C1259" i="16"/>
  <c r="S1257" i="16"/>
  <c r="U1257"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D1096" i="16"/>
  <c r="J1096" i="16"/>
  <c r="P1096" i="16"/>
  <c r="Q1096" i="16"/>
  <c r="R1096" i="16"/>
  <c r="T1096" i="16"/>
  <c r="L1097" i="16"/>
  <c r="C1097" i="16"/>
  <c r="K1097" i="16" s="1"/>
  <c r="E1097" i="16"/>
  <c r="F1097" i="16"/>
  <c r="O1097" i="16" s="1"/>
  <c r="G1097" i="16"/>
  <c r="I1097" i="16"/>
  <c r="B1098" i="16"/>
  <c r="M1042" i="16"/>
  <c r="D1042" i="16"/>
  <c r="J1042" i="16"/>
  <c r="N1042" i="16" s="1"/>
  <c r="P1042" i="16"/>
  <c r="Q1042" i="16"/>
  <c r="R1042" i="16"/>
  <c r="T1042" i="16"/>
  <c r="L1043" i="16"/>
  <c r="C1043" i="16"/>
  <c r="E1043" i="16"/>
  <c r="G1043" i="16"/>
  <c r="I1043" i="16"/>
  <c r="B1044" i="16"/>
  <c r="U987" i="16"/>
  <c r="S987" i="16"/>
  <c r="M988" i="16"/>
  <c r="D988" i="16"/>
  <c r="J988" i="16"/>
  <c r="N988" i="16" s="1"/>
  <c r="P988" i="16"/>
  <c r="Q988" i="16"/>
  <c r="R988" i="16"/>
  <c r="T988" i="16"/>
  <c r="L989" i="16"/>
  <c r="C989" i="16"/>
  <c r="E989" i="16"/>
  <c r="G989" i="16"/>
  <c r="B990" i="16"/>
  <c r="I989" i="16"/>
  <c r="U933" i="16"/>
  <c r="S933" i="16"/>
  <c r="M934" i="16"/>
  <c r="D934" i="16"/>
  <c r="J934" i="16"/>
  <c r="N934" i="16" s="1"/>
  <c r="P934" i="16"/>
  <c r="Q934" i="16"/>
  <c r="R934" i="16"/>
  <c r="T934" i="16"/>
  <c r="L935" i="16"/>
  <c r="C935" i="16"/>
  <c r="K935" i="16" s="1"/>
  <c r="E935" i="16"/>
  <c r="F935" i="16"/>
  <c r="O935" i="16" s="1"/>
  <c r="G935" i="16"/>
  <c r="I935" i="16"/>
  <c r="B936" i="16"/>
  <c r="U879" i="16"/>
  <c r="S879" i="16"/>
  <c r="M880" i="16"/>
  <c r="D880" i="16"/>
  <c r="J880" i="16"/>
  <c r="N880" i="16" s="1"/>
  <c r="P880" i="16"/>
  <c r="Q880" i="16"/>
  <c r="R880" i="16"/>
  <c r="T880" i="16"/>
  <c r="L881" i="16"/>
  <c r="C881" i="16"/>
  <c r="K881" i="16" s="1"/>
  <c r="E881" i="16"/>
  <c r="F881" i="16"/>
  <c r="O881" i="16" s="1"/>
  <c r="G881" i="16"/>
  <c r="I881" i="16"/>
  <c r="B882" i="16"/>
  <c r="M826" i="16"/>
  <c r="D826" i="16"/>
  <c r="J826" i="16"/>
  <c r="N826" i="16" s="1"/>
  <c r="P826" i="16"/>
  <c r="Q826" i="16"/>
  <c r="R826" i="16"/>
  <c r="T826" i="16"/>
  <c r="L827" i="16"/>
  <c r="C827" i="16"/>
  <c r="E827" i="16"/>
  <c r="G827" i="16"/>
  <c r="I827" i="16"/>
  <c r="B828" i="16"/>
  <c r="S771" i="16"/>
  <c r="U771" i="16"/>
  <c r="M772" i="16"/>
  <c r="D772" i="16"/>
  <c r="J772" i="16"/>
  <c r="N772" i="16" s="1"/>
  <c r="P772" i="16"/>
  <c r="Q772" i="16"/>
  <c r="R772" i="16"/>
  <c r="T772" i="16"/>
  <c r="L773" i="16"/>
  <c r="C773" i="16"/>
  <c r="E773" i="16"/>
  <c r="G773" i="16"/>
  <c r="I773" i="16"/>
  <c r="B774" i="16"/>
  <c r="U717" i="16"/>
  <c r="S717" i="16"/>
  <c r="M718" i="16"/>
  <c r="D718" i="16"/>
  <c r="J718" i="16"/>
  <c r="N718" i="16" s="1"/>
  <c r="P718" i="16"/>
  <c r="Q718" i="16"/>
  <c r="R718" i="16"/>
  <c r="T718" i="16"/>
  <c r="L719" i="16"/>
  <c r="C719" i="16"/>
  <c r="E719" i="16"/>
  <c r="G719" i="16"/>
  <c r="I719" i="16"/>
  <c r="B720" i="16"/>
  <c r="U663" i="16"/>
  <c r="S663" i="16"/>
  <c r="M664" i="16"/>
  <c r="D664" i="16"/>
  <c r="J664" i="16"/>
  <c r="N664" i="16" s="1"/>
  <c r="P664" i="16"/>
  <c r="Q664" i="16"/>
  <c r="R664" i="16"/>
  <c r="T664" i="16"/>
  <c r="L665" i="16"/>
  <c r="C665" i="16"/>
  <c r="K665" i="16" s="1"/>
  <c r="E665" i="16"/>
  <c r="F665" i="16"/>
  <c r="O665" i="16" s="1"/>
  <c r="G665" i="16"/>
  <c r="I665" i="16"/>
  <c r="B666" i="16"/>
  <c r="M610" i="16"/>
  <c r="D610" i="16"/>
  <c r="J610" i="16"/>
  <c r="N610" i="16" s="1"/>
  <c r="P610" i="16"/>
  <c r="Q610" i="16"/>
  <c r="R610" i="16"/>
  <c r="T610" i="16"/>
  <c r="L611" i="16"/>
  <c r="C611" i="16"/>
  <c r="E611" i="16"/>
  <c r="G611" i="16"/>
  <c r="I611" i="16"/>
  <c r="B612" i="16"/>
  <c r="L557" i="16"/>
  <c r="I557" i="16"/>
  <c r="B558" i="16"/>
  <c r="C557" i="16"/>
  <c r="E557" i="16"/>
  <c r="G557" i="16"/>
  <c r="J556" i="16"/>
  <c r="D556" i="16"/>
  <c r="P556" i="16"/>
  <c r="Q556" i="16"/>
  <c r="R556" i="16"/>
  <c r="T556" i="16"/>
  <c r="U501" i="16"/>
  <c r="S501" i="16"/>
  <c r="M502" i="16"/>
  <c r="D502" i="16"/>
  <c r="J502" i="16"/>
  <c r="N502" i="16" s="1"/>
  <c r="P502" i="16"/>
  <c r="Q502" i="16"/>
  <c r="R502" i="16"/>
  <c r="T502" i="16"/>
  <c r="L503" i="16"/>
  <c r="C503" i="16"/>
  <c r="E503" i="16"/>
  <c r="G503" i="16"/>
  <c r="I503" i="16"/>
  <c r="B504" i="16"/>
  <c r="U447" i="16"/>
  <c r="S447" i="16"/>
  <c r="M448" i="16"/>
  <c r="D448" i="16"/>
  <c r="J448" i="16"/>
  <c r="N448" i="16" s="1"/>
  <c r="P448" i="16"/>
  <c r="Q448" i="16"/>
  <c r="R448" i="16"/>
  <c r="T448" i="16"/>
  <c r="L449" i="16"/>
  <c r="C449" i="16"/>
  <c r="K449" i="16" s="1"/>
  <c r="E449" i="16"/>
  <c r="F449" i="16"/>
  <c r="O449" i="16" s="1"/>
  <c r="G449" i="16"/>
  <c r="I449" i="16"/>
  <c r="B450" i="16"/>
  <c r="U393" i="16"/>
  <c r="S393" i="16"/>
  <c r="M394" i="16"/>
  <c r="D394" i="16"/>
  <c r="J394" i="16"/>
  <c r="N394" i="16" s="1"/>
  <c r="P394" i="16"/>
  <c r="Q394" i="16"/>
  <c r="R394" i="16"/>
  <c r="T394" i="16"/>
  <c r="L395" i="16"/>
  <c r="C395" i="16"/>
  <c r="E395" i="16"/>
  <c r="G395" i="16"/>
  <c r="I395" i="16"/>
  <c r="B396" i="16"/>
  <c r="S339" i="16"/>
  <c r="U339" i="16"/>
  <c r="M340" i="16"/>
  <c r="D340" i="16"/>
  <c r="J340" i="16"/>
  <c r="N340" i="16" s="1"/>
  <c r="P340" i="16"/>
  <c r="Q340" i="16"/>
  <c r="R340" i="16"/>
  <c r="T340" i="16"/>
  <c r="L341" i="16"/>
  <c r="C341" i="16"/>
  <c r="K341" i="16" s="1"/>
  <c r="E341" i="16"/>
  <c r="F341" i="16"/>
  <c r="O341" i="16" s="1"/>
  <c r="G341" i="16"/>
  <c r="I341" i="16"/>
  <c r="B342" i="16"/>
  <c r="U285" i="16"/>
  <c r="S285" i="16"/>
  <c r="D286" i="16"/>
  <c r="J286" i="16"/>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K233" i="16" s="1"/>
  <c r="E233" i="16"/>
  <c r="F233" i="16"/>
  <c r="O233" i="16" s="1"/>
  <c r="G233" i="16"/>
  <c r="I233" i="16"/>
  <c r="B234" i="16"/>
  <c r="P178" i="16"/>
  <c r="Q178" i="16"/>
  <c r="R178" i="16"/>
  <c r="T178" i="16"/>
  <c r="L179" i="16"/>
  <c r="C179" i="16"/>
  <c r="K179" i="16" s="1"/>
  <c r="E179" i="16"/>
  <c r="F179" i="16"/>
  <c r="O179" i="16" s="1"/>
  <c r="G179" i="16"/>
  <c r="I179" i="16"/>
  <c r="B180" i="16"/>
  <c r="D178" i="16"/>
  <c r="J178" i="16"/>
  <c r="J124" i="16"/>
  <c r="D124" i="16"/>
  <c r="P124" i="16"/>
  <c r="Q124" i="16"/>
  <c r="R124" i="16"/>
  <c r="T124" i="16"/>
  <c r="L125" i="16"/>
  <c r="C125" i="16"/>
  <c r="E125" i="16"/>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T62" i="4"/>
  <c r="V62" i="4"/>
  <c r="BF62" i="4"/>
  <c r="L63" i="4"/>
  <c r="C63" i="4"/>
  <c r="K63" i="4" s="1"/>
  <c r="E63" i="4"/>
  <c r="F63" i="4"/>
  <c r="C63" i="5" s="1"/>
  <c r="E63" i="5" s="1"/>
  <c r="G63" i="4"/>
  <c r="I63" i="4"/>
  <c r="B64" i="4"/>
  <c r="B63" i="5"/>
  <c r="U3794" i="16"/>
  <c r="S3794" i="16"/>
  <c r="U3740" i="16"/>
  <c r="S3740" i="16"/>
  <c r="U3578" i="16"/>
  <c r="S3578" i="16"/>
  <c r="S3470" i="16"/>
  <c r="U3470" i="16"/>
  <c r="U3200" i="16"/>
  <c r="S3200" i="16"/>
  <c r="U3092" i="16"/>
  <c r="S3092" i="16"/>
  <c r="U3038" i="16"/>
  <c r="S3038" i="16"/>
  <c r="U2984" i="16"/>
  <c r="S2984" i="16"/>
  <c r="U2930" i="16"/>
  <c r="S2930" i="16"/>
  <c r="U2768" i="16"/>
  <c r="S2768" i="16"/>
  <c r="U2714" i="16"/>
  <c r="S2714" i="16"/>
  <c r="U2660" i="16"/>
  <c r="S2660" i="16"/>
  <c r="S2552" i="16"/>
  <c r="U2552" i="16"/>
  <c r="U2390" i="16"/>
  <c r="S2390" i="16"/>
  <c r="U2228" i="16"/>
  <c r="S2228" i="16"/>
  <c r="U2174" i="16"/>
  <c r="S2174" i="16"/>
  <c r="U1958" i="16"/>
  <c r="S1958" i="16"/>
  <c r="S1904" i="16"/>
  <c r="U1904" i="16"/>
  <c r="U1634" i="16"/>
  <c r="S1634" i="16"/>
  <c r="S1472" i="16"/>
  <c r="U1472" i="16"/>
  <c r="U1418" i="16"/>
  <c r="S1418" i="16"/>
  <c r="S1256" i="16"/>
  <c r="U1256" i="16"/>
  <c r="U1148" i="16"/>
  <c r="S1148" i="16"/>
  <c r="U932" i="16"/>
  <c r="S932" i="16"/>
  <c r="U878" i="16"/>
  <c r="S878" i="16"/>
  <c r="U608" i="16"/>
  <c r="S608" i="16"/>
  <c r="U554" i="16"/>
  <c r="S554" i="16"/>
  <c r="S338" i="16"/>
  <c r="U338" i="16"/>
  <c r="U176" i="16"/>
  <c r="S176" i="16"/>
  <c r="U122" i="16"/>
  <c r="S122" i="16"/>
  <c r="M4611" i="16"/>
  <c r="N4611" i="16"/>
  <c r="N4557" i="16"/>
  <c r="M4557" i="16"/>
  <c r="M3741" i="16"/>
  <c r="N3741" i="16"/>
  <c r="M3201" i="16"/>
  <c r="N3201" i="16"/>
  <c r="M2877" i="16"/>
  <c r="N2877" i="16"/>
  <c r="N2823" i="16"/>
  <c r="S2823" i="16" s="1"/>
  <c r="M2823" i="16"/>
  <c r="M2715" i="16"/>
  <c r="N2715" i="16"/>
  <c r="M2607" i="16"/>
  <c r="N2607" i="16"/>
  <c r="N2553" i="16"/>
  <c r="M2553" i="16"/>
  <c r="M2067" i="16"/>
  <c r="N2067" i="16"/>
  <c r="M2013" i="16"/>
  <c r="N2013" i="16"/>
  <c r="M1797" i="16"/>
  <c r="N1797" i="16"/>
  <c r="M1581" i="16"/>
  <c r="N1581" i="16"/>
  <c r="N1473" i="16"/>
  <c r="M1473" i="16"/>
  <c r="N1419" i="16"/>
  <c r="M1419" i="16"/>
  <c r="M1365" i="16"/>
  <c r="N1365" i="16"/>
  <c r="N1311" i="16"/>
  <c r="M1311" i="16"/>
  <c r="M1095" i="16"/>
  <c r="N1095" i="16"/>
  <c r="M1041" i="16"/>
  <c r="N1041" i="16"/>
  <c r="M825" i="16"/>
  <c r="N825" i="16"/>
  <c r="M609" i="16"/>
  <c r="N609" i="16"/>
  <c r="M555" i="16"/>
  <c r="N555" i="16"/>
  <c r="M177" i="16"/>
  <c r="N177" i="16"/>
  <c r="N123" i="16"/>
  <c r="M123" i="16"/>
  <c r="F3796" i="16"/>
  <c r="O3796" i="16" s="1"/>
  <c r="K3796" i="16"/>
  <c r="K3742" i="16"/>
  <c r="F3742" i="16"/>
  <c r="O3742" i="16" s="1"/>
  <c r="F3688" i="16"/>
  <c r="O3688" i="16" s="1"/>
  <c r="K3688" i="16"/>
  <c r="K3472" i="16"/>
  <c r="F3472" i="16"/>
  <c r="O3472" i="16" s="1"/>
  <c r="F3418" i="16"/>
  <c r="O3418" i="16" s="1"/>
  <c r="K3418" i="16"/>
  <c r="K3202" i="16"/>
  <c r="F3202" i="16"/>
  <c r="O3202" i="16" s="1"/>
  <c r="F2770" i="16"/>
  <c r="O2770" i="16" s="1"/>
  <c r="K2770" i="16"/>
  <c r="F2716" i="16"/>
  <c r="O2716" i="16" s="1"/>
  <c r="K2716" i="16"/>
  <c r="F2608" i="16"/>
  <c r="O2608" i="16" s="1"/>
  <c r="K2608" i="16"/>
  <c r="F2554" i="16"/>
  <c r="O2554" i="16" s="1"/>
  <c r="K2554" i="16"/>
  <c r="F2446" i="16"/>
  <c r="O2446" i="16" s="1"/>
  <c r="K2446" i="16"/>
  <c r="K2338" i="16"/>
  <c r="F2338" i="16"/>
  <c r="O2338" i="16" s="1"/>
  <c r="K1906" i="16"/>
  <c r="F1906" i="16"/>
  <c r="O1906" i="16" s="1"/>
  <c r="F1420" i="16"/>
  <c r="O1420" i="16" s="1"/>
  <c r="K1420" i="16"/>
  <c r="K1366" i="16"/>
  <c r="F1366" i="16"/>
  <c r="O1366" i="16" s="1"/>
  <c r="K1258" i="16"/>
  <c r="F1258" i="16"/>
  <c r="O1258" i="16" s="1"/>
  <c r="F1096" i="16"/>
  <c r="O1096" i="16" s="1"/>
  <c r="K1096" i="16"/>
  <c r="K556" i="16"/>
  <c r="F556" i="16"/>
  <c r="O556" i="16" s="1"/>
  <c r="F286" i="16"/>
  <c r="O286" i="16" s="1"/>
  <c r="K286" i="16"/>
  <c r="F178" i="16"/>
  <c r="O178" i="16" s="1"/>
  <c r="K178" i="16"/>
  <c r="F124" i="16"/>
  <c r="O124" i="16" s="1"/>
  <c r="K124" i="16"/>
  <c r="K3095" i="16" l="1"/>
  <c r="F3095" i="16"/>
  <c r="O3095" i="16" s="1"/>
  <c r="K2879" i="16"/>
  <c r="F2879" i="16"/>
  <c r="O2879" i="16" s="1"/>
  <c r="F2663" i="16"/>
  <c r="O2663" i="16" s="1"/>
  <c r="K2663" i="16"/>
  <c r="K2501" i="16"/>
  <c r="F2501" i="16"/>
  <c r="O2501" i="16" s="1"/>
  <c r="K2231" i="16"/>
  <c r="F2231" i="16"/>
  <c r="O2231" i="16" s="1"/>
  <c r="F1475" i="16"/>
  <c r="O1475" i="16" s="1"/>
  <c r="K1475" i="16"/>
  <c r="K1421" i="16"/>
  <c r="F1421" i="16"/>
  <c r="O1421" i="16" s="1"/>
  <c r="K1043" i="16"/>
  <c r="F1043" i="16"/>
  <c r="O1043" i="16" s="1"/>
  <c r="K611" i="16"/>
  <c r="F611" i="16"/>
  <c r="O611" i="16" s="1"/>
  <c r="K395" i="16"/>
  <c r="F395" i="16"/>
  <c r="O395" i="16" s="1"/>
  <c r="S4720" i="16"/>
  <c r="U4720" i="16"/>
  <c r="D4721" i="16"/>
  <c r="J4721" i="16"/>
  <c r="P4721" i="16"/>
  <c r="Q4721" i="16"/>
  <c r="R4721" i="16"/>
  <c r="L4722" i="16"/>
  <c r="C4722" i="16"/>
  <c r="K4722" i="16" s="1"/>
  <c r="E4722" i="16"/>
  <c r="F4722" i="16"/>
  <c r="G4722" i="16"/>
  <c r="I4722" i="16"/>
  <c r="P4667" i="16"/>
  <c r="Q4667" i="16"/>
  <c r="R4667" i="16"/>
  <c r="C4668" i="16"/>
  <c r="D4668" i="16" s="1"/>
  <c r="E4668" i="16"/>
  <c r="F4668" i="16"/>
  <c r="O4668" i="16" s="1"/>
  <c r="G4668" i="16"/>
  <c r="D4613" i="16"/>
  <c r="J4613" i="16"/>
  <c r="P4613" i="16"/>
  <c r="Q4613" i="16"/>
  <c r="R4613" i="16"/>
  <c r="L4614" i="16"/>
  <c r="C4614" i="16"/>
  <c r="E4614" i="16"/>
  <c r="G4614" i="16"/>
  <c r="I4614" i="16"/>
  <c r="J4559" i="16"/>
  <c r="N4559" i="16" s="1"/>
  <c r="D4559" i="16"/>
  <c r="M4559" i="16"/>
  <c r="E4560" i="16"/>
  <c r="G4560" i="16"/>
  <c r="C4560" i="16"/>
  <c r="I4560" i="16"/>
  <c r="L4560" i="16"/>
  <c r="P4559" i="16"/>
  <c r="Q4559" i="16"/>
  <c r="R4559" i="16"/>
  <c r="U4258" i="16"/>
  <c r="S4258" i="16"/>
  <c r="M4259" i="16"/>
  <c r="D4259" i="16"/>
  <c r="J4259" i="16"/>
  <c r="N4259" i="16" s="1"/>
  <c r="P4259" i="16"/>
  <c r="Q4259" i="16"/>
  <c r="R4259" i="16"/>
  <c r="T4259" i="16"/>
  <c r="L4260" i="16"/>
  <c r="C4260" i="16"/>
  <c r="E4260" i="16"/>
  <c r="G4260" i="16"/>
  <c r="I4260" i="16"/>
  <c r="U4204" i="16"/>
  <c r="S4204" i="16"/>
  <c r="D4205" i="16"/>
  <c r="J4205" i="16"/>
  <c r="P4205" i="16"/>
  <c r="Q4205" i="16"/>
  <c r="R4205" i="16"/>
  <c r="T4205" i="16"/>
  <c r="C4206" i="16"/>
  <c r="F4206" i="16" s="1"/>
  <c r="O4206" i="16" s="1"/>
  <c r="E4206" i="16"/>
  <c r="G4206" i="16"/>
  <c r="I4206" i="16"/>
  <c r="K4206" i="16"/>
  <c r="L4206" i="16"/>
  <c r="U4150" i="16"/>
  <c r="S4150" i="16"/>
  <c r="P4151" i="16"/>
  <c r="Q4151" i="16"/>
  <c r="R4151" i="16"/>
  <c r="T4151" i="16"/>
  <c r="D4151" i="16"/>
  <c r="J4151" i="16"/>
  <c r="N4151" i="16" s="1"/>
  <c r="M4151" i="16"/>
  <c r="C4152" i="16"/>
  <c r="K4152" i="16" s="1"/>
  <c r="E4152" i="16"/>
  <c r="F4152" i="16"/>
  <c r="O4152" i="16" s="1"/>
  <c r="G4152" i="16"/>
  <c r="I4152" i="16"/>
  <c r="L4152" i="16"/>
  <c r="U4096" i="16"/>
  <c r="S4096" i="16"/>
  <c r="J4097" i="16"/>
  <c r="D4097" i="16"/>
  <c r="P4097" i="16"/>
  <c r="Q4097" i="16"/>
  <c r="R4097" i="16"/>
  <c r="T4097" i="16"/>
  <c r="C4098" i="16"/>
  <c r="E4098" i="16"/>
  <c r="F4098" i="16"/>
  <c r="O4098" i="16" s="1"/>
  <c r="G4098" i="16"/>
  <c r="K4098" i="16"/>
  <c r="I4098" i="16"/>
  <c r="L4098" i="16"/>
  <c r="D3797" i="16"/>
  <c r="J3797" i="16"/>
  <c r="P3797" i="16"/>
  <c r="Q3797" i="16"/>
  <c r="R3797" i="16"/>
  <c r="T3797" i="16"/>
  <c r="L3798" i="16"/>
  <c r="C3798" i="16"/>
  <c r="E3798" i="16"/>
  <c r="G3798" i="16"/>
  <c r="I3798" i="16"/>
  <c r="M3743" i="16"/>
  <c r="D3743" i="16"/>
  <c r="J3743" i="16"/>
  <c r="N3743" i="16" s="1"/>
  <c r="P3743" i="16"/>
  <c r="Q3743" i="16"/>
  <c r="R3743" i="16"/>
  <c r="T3743" i="16"/>
  <c r="L3744" i="16"/>
  <c r="C3744" i="16"/>
  <c r="E3744" i="16"/>
  <c r="G3744" i="16"/>
  <c r="I3744" i="16"/>
  <c r="J3689" i="16"/>
  <c r="D3689" i="16"/>
  <c r="P3689" i="16"/>
  <c r="Q3689" i="16"/>
  <c r="R3689" i="16"/>
  <c r="T3689" i="16"/>
  <c r="L3690" i="16"/>
  <c r="G3690" i="16"/>
  <c r="I3690" i="16"/>
  <c r="C3690" i="16"/>
  <c r="E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U3526" i="16"/>
  <c r="S3526" i="16"/>
  <c r="D3527" i="16"/>
  <c r="J3527" i="16"/>
  <c r="P3527" i="16"/>
  <c r="Q3527" i="16"/>
  <c r="R3527" i="16"/>
  <c r="T3527" i="16"/>
  <c r="L3528" i="16"/>
  <c r="C3528" i="16"/>
  <c r="K3528" i="16" s="1"/>
  <c r="E3528" i="16"/>
  <c r="F3528" i="16"/>
  <c r="O3528" i="16" s="1"/>
  <c r="G3528" i="16"/>
  <c r="I3528" i="16"/>
  <c r="M3473" i="16"/>
  <c r="D3473" i="16"/>
  <c r="J3473" i="16"/>
  <c r="N3473" i="16" s="1"/>
  <c r="P3473" i="16"/>
  <c r="Q3473" i="16"/>
  <c r="R3473" i="16"/>
  <c r="T3473" i="16"/>
  <c r="L3474" i="16"/>
  <c r="C3474" i="16"/>
  <c r="K3474" i="16" s="1"/>
  <c r="E3474" i="16"/>
  <c r="F3474" i="16"/>
  <c r="O3474" i="16" s="1"/>
  <c r="G3474" i="16"/>
  <c r="I3474" i="16"/>
  <c r="D3419" i="16"/>
  <c r="J3419" i="16"/>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E3366" i="16"/>
  <c r="G3366" i="16"/>
  <c r="I3366" i="16"/>
  <c r="U3310" i="16"/>
  <c r="S3310" i="16"/>
  <c r="M3311" i="16"/>
  <c r="D3311" i="16"/>
  <c r="J3311" i="16"/>
  <c r="N3311" i="16" s="1"/>
  <c r="P3311" i="16"/>
  <c r="Q3311" i="16"/>
  <c r="R3311" i="16"/>
  <c r="T3311" i="16"/>
  <c r="L3312" i="16"/>
  <c r="C3312" i="16"/>
  <c r="K3312" i="16" s="1"/>
  <c r="E3312" i="16"/>
  <c r="F3312" i="16"/>
  <c r="O3312" i="16" s="1"/>
  <c r="G3312" i="16"/>
  <c r="I3312" i="16"/>
  <c r="S3256" i="16"/>
  <c r="U3256" i="16"/>
  <c r="D3257" i="16"/>
  <c r="J3257" i="16"/>
  <c r="P3257" i="16"/>
  <c r="Q3257" i="16"/>
  <c r="R3257" i="16"/>
  <c r="T3257" i="16"/>
  <c r="L3258" i="16"/>
  <c r="C3258" i="16"/>
  <c r="E3258" i="16"/>
  <c r="G3258" i="16"/>
  <c r="I3258" i="16"/>
  <c r="M3203" i="16"/>
  <c r="D3203" i="16"/>
  <c r="J3203" i="16"/>
  <c r="N3203" i="16" s="1"/>
  <c r="P3203" i="16"/>
  <c r="Q3203" i="16"/>
  <c r="R3203" i="16"/>
  <c r="T3203" i="16"/>
  <c r="L3204" i="16"/>
  <c r="C3204" i="16"/>
  <c r="K3204" i="16" s="1"/>
  <c r="E3204" i="16"/>
  <c r="F3204" i="16"/>
  <c r="O3204" i="16" s="1"/>
  <c r="G3204" i="16"/>
  <c r="I3204" i="16"/>
  <c r="U3148" i="16"/>
  <c r="S3148" i="16"/>
  <c r="D3149" i="16"/>
  <c r="J3149" i="16"/>
  <c r="P3149" i="16"/>
  <c r="Q3149" i="16"/>
  <c r="R3149" i="16"/>
  <c r="T3149" i="16"/>
  <c r="L3150" i="16"/>
  <c r="C3150" i="16"/>
  <c r="K3150" i="16" s="1"/>
  <c r="E3150" i="16"/>
  <c r="F3150" i="16"/>
  <c r="O3150" i="16" s="1"/>
  <c r="G3150" i="16"/>
  <c r="I3150" i="16"/>
  <c r="U3094" i="16"/>
  <c r="S3094" i="16"/>
  <c r="M3095" i="16"/>
  <c r="P3095" i="16"/>
  <c r="Q3095" i="16"/>
  <c r="R3095" i="16"/>
  <c r="T3095" i="16"/>
  <c r="L3096" i="16"/>
  <c r="G3096" i="16"/>
  <c r="I3096" i="16"/>
  <c r="C3096" i="16"/>
  <c r="E3096" i="16"/>
  <c r="D3095" i="16"/>
  <c r="J3095" i="16"/>
  <c r="N3095" i="16" s="1"/>
  <c r="U3040" i="16"/>
  <c r="S3040" i="16"/>
  <c r="J3041" i="16"/>
  <c r="D3041" i="16"/>
  <c r="P3041" i="16"/>
  <c r="Q3041" i="16"/>
  <c r="R3041" i="16"/>
  <c r="T3041" i="16"/>
  <c r="L3042" i="16"/>
  <c r="C3042" i="16"/>
  <c r="E3042" i="16"/>
  <c r="G3042" i="16"/>
  <c r="I3042" i="16"/>
  <c r="U2986" i="16"/>
  <c r="S2986" i="16"/>
  <c r="D2987" i="16"/>
  <c r="J2987" i="16"/>
  <c r="P2987" i="16"/>
  <c r="Q2987" i="16"/>
  <c r="R2987" i="16"/>
  <c r="T2987" i="16"/>
  <c r="L2988" i="16"/>
  <c r="C2988" i="16"/>
  <c r="K2988" i="16" s="1"/>
  <c r="E2988" i="16"/>
  <c r="F2988" i="16"/>
  <c r="O2988" i="16" s="1"/>
  <c r="I2988" i="16"/>
  <c r="G2988" i="16"/>
  <c r="U2932" i="16"/>
  <c r="S2932" i="16"/>
  <c r="M2933" i="16"/>
  <c r="D2933" i="16"/>
  <c r="J2933" i="16"/>
  <c r="N2933" i="16" s="1"/>
  <c r="P2933" i="16"/>
  <c r="Q2933" i="16"/>
  <c r="R2933" i="16"/>
  <c r="T2933" i="16"/>
  <c r="L2934" i="16"/>
  <c r="C2934" i="16"/>
  <c r="K2934" i="16" s="1"/>
  <c r="E2934" i="16"/>
  <c r="F2934" i="16"/>
  <c r="O2934" i="16" s="1"/>
  <c r="G2934" i="16"/>
  <c r="I2934" i="16"/>
  <c r="U2878" i="16"/>
  <c r="S2878" i="16"/>
  <c r="M2879" i="16"/>
  <c r="D2879" i="16"/>
  <c r="J2879" i="16"/>
  <c r="N2879" i="16" s="1"/>
  <c r="P2879" i="16"/>
  <c r="Q2879" i="16"/>
  <c r="R2879" i="16"/>
  <c r="T2879" i="16"/>
  <c r="L2880" i="16"/>
  <c r="C2880" i="16"/>
  <c r="K2880" i="16" s="1"/>
  <c r="E2880" i="16"/>
  <c r="F2880" i="16"/>
  <c r="O2880" i="16" s="1"/>
  <c r="G2880" i="16"/>
  <c r="I2880" i="16"/>
  <c r="P2825" i="16"/>
  <c r="Q2825" i="16"/>
  <c r="R2825" i="16"/>
  <c r="T2825" i="16"/>
  <c r="U2825" i="16" s="1"/>
  <c r="J2825" i="16"/>
  <c r="D2825" i="16"/>
  <c r="L2826" i="16"/>
  <c r="C2826" i="16"/>
  <c r="K2826" i="16" s="1"/>
  <c r="E2826" i="16"/>
  <c r="F2826" i="16"/>
  <c r="O2826" i="16" s="1"/>
  <c r="G2826" i="16"/>
  <c r="I2826" i="16"/>
  <c r="L2772" i="16"/>
  <c r="C2772" i="16"/>
  <c r="G2772" i="16"/>
  <c r="E2772" i="16"/>
  <c r="I2772" i="16"/>
  <c r="J2771" i="16"/>
  <c r="D2771" i="16"/>
  <c r="P2771" i="16"/>
  <c r="Q2771" i="16"/>
  <c r="R2771" i="16"/>
  <c r="T2771" i="16"/>
  <c r="L2718" i="16"/>
  <c r="E2718" i="16"/>
  <c r="C2718" i="16"/>
  <c r="G2718" i="16"/>
  <c r="I2718" i="16"/>
  <c r="P2717" i="16"/>
  <c r="Q2717" i="16"/>
  <c r="R2717" i="16"/>
  <c r="T2717" i="16"/>
  <c r="D2717" i="16"/>
  <c r="J2717" i="16"/>
  <c r="U2662" i="16"/>
  <c r="S2662" i="16"/>
  <c r="M2663" i="16"/>
  <c r="L2664" i="16"/>
  <c r="C2664" i="16"/>
  <c r="K2664" i="16" s="1"/>
  <c r="G2664" i="16"/>
  <c r="E2664" i="16"/>
  <c r="I2664" i="16"/>
  <c r="F2664" i="16"/>
  <c r="O2664" i="16" s="1"/>
  <c r="P2663" i="16"/>
  <c r="Q2663" i="16"/>
  <c r="R2663" i="16"/>
  <c r="T2663" i="16"/>
  <c r="D2663" i="16"/>
  <c r="J2663" i="16"/>
  <c r="N2663" i="16" s="1"/>
  <c r="M2609" i="16"/>
  <c r="P2609" i="16"/>
  <c r="Q2609" i="16"/>
  <c r="R2609" i="16"/>
  <c r="T2609" i="16"/>
  <c r="L2610" i="16"/>
  <c r="I2610" i="16"/>
  <c r="E2610" i="16"/>
  <c r="C2610" i="16"/>
  <c r="G2610" i="16"/>
  <c r="D2609" i="16"/>
  <c r="J2609" i="16"/>
  <c r="N2609" i="16" s="1"/>
  <c r="P2555" i="16"/>
  <c r="Q2555" i="16"/>
  <c r="R2555" i="16"/>
  <c r="T2555" i="16"/>
  <c r="L2556" i="16"/>
  <c r="I2556" i="16"/>
  <c r="G2556" i="16"/>
  <c r="E2556" i="16"/>
  <c r="C2556" i="16"/>
  <c r="J2555" i="16"/>
  <c r="D2555" i="16"/>
  <c r="U2500" i="16"/>
  <c r="S2500" i="16"/>
  <c r="M2501" i="16"/>
  <c r="D2501" i="16"/>
  <c r="J2501" i="16"/>
  <c r="N2501" i="16" s="1"/>
  <c r="P2501" i="16"/>
  <c r="Q2501" i="16"/>
  <c r="R2501" i="16"/>
  <c r="T2501" i="16"/>
  <c r="L2502" i="16"/>
  <c r="C2502" i="16"/>
  <c r="K2502" i="16" s="1"/>
  <c r="E2502" i="16"/>
  <c r="F2502" i="16"/>
  <c r="O2502" i="16" s="1"/>
  <c r="G2502" i="16"/>
  <c r="I2502" i="16"/>
  <c r="D2447" i="16"/>
  <c r="J2447" i="16"/>
  <c r="P2447" i="16"/>
  <c r="Q2447" i="16"/>
  <c r="R2447" i="16"/>
  <c r="T2447" i="16"/>
  <c r="L2448" i="16"/>
  <c r="C2448" i="16"/>
  <c r="K2448" i="16" s="1"/>
  <c r="E2448" i="16"/>
  <c r="F2448" i="16"/>
  <c r="O2448" i="16" s="1"/>
  <c r="G2448" i="16"/>
  <c r="I2448" i="16"/>
  <c r="U2392" i="16"/>
  <c r="S2392" i="16"/>
  <c r="M2393" i="16"/>
  <c r="D2393" i="16"/>
  <c r="J2393" i="16"/>
  <c r="N2393" i="16" s="1"/>
  <c r="P2393" i="16"/>
  <c r="Q2393" i="16"/>
  <c r="R2393" i="16"/>
  <c r="T2393" i="16"/>
  <c r="L2394" i="16"/>
  <c r="C2394" i="16"/>
  <c r="E2394" i="16"/>
  <c r="G2394" i="16"/>
  <c r="I2394" i="16"/>
  <c r="L2340" i="16"/>
  <c r="C2340" i="16"/>
  <c r="G2340" i="16"/>
  <c r="E2340" i="16"/>
  <c r="I2340" i="16"/>
  <c r="P2339" i="16"/>
  <c r="Q2339" i="16"/>
  <c r="R2339" i="16"/>
  <c r="T2339" i="16"/>
  <c r="J2339" i="16"/>
  <c r="D2339"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K2178" i="16" s="1"/>
  <c r="E2178" i="16"/>
  <c r="F2178" i="16"/>
  <c r="O2178" i="16" s="1"/>
  <c r="G2178" i="16"/>
  <c r="I2178" i="16"/>
  <c r="S2122" i="16"/>
  <c r="U2122" i="16"/>
  <c r="M2123" i="16"/>
  <c r="D2123" i="16"/>
  <c r="J2123" i="16"/>
  <c r="N2123" i="16" s="1"/>
  <c r="P2123" i="16"/>
  <c r="Q2123" i="16"/>
  <c r="R2123" i="16"/>
  <c r="T2123" i="16"/>
  <c r="L2124" i="16"/>
  <c r="C2124" i="16"/>
  <c r="K2124" i="16" s="1"/>
  <c r="E2124" i="16"/>
  <c r="F2124" i="16"/>
  <c r="O2124" i="16" s="1"/>
  <c r="G2124" i="16"/>
  <c r="I2124" i="16"/>
  <c r="U2068" i="16"/>
  <c r="S2068" i="16"/>
  <c r="M2069" i="16"/>
  <c r="D2069" i="16"/>
  <c r="J2069" i="16"/>
  <c r="N2069" i="16" s="1"/>
  <c r="P2069" i="16"/>
  <c r="Q2069" i="16"/>
  <c r="R2069" i="16"/>
  <c r="T2069" i="16"/>
  <c r="L2070" i="16"/>
  <c r="C2070" i="16"/>
  <c r="K2070" i="16" s="1"/>
  <c r="E2070" i="16"/>
  <c r="F2070" i="16"/>
  <c r="O2070" i="16" s="1"/>
  <c r="G2070" i="16"/>
  <c r="I2070" i="16"/>
  <c r="U2014" i="16"/>
  <c r="S2014" i="16"/>
  <c r="M2015" i="16"/>
  <c r="D2015" i="16"/>
  <c r="J2015" i="16"/>
  <c r="N2015" i="16" s="1"/>
  <c r="P2015" i="16"/>
  <c r="Q2015" i="16"/>
  <c r="R2015" i="16"/>
  <c r="T2015" i="16"/>
  <c r="L2016" i="16"/>
  <c r="C2016" i="16"/>
  <c r="E2016" i="16"/>
  <c r="G2016" i="16"/>
  <c r="I2016" i="16"/>
  <c r="U1960" i="16"/>
  <c r="S1960" i="16"/>
  <c r="M1961" i="16"/>
  <c r="D1961" i="16"/>
  <c r="J1961" i="16"/>
  <c r="N1961" i="16" s="1"/>
  <c r="P1961" i="16"/>
  <c r="Q1961" i="16"/>
  <c r="R1961" i="16"/>
  <c r="T1961" i="16"/>
  <c r="L1962" i="16"/>
  <c r="C1962" i="16"/>
  <c r="K1962" i="16" s="1"/>
  <c r="E1962" i="16"/>
  <c r="F1962" i="16"/>
  <c r="O1962" i="16" s="1"/>
  <c r="G1962" i="16"/>
  <c r="I1962" i="16"/>
  <c r="M1907" i="16"/>
  <c r="D1907" i="16"/>
  <c r="J1907" i="16"/>
  <c r="N1907" i="16" s="1"/>
  <c r="P1907" i="16"/>
  <c r="Q1907" i="16"/>
  <c r="R1907" i="16"/>
  <c r="T1907" i="16"/>
  <c r="L1908" i="16"/>
  <c r="C1908" i="16"/>
  <c r="K1908" i="16" s="1"/>
  <c r="E1908" i="16"/>
  <c r="F1908" i="16"/>
  <c r="O1908" i="16" s="1"/>
  <c r="G1908" i="16"/>
  <c r="I1908" i="16"/>
  <c r="U1852" i="16"/>
  <c r="S1852" i="16"/>
  <c r="M1853" i="16"/>
  <c r="D1853" i="16"/>
  <c r="J1853" i="16"/>
  <c r="N1853" i="16" s="1"/>
  <c r="P1853" i="16"/>
  <c r="Q1853" i="16"/>
  <c r="R1853" i="16"/>
  <c r="T1853" i="16"/>
  <c r="L1854" i="16"/>
  <c r="C1854" i="16"/>
  <c r="E1854" i="16"/>
  <c r="G1854" i="16"/>
  <c r="I1854" i="16"/>
  <c r="U1798" i="16"/>
  <c r="S1798" i="16"/>
  <c r="M1799" i="16"/>
  <c r="D1799" i="16"/>
  <c r="J1799" i="16"/>
  <c r="N1799" i="16" s="1"/>
  <c r="P1799" i="16"/>
  <c r="Q1799" i="16"/>
  <c r="R1799" i="16"/>
  <c r="T1799" i="16"/>
  <c r="L1800" i="16"/>
  <c r="C1800" i="16"/>
  <c r="K1800" i="16" s="1"/>
  <c r="E1800" i="16"/>
  <c r="F1800" i="16"/>
  <c r="O1800" i="16" s="1"/>
  <c r="G1800" i="16"/>
  <c r="I1800" i="16"/>
  <c r="U1744" i="16"/>
  <c r="S1744" i="16"/>
  <c r="D1745" i="16"/>
  <c r="J1745" i="16"/>
  <c r="P1745" i="16"/>
  <c r="Q1745" i="16"/>
  <c r="R1745" i="16"/>
  <c r="T1745" i="16"/>
  <c r="L1746" i="16"/>
  <c r="C1746" i="16"/>
  <c r="K1746" i="16" s="1"/>
  <c r="E1746" i="16"/>
  <c r="F1746" i="16"/>
  <c r="O1746" i="16" s="1"/>
  <c r="G1746" i="16"/>
  <c r="I1746" i="16"/>
  <c r="S1690" i="16"/>
  <c r="U1690" i="16"/>
  <c r="M1691" i="16"/>
  <c r="D1691" i="16"/>
  <c r="J1691" i="16"/>
  <c r="N1691" i="16" s="1"/>
  <c r="P1691" i="16"/>
  <c r="Q1691" i="16"/>
  <c r="R1691" i="16"/>
  <c r="T1691" i="16"/>
  <c r="L1692" i="16"/>
  <c r="C1692" i="16"/>
  <c r="K1692" i="16" s="1"/>
  <c r="E1692" i="16"/>
  <c r="F1692" i="16"/>
  <c r="O1692" i="16" s="1"/>
  <c r="G1692" i="16"/>
  <c r="I1692" i="16"/>
  <c r="U1636" i="16"/>
  <c r="S1636" i="16"/>
  <c r="M1637" i="16"/>
  <c r="D1637" i="16"/>
  <c r="J1637" i="16"/>
  <c r="N1637" i="16" s="1"/>
  <c r="P1637" i="16"/>
  <c r="Q1637" i="16"/>
  <c r="R1637" i="16"/>
  <c r="T1637" i="16"/>
  <c r="L1638" i="16"/>
  <c r="C1638" i="16"/>
  <c r="K1638" i="16" s="1"/>
  <c r="E1638" i="16"/>
  <c r="F1638" i="16"/>
  <c r="O1638" i="16" s="1"/>
  <c r="G1638" i="16"/>
  <c r="I1638" i="16"/>
  <c r="U1582" i="16"/>
  <c r="S1582" i="16"/>
  <c r="M1583" i="16"/>
  <c r="D1583" i="16"/>
  <c r="J1583" i="16"/>
  <c r="N1583" i="16" s="1"/>
  <c r="P1583" i="16"/>
  <c r="Q1583" i="16"/>
  <c r="R1583" i="16"/>
  <c r="T1583" i="16"/>
  <c r="L1584" i="16"/>
  <c r="C1584" i="16"/>
  <c r="K1584" i="16" s="1"/>
  <c r="E1584" i="16"/>
  <c r="F1584" i="16"/>
  <c r="O1584" i="16" s="1"/>
  <c r="G1584" i="16"/>
  <c r="I1584" i="16"/>
  <c r="U1528" i="16"/>
  <c r="S1528" i="16"/>
  <c r="D1529" i="16"/>
  <c r="J1529" i="16"/>
  <c r="P1529" i="16"/>
  <c r="Q1529" i="16"/>
  <c r="R1529" i="16"/>
  <c r="T1529" i="16"/>
  <c r="L1530" i="16"/>
  <c r="C1530" i="16"/>
  <c r="K1530" i="16" s="1"/>
  <c r="E1530" i="16"/>
  <c r="F1530" i="16"/>
  <c r="O1530" i="16" s="1"/>
  <c r="G1530" i="16"/>
  <c r="I1530" i="16"/>
  <c r="U1474" i="16"/>
  <c r="S1474" i="16"/>
  <c r="M1475" i="16"/>
  <c r="P1475" i="16"/>
  <c r="Q1475" i="16"/>
  <c r="R1475" i="16"/>
  <c r="T1475" i="16"/>
  <c r="L1476" i="16"/>
  <c r="E1476" i="16"/>
  <c r="I1476" i="16"/>
  <c r="G1476" i="16"/>
  <c r="C1476" i="16"/>
  <c r="K1476" i="16" s="1"/>
  <c r="F1476" i="16"/>
  <c r="O1476" i="16" s="1"/>
  <c r="D1475" i="16"/>
  <c r="J1475" i="16"/>
  <c r="N1475" i="16" s="1"/>
  <c r="M1421" i="16"/>
  <c r="D1421" i="16"/>
  <c r="J1421" i="16"/>
  <c r="N1421" i="16" s="1"/>
  <c r="P1421" i="16"/>
  <c r="Q1421" i="16"/>
  <c r="R1421" i="16"/>
  <c r="T1421" i="16"/>
  <c r="L1422" i="16"/>
  <c r="G1422" i="16"/>
  <c r="E1422" i="16"/>
  <c r="I1422" i="16"/>
  <c r="C1422" i="16"/>
  <c r="L1368" i="16"/>
  <c r="C1368" i="16"/>
  <c r="G1368" i="16"/>
  <c r="E1368" i="16"/>
  <c r="I1368" i="16"/>
  <c r="P1367" i="16"/>
  <c r="Q1367" i="16"/>
  <c r="R1367" i="16"/>
  <c r="T1367" i="16"/>
  <c r="D1367" i="16"/>
  <c r="J1367" i="16"/>
  <c r="U1312" i="16"/>
  <c r="S1312" i="16"/>
  <c r="M1313" i="16"/>
  <c r="P1313" i="16"/>
  <c r="Q1313" i="16"/>
  <c r="R1313" i="16"/>
  <c r="T1313" i="16"/>
  <c r="L1314" i="16"/>
  <c r="C1314" i="16"/>
  <c r="K1314" i="16" s="1"/>
  <c r="E1314" i="16"/>
  <c r="I1314" i="16"/>
  <c r="G1314" i="16"/>
  <c r="F1314" i="16"/>
  <c r="O1314" i="16" s="1"/>
  <c r="D1313" i="16"/>
  <c r="J1313" i="16"/>
  <c r="N1313" i="16" s="1"/>
  <c r="E1260" i="16"/>
  <c r="I1260" i="16"/>
  <c r="L1260" i="16"/>
  <c r="C1260" i="16"/>
  <c r="G1260" i="16"/>
  <c r="P1259" i="16"/>
  <c r="Q1259" i="16"/>
  <c r="R1259" i="16"/>
  <c r="T1259" i="16"/>
  <c r="D1259" i="16"/>
  <c r="J1259" i="16"/>
  <c r="U1204" i="16"/>
  <c r="S1204" i="16"/>
  <c r="M1205" i="16"/>
  <c r="D1205" i="16"/>
  <c r="J1205" i="16"/>
  <c r="N1205" i="16" s="1"/>
  <c r="P1205" i="16"/>
  <c r="Q1205" i="16"/>
  <c r="R1205" i="16"/>
  <c r="T1205" i="16"/>
  <c r="L1206" i="16"/>
  <c r="C1206" i="16"/>
  <c r="E1206" i="16"/>
  <c r="G1206" i="16"/>
  <c r="I1206" i="16"/>
  <c r="U1150" i="16"/>
  <c r="S1150" i="16"/>
  <c r="M1151" i="16"/>
  <c r="D1151" i="16"/>
  <c r="J1151" i="16"/>
  <c r="N1151" i="16" s="1"/>
  <c r="P1151" i="16"/>
  <c r="Q1151" i="16"/>
  <c r="R1151" i="16"/>
  <c r="T1151" i="16"/>
  <c r="L1152" i="16"/>
  <c r="C1152" i="16"/>
  <c r="K1152" i="16" s="1"/>
  <c r="E1152" i="16"/>
  <c r="F1152" i="16"/>
  <c r="O1152" i="16" s="1"/>
  <c r="G1152" i="16"/>
  <c r="I1152" i="16"/>
  <c r="M1097" i="16"/>
  <c r="D1097" i="16"/>
  <c r="J1097" i="16"/>
  <c r="N1097" i="16" s="1"/>
  <c r="P1097" i="16"/>
  <c r="Q1097" i="16"/>
  <c r="R1097" i="16"/>
  <c r="T1097" i="16"/>
  <c r="L1098" i="16"/>
  <c r="C1098" i="16"/>
  <c r="E1098" i="16"/>
  <c r="G1098" i="16"/>
  <c r="I1098" i="16"/>
  <c r="U1042" i="16"/>
  <c r="S1042" i="16"/>
  <c r="M1043" i="16"/>
  <c r="D1043" i="16"/>
  <c r="J1043" i="16"/>
  <c r="N1043" i="16" s="1"/>
  <c r="P1043" i="16"/>
  <c r="Q1043" i="16"/>
  <c r="R1043" i="16"/>
  <c r="T1043" i="16"/>
  <c r="L1044" i="16"/>
  <c r="C1044" i="16"/>
  <c r="K1044" i="16" s="1"/>
  <c r="E1044" i="16"/>
  <c r="F1044" i="16"/>
  <c r="O1044" i="16" s="1"/>
  <c r="G1044" i="16"/>
  <c r="I1044" i="16"/>
  <c r="U988" i="16"/>
  <c r="S988" i="16"/>
  <c r="D989" i="16"/>
  <c r="J989" i="16"/>
  <c r="P989" i="16"/>
  <c r="Q989" i="16"/>
  <c r="R989" i="16"/>
  <c r="T989" i="16"/>
  <c r="L990" i="16"/>
  <c r="E990" i="16"/>
  <c r="C990" i="16"/>
  <c r="G990" i="16"/>
  <c r="I990" i="16"/>
  <c r="U934" i="16"/>
  <c r="S934" i="16"/>
  <c r="M935" i="16"/>
  <c r="D935" i="16"/>
  <c r="J935" i="16"/>
  <c r="N935" i="16" s="1"/>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K882" i="16" s="1"/>
  <c r="E882" i="16"/>
  <c r="F882" i="16"/>
  <c r="O882" i="16" s="1"/>
  <c r="G882" i="16"/>
  <c r="I882" i="16"/>
  <c r="U826" i="16"/>
  <c r="S826" i="16"/>
  <c r="D827" i="16"/>
  <c r="J827" i="16"/>
  <c r="P827" i="16"/>
  <c r="Q827" i="16"/>
  <c r="R827" i="16"/>
  <c r="T827" i="16"/>
  <c r="L828" i="16"/>
  <c r="C828" i="16"/>
  <c r="E828" i="16"/>
  <c r="G828" i="16"/>
  <c r="I828" i="16"/>
  <c r="S772" i="16"/>
  <c r="U772" i="16"/>
  <c r="D773" i="16"/>
  <c r="J773" i="16"/>
  <c r="P773" i="16"/>
  <c r="Q773" i="16"/>
  <c r="R773" i="16"/>
  <c r="T773" i="16"/>
  <c r="L774" i="16"/>
  <c r="C774" i="16"/>
  <c r="K774" i="16" s="1"/>
  <c r="E774" i="16"/>
  <c r="F774" i="16"/>
  <c r="O774" i="16" s="1"/>
  <c r="G774" i="16"/>
  <c r="I774" i="16"/>
  <c r="U718" i="16"/>
  <c r="S718" i="16"/>
  <c r="D719" i="16"/>
  <c r="J719" i="16"/>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U610" i="16"/>
  <c r="S610" i="16"/>
  <c r="M611" i="16"/>
  <c r="D611" i="16"/>
  <c r="J611" i="16"/>
  <c r="N611" i="16" s="1"/>
  <c r="P611" i="16"/>
  <c r="Q611" i="16"/>
  <c r="R611" i="16"/>
  <c r="T611" i="16"/>
  <c r="L612" i="16"/>
  <c r="C612" i="16"/>
  <c r="K612" i="16" s="1"/>
  <c r="E612" i="16"/>
  <c r="F612" i="16"/>
  <c r="O612" i="16" s="1"/>
  <c r="G612" i="16"/>
  <c r="I612" i="16"/>
  <c r="L558" i="16"/>
  <c r="E558" i="16"/>
  <c r="I558" i="16"/>
  <c r="C558" i="16"/>
  <c r="K558" i="16" s="1"/>
  <c r="F558" i="16"/>
  <c r="O558" i="16" s="1"/>
  <c r="G558" i="16"/>
  <c r="J557" i="16"/>
  <c r="D557" i="16"/>
  <c r="P557" i="16"/>
  <c r="Q557" i="16"/>
  <c r="R557" i="16"/>
  <c r="T557" i="16"/>
  <c r="U502" i="16"/>
  <c r="S502" i="16"/>
  <c r="D503" i="16"/>
  <c r="J503" i="16"/>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E450" i="16"/>
  <c r="G450" i="16"/>
  <c r="I450" i="16"/>
  <c r="U394" i="16"/>
  <c r="S394" i="16"/>
  <c r="M395" i="16"/>
  <c r="D395" i="16"/>
  <c r="J395" i="16"/>
  <c r="N395" i="16" s="1"/>
  <c r="P395" i="16"/>
  <c r="Q395" i="16"/>
  <c r="R395" i="16"/>
  <c r="T395" i="16"/>
  <c r="L396" i="16"/>
  <c r="C396" i="16"/>
  <c r="E396" i="16"/>
  <c r="G396" i="16"/>
  <c r="I396" i="16"/>
  <c r="S340" i="16"/>
  <c r="U340" i="16"/>
  <c r="M341" i="16"/>
  <c r="D341" i="16"/>
  <c r="J341" i="16"/>
  <c r="N341" i="16" s="1"/>
  <c r="P341" i="16"/>
  <c r="Q341" i="16"/>
  <c r="R341" i="16"/>
  <c r="T341" i="16"/>
  <c r="L342" i="16"/>
  <c r="C342" i="16"/>
  <c r="E342" i="16"/>
  <c r="G342" i="16"/>
  <c r="I342"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K234" i="16" s="1"/>
  <c r="E234" i="16"/>
  <c r="F234" i="16"/>
  <c r="O234" i="16" s="1"/>
  <c r="G234" i="16"/>
  <c r="I234" i="16"/>
  <c r="M179" i="16"/>
  <c r="D179" i="16"/>
  <c r="J179" i="16"/>
  <c r="N179" i="16" s="1"/>
  <c r="P179" i="16"/>
  <c r="Q179" i="16"/>
  <c r="R179" i="16"/>
  <c r="T179" i="16"/>
  <c r="L180" i="16"/>
  <c r="C180" i="16"/>
  <c r="E180" i="16"/>
  <c r="G180" i="16"/>
  <c r="I180" i="16"/>
  <c r="D125" i="16"/>
  <c r="J125" i="16"/>
  <c r="P125" i="16"/>
  <c r="Q125" i="16"/>
  <c r="R125" i="16"/>
  <c r="T125" i="16"/>
  <c r="L126" i="16"/>
  <c r="I126" i="16"/>
  <c r="C126" i="16"/>
  <c r="E126" i="16"/>
  <c r="G126" i="16"/>
  <c r="U62" i="4"/>
  <c r="C97" i="7" s="1"/>
  <c r="G97" i="7" s="1"/>
  <c r="S62" i="4"/>
  <c r="F62" i="5"/>
  <c r="G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T63" i="4"/>
  <c r="V63" i="4"/>
  <c r="BF63" i="4"/>
  <c r="L64" i="4"/>
  <c r="C64" i="4"/>
  <c r="K64" i="4" s="1"/>
  <c r="E64" i="4"/>
  <c r="F64" i="4"/>
  <c r="C64" i="5" s="1"/>
  <c r="E64" i="5" s="1"/>
  <c r="G64" i="4"/>
  <c r="I64" i="4"/>
  <c r="B64" i="5"/>
  <c r="U3741" i="16"/>
  <c r="S3741" i="16"/>
  <c r="U3201" i="16"/>
  <c r="S3201" i="16"/>
  <c r="U2877" i="16"/>
  <c r="S2877" i="16"/>
  <c r="U2715" i="16"/>
  <c r="S2715" i="16"/>
  <c r="U2607" i="16"/>
  <c r="S2607" i="16"/>
  <c r="S2553" i="16"/>
  <c r="U2553" i="16"/>
  <c r="U2067" i="16"/>
  <c r="S2067" i="16"/>
  <c r="U2013" i="16"/>
  <c r="S2013" i="16"/>
  <c r="U1797" i="16"/>
  <c r="S1797" i="16"/>
  <c r="U1581" i="16"/>
  <c r="S1581" i="16"/>
  <c r="U1473" i="16"/>
  <c r="S1473" i="16"/>
  <c r="U1419" i="16"/>
  <c r="S1419" i="16"/>
  <c r="U1365" i="16"/>
  <c r="S1365" i="16"/>
  <c r="U1311" i="16"/>
  <c r="S1311" i="16"/>
  <c r="U1095" i="16"/>
  <c r="S1095" i="16"/>
  <c r="U1041" i="16"/>
  <c r="S1041" i="16"/>
  <c r="U825" i="16"/>
  <c r="S825" i="16"/>
  <c r="U609" i="16"/>
  <c r="S609" i="16"/>
  <c r="S555" i="16"/>
  <c r="U555" i="16"/>
  <c r="U177" i="16"/>
  <c r="S177" i="16"/>
  <c r="S123" i="16"/>
  <c r="U123" i="16"/>
  <c r="M3796" i="16"/>
  <c r="N3796" i="16"/>
  <c r="M3742" i="16"/>
  <c r="N3742" i="16"/>
  <c r="M3688" i="16"/>
  <c r="N3688" i="16"/>
  <c r="N3472" i="16"/>
  <c r="M3472" i="16"/>
  <c r="M3418" i="16"/>
  <c r="N3418" i="16"/>
  <c r="M3202" i="16"/>
  <c r="N3202" i="16"/>
  <c r="M2770" i="16"/>
  <c r="N2770" i="16"/>
  <c r="N2716" i="16"/>
  <c r="M2716" i="16"/>
  <c r="N2608" i="16"/>
  <c r="M2608" i="16"/>
  <c r="M2554" i="16"/>
  <c r="N2554" i="16"/>
  <c r="M2446" i="16"/>
  <c r="N2446" i="16"/>
  <c r="N2338" i="16"/>
  <c r="M2338" i="16"/>
  <c r="M1906" i="16"/>
  <c r="N1906" i="16"/>
  <c r="M1420" i="16"/>
  <c r="N1420" i="16"/>
  <c r="N1366" i="16"/>
  <c r="M1366" i="16"/>
  <c r="M1258" i="16"/>
  <c r="N1258" i="16"/>
  <c r="M1096" i="16"/>
  <c r="N1096" i="16"/>
  <c r="M556" i="16"/>
  <c r="N556" i="16"/>
  <c r="M286" i="16"/>
  <c r="N286" i="16"/>
  <c r="N178" i="16"/>
  <c r="M178" i="16"/>
  <c r="N124" i="16"/>
  <c r="M124" i="16"/>
  <c r="F4721" i="16"/>
  <c r="K4721" i="16"/>
  <c r="K4613" i="16"/>
  <c r="F4613" i="16"/>
  <c r="K4205" i="16"/>
  <c r="F4205" i="16"/>
  <c r="O4205" i="16" s="1"/>
  <c r="F4097" i="16"/>
  <c r="O4097" i="16" s="1"/>
  <c r="K4097" i="16"/>
  <c r="F3797" i="16"/>
  <c r="O3797" i="16" s="1"/>
  <c r="K3797" i="16"/>
  <c r="K3689" i="16"/>
  <c r="F3689" i="16"/>
  <c r="O3689" i="16" s="1"/>
  <c r="F3527" i="16"/>
  <c r="O3527" i="16" s="1"/>
  <c r="K3527" i="16"/>
  <c r="K3419" i="16"/>
  <c r="F3419" i="16"/>
  <c r="O3419" i="16" s="1"/>
  <c r="F3257" i="16"/>
  <c r="O3257" i="16" s="1"/>
  <c r="K3257" i="16"/>
  <c r="F3149" i="16"/>
  <c r="O3149" i="16" s="1"/>
  <c r="K3149" i="16"/>
  <c r="K3041" i="16"/>
  <c r="F3041" i="16"/>
  <c r="O3041" i="16" s="1"/>
  <c r="K2987" i="16"/>
  <c r="F2987" i="16"/>
  <c r="O2987" i="16" s="1"/>
  <c r="K2825" i="16"/>
  <c r="F2825" i="16"/>
  <c r="O2825" i="16" s="1"/>
  <c r="F2771" i="16"/>
  <c r="O2771" i="16" s="1"/>
  <c r="K2771" i="16"/>
  <c r="K2717" i="16"/>
  <c r="F2717" i="16"/>
  <c r="O2717" i="16" s="1"/>
  <c r="K2555" i="16"/>
  <c r="F2555" i="16"/>
  <c r="O2555" i="16" s="1"/>
  <c r="F2447" i="16"/>
  <c r="O2447" i="16" s="1"/>
  <c r="K2447" i="16"/>
  <c r="F2339" i="16"/>
  <c r="O2339" i="16" s="1"/>
  <c r="K2339" i="16"/>
  <c r="F1745" i="16"/>
  <c r="O1745" i="16" s="1"/>
  <c r="K1745" i="16"/>
  <c r="K1529" i="16"/>
  <c r="F1529" i="16"/>
  <c r="O1529" i="16" s="1"/>
  <c r="F1367" i="16"/>
  <c r="O1367" i="16" s="1"/>
  <c r="K1367" i="16"/>
  <c r="F1259" i="16"/>
  <c r="O1259" i="16" s="1"/>
  <c r="K1259" i="16"/>
  <c r="K989" i="16"/>
  <c r="F989" i="16"/>
  <c r="O989" i="16" s="1"/>
  <c r="K827" i="16"/>
  <c r="F827" i="16"/>
  <c r="O827" i="16" s="1"/>
  <c r="K773" i="16"/>
  <c r="F773" i="16"/>
  <c r="O773" i="16" s="1"/>
  <c r="F719" i="16"/>
  <c r="O719" i="16" s="1"/>
  <c r="K719" i="16"/>
  <c r="K557" i="16"/>
  <c r="F557" i="16"/>
  <c r="O557" i="16" s="1"/>
  <c r="K503" i="16"/>
  <c r="F503" i="16"/>
  <c r="O503" i="16" s="1"/>
  <c r="K125" i="16"/>
  <c r="F125" i="16"/>
  <c r="O125" i="16" s="1"/>
  <c r="K4614" i="16" l="1"/>
  <c r="F4614" i="16"/>
  <c r="K3258" i="16"/>
  <c r="F3258" i="16"/>
  <c r="O3258" i="16" s="1"/>
  <c r="K3042" i="16"/>
  <c r="F3042" i="16"/>
  <c r="O3042" i="16" s="1"/>
  <c r="K2394" i="16"/>
  <c r="F2394" i="16"/>
  <c r="O2394" i="16" s="1"/>
  <c r="K2016" i="16"/>
  <c r="F2016" i="16"/>
  <c r="O2016" i="16" s="1"/>
  <c r="K1206" i="16"/>
  <c r="F1206" i="16"/>
  <c r="O1206" i="16" s="1"/>
  <c r="K990" i="16"/>
  <c r="F990" i="16"/>
  <c r="O990" i="16" s="1"/>
  <c r="T4720" i="16"/>
  <c r="U4721" i="16"/>
  <c r="M4722" i="16"/>
  <c r="D4722" i="16"/>
  <c r="J4722" i="16"/>
  <c r="N4722" i="16" s="1"/>
  <c r="P4722" i="16"/>
  <c r="Q4722" i="16"/>
  <c r="B4723" i="16" s="1"/>
  <c r="C13" i="11" s="1"/>
  <c r="R4722" i="16"/>
  <c r="P4668" i="16"/>
  <c r="Q4668" i="16"/>
  <c r="B4669" i="16" s="1"/>
  <c r="R4668" i="16"/>
  <c r="M4614" i="16"/>
  <c r="D4614" i="16"/>
  <c r="J4614" i="16"/>
  <c r="N4614" i="16" s="1"/>
  <c r="P4614" i="16"/>
  <c r="Q4614" i="16"/>
  <c r="R4614" i="16"/>
  <c r="P4560" i="16"/>
  <c r="Q4560" i="16"/>
  <c r="R4560" i="16"/>
  <c r="D4560" i="16"/>
  <c r="J4560" i="16"/>
  <c r="U4259" i="16"/>
  <c r="S4259" i="16"/>
  <c r="D4260" i="16"/>
  <c r="J4260" i="16"/>
  <c r="P4260" i="16"/>
  <c r="Q4260" i="16"/>
  <c r="R4260" i="16"/>
  <c r="T4260" i="16"/>
  <c r="D4206" i="16"/>
  <c r="J4206" i="16"/>
  <c r="N4206" i="16" s="1"/>
  <c r="P4206" i="16"/>
  <c r="Q4206" i="16"/>
  <c r="R4206" i="16"/>
  <c r="T4206" i="16"/>
  <c r="M4206" i="16"/>
  <c r="U4151" i="16"/>
  <c r="S4151" i="16"/>
  <c r="D4152" i="16"/>
  <c r="J4152" i="16"/>
  <c r="N4152" i="16" s="1"/>
  <c r="P4152" i="16"/>
  <c r="R4152" i="16"/>
  <c r="Q4152" i="16"/>
  <c r="T4152" i="16"/>
  <c r="M4152" i="16"/>
  <c r="D4098" i="16"/>
  <c r="J4098" i="16"/>
  <c r="N4098" i="16" s="1"/>
  <c r="P4098" i="16"/>
  <c r="Q4098" i="16"/>
  <c r="R4098" i="16"/>
  <c r="T4098" i="16"/>
  <c r="M4098" i="16"/>
  <c r="D3798" i="16"/>
  <c r="J3798" i="16"/>
  <c r="P3798" i="16"/>
  <c r="Q3798" i="16"/>
  <c r="R3798" i="16"/>
  <c r="T3798" i="16"/>
  <c r="U3743" i="16"/>
  <c r="S3743" i="16"/>
  <c r="D3744" i="16"/>
  <c r="J3744" i="16"/>
  <c r="P3744" i="16"/>
  <c r="Q3744" i="16"/>
  <c r="R3744" i="16"/>
  <c r="T3744" i="16"/>
  <c r="P3690" i="16"/>
  <c r="Q3690" i="16"/>
  <c r="R3690" i="16"/>
  <c r="T3690" i="16"/>
  <c r="J3690" i="16"/>
  <c r="D3690" i="16"/>
  <c r="U3635" i="16"/>
  <c r="S3635" i="16"/>
  <c r="M3636" i="16"/>
  <c r="D3636" i="16"/>
  <c r="J3636" i="16"/>
  <c r="N3636" i="16" s="1"/>
  <c r="P3636" i="16"/>
  <c r="Q3636" i="16"/>
  <c r="R3636" i="16"/>
  <c r="T3636" i="16"/>
  <c r="U3581" i="16"/>
  <c r="S3581" i="16"/>
  <c r="M3582" i="16"/>
  <c r="D3582" i="16"/>
  <c r="J3582" i="16"/>
  <c r="N3582" i="16" s="1"/>
  <c r="P3582" i="16"/>
  <c r="Q3582" i="16"/>
  <c r="R3582" i="16"/>
  <c r="T3582" i="16"/>
  <c r="M3528" i="16"/>
  <c r="D3528" i="16"/>
  <c r="J3528" i="16"/>
  <c r="N3528" i="16" s="1"/>
  <c r="P3528" i="16"/>
  <c r="Q3528" i="16"/>
  <c r="R3528" i="16"/>
  <c r="T3528" i="16"/>
  <c r="S3473" i="16"/>
  <c r="U3473" i="16"/>
  <c r="M3474" i="16"/>
  <c r="D3474" i="16"/>
  <c r="J3474" i="16"/>
  <c r="N3474" i="16" s="1"/>
  <c r="P3474" i="16"/>
  <c r="Q3474" i="16"/>
  <c r="R3474" i="16"/>
  <c r="T3474" i="16"/>
  <c r="M3420" i="16"/>
  <c r="D3420" i="16"/>
  <c r="J3420" i="16"/>
  <c r="N3420" i="16" s="1"/>
  <c r="P3420" i="16"/>
  <c r="Q3420" i="16"/>
  <c r="F3421" i="16" s="1"/>
  <c r="G65" i="16" s="1"/>
  <c r="R3420" i="16"/>
  <c r="G3421" i="16" s="1"/>
  <c r="H65" i="16" s="1"/>
  <c r="L65" i="16" s="1"/>
  <c r="AI65" i="16" s="1"/>
  <c r="T3420" i="16"/>
  <c r="U3365" i="16"/>
  <c r="S3365" i="16"/>
  <c r="D3366" i="16"/>
  <c r="J3366" i="16"/>
  <c r="P3366" i="16"/>
  <c r="Q3366" i="16"/>
  <c r="R3366" i="16"/>
  <c r="T3366" i="16"/>
  <c r="U3311" i="16"/>
  <c r="S3311" i="16"/>
  <c r="M3312" i="16"/>
  <c r="D3312" i="16"/>
  <c r="J3312" i="16"/>
  <c r="N3312" i="16" s="1"/>
  <c r="P3312" i="16"/>
  <c r="Q3312" i="16"/>
  <c r="R3312" i="16"/>
  <c r="T3312" i="16"/>
  <c r="M3258" i="16"/>
  <c r="D3258" i="16"/>
  <c r="J3258" i="16"/>
  <c r="N3258" i="16" s="1"/>
  <c r="P3258" i="16"/>
  <c r="Q3258" i="16"/>
  <c r="R3258" i="16"/>
  <c r="T3258" i="16"/>
  <c r="U3203" i="16"/>
  <c r="S3203" i="16"/>
  <c r="M3204" i="16"/>
  <c r="D3204" i="16"/>
  <c r="J3204" i="16"/>
  <c r="N3204" i="16" s="1"/>
  <c r="P3204" i="16"/>
  <c r="Q3204" i="16"/>
  <c r="R3204" i="16"/>
  <c r="T3204" i="16"/>
  <c r="M3150" i="16"/>
  <c r="D3150" i="16"/>
  <c r="J3150" i="16"/>
  <c r="N3150" i="16" s="1"/>
  <c r="P3150" i="16"/>
  <c r="Q3150" i="16"/>
  <c r="R3150" i="16"/>
  <c r="T3150" i="16"/>
  <c r="U3095" i="16"/>
  <c r="S3095" i="16"/>
  <c r="P3096" i="16"/>
  <c r="Q3096" i="16"/>
  <c r="F3097" i="16" s="1"/>
  <c r="G59" i="16" s="1"/>
  <c r="R3096" i="16"/>
  <c r="G3097" i="16" s="1"/>
  <c r="H59" i="16" s="1"/>
  <c r="L59" i="16" s="1"/>
  <c r="AI59" i="16" s="1"/>
  <c r="T3096" i="16"/>
  <c r="D3096" i="16"/>
  <c r="J3096" i="16"/>
  <c r="M3042" i="16"/>
  <c r="D3042" i="16"/>
  <c r="J3042" i="16"/>
  <c r="N3042" i="16" s="1"/>
  <c r="P3042" i="16"/>
  <c r="Q3042" i="16"/>
  <c r="R3042" i="16"/>
  <c r="T3042" i="16"/>
  <c r="M2988" i="16"/>
  <c r="D2988" i="16"/>
  <c r="J2988" i="16"/>
  <c r="N2988" i="16" s="1"/>
  <c r="P2988" i="16"/>
  <c r="Q2988" i="16"/>
  <c r="R2988" i="16"/>
  <c r="T2988" i="16"/>
  <c r="U2933" i="16"/>
  <c r="S2933" i="16"/>
  <c r="M2934" i="16"/>
  <c r="D2934" i="16"/>
  <c r="J2934" i="16"/>
  <c r="N2934" i="16" s="1"/>
  <c r="P2934" i="16"/>
  <c r="Q2934" i="16"/>
  <c r="R2934" i="16"/>
  <c r="T2934" i="16"/>
  <c r="U2879" i="16"/>
  <c r="S2879" i="16"/>
  <c r="M2880" i="16"/>
  <c r="D2880" i="16"/>
  <c r="J2880" i="16"/>
  <c r="N2880" i="16" s="1"/>
  <c r="P2880" i="16"/>
  <c r="Q2880" i="16"/>
  <c r="R2880" i="16"/>
  <c r="T2880" i="16"/>
  <c r="F2827" i="16"/>
  <c r="G54" i="16" s="1"/>
  <c r="AC54" i="16" s="1"/>
  <c r="D2827" i="16"/>
  <c r="E54" i="16" s="1"/>
  <c r="M2826" i="16"/>
  <c r="N2826" i="16"/>
  <c r="S2826" i="16" s="1"/>
  <c r="D2826" i="16"/>
  <c r="J2826" i="16"/>
  <c r="P2826" i="16"/>
  <c r="Q2826" i="16"/>
  <c r="R2826" i="16"/>
  <c r="T2826" i="16"/>
  <c r="U2826" i="16" s="1"/>
  <c r="J2772" i="16"/>
  <c r="D2772" i="16"/>
  <c r="P2772" i="16"/>
  <c r="Q2772" i="16"/>
  <c r="F2773" i="16" s="1"/>
  <c r="G53" i="16" s="1"/>
  <c r="R2772" i="16"/>
  <c r="G2773" i="16" s="1"/>
  <c r="H53" i="16" s="1"/>
  <c r="L53" i="16" s="1"/>
  <c r="AI53" i="16" s="1"/>
  <c r="T2772" i="16"/>
  <c r="J2718" i="16"/>
  <c r="D2718" i="16"/>
  <c r="P2718" i="16"/>
  <c r="Q2718" i="16"/>
  <c r="R2718" i="16"/>
  <c r="T2718" i="16"/>
  <c r="U2663" i="16"/>
  <c r="S2663" i="16"/>
  <c r="M2664" i="16"/>
  <c r="D2664" i="16"/>
  <c r="J2664" i="16"/>
  <c r="N2664" i="16" s="1"/>
  <c r="P2664" i="16"/>
  <c r="Q2664" i="16"/>
  <c r="R2664" i="16"/>
  <c r="T2664" i="16"/>
  <c r="U2609" i="16"/>
  <c r="S2609" i="16"/>
  <c r="D2610" i="16"/>
  <c r="J2610" i="16"/>
  <c r="P2610" i="16"/>
  <c r="Q2610" i="16"/>
  <c r="R2610" i="16"/>
  <c r="T2610" i="16"/>
  <c r="Q2556" i="16"/>
  <c r="P2556" i="16"/>
  <c r="R2556" i="16"/>
  <c r="T2556" i="16"/>
  <c r="D2556" i="16"/>
  <c r="J2556" i="16"/>
  <c r="U2501" i="16"/>
  <c r="S2501" i="16"/>
  <c r="M2502" i="16"/>
  <c r="D2502" i="16"/>
  <c r="J2502" i="16"/>
  <c r="N2502" i="16" s="1"/>
  <c r="P2502" i="16"/>
  <c r="Q2502" i="16"/>
  <c r="R2502" i="16"/>
  <c r="T2502" i="16"/>
  <c r="M2448" i="16"/>
  <c r="D2448" i="16"/>
  <c r="J2448" i="16"/>
  <c r="N2448" i="16" s="1"/>
  <c r="P2448" i="16"/>
  <c r="Q2448" i="16"/>
  <c r="F2449" i="16" s="1"/>
  <c r="G47" i="16" s="1"/>
  <c r="R2448" i="16"/>
  <c r="G2449" i="16" s="1"/>
  <c r="H47" i="16" s="1"/>
  <c r="L47" i="16" s="1"/>
  <c r="AI47" i="16" s="1"/>
  <c r="T2448" i="16"/>
  <c r="U2393" i="16"/>
  <c r="S2393" i="16"/>
  <c r="M2394" i="16"/>
  <c r="D2394" i="16"/>
  <c r="J2394" i="16"/>
  <c r="N2394" i="16" s="1"/>
  <c r="P2394" i="16"/>
  <c r="Q2394" i="16"/>
  <c r="R2394" i="16"/>
  <c r="T2394" i="16"/>
  <c r="J2340" i="16"/>
  <c r="D2340" i="16"/>
  <c r="P2340" i="16"/>
  <c r="Q2340" i="16"/>
  <c r="R2340" i="16"/>
  <c r="T2340" i="16"/>
  <c r="U2285" i="16"/>
  <c r="S2285" i="16"/>
  <c r="M2286" i="16"/>
  <c r="D2286" i="16"/>
  <c r="J2286" i="16"/>
  <c r="N2286" i="16" s="1"/>
  <c r="P2286" i="16"/>
  <c r="Q2286" i="16"/>
  <c r="R2286" i="16"/>
  <c r="T2286" i="16"/>
  <c r="U2231" i="16"/>
  <c r="S2231" i="16"/>
  <c r="M2232" i="16"/>
  <c r="D2232" i="16"/>
  <c r="J2232" i="16"/>
  <c r="N2232" i="16" s="1"/>
  <c r="P2232" i="16"/>
  <c r="Q2232" i="16"/>
  <c r="R2232" i="16"/>
  <c r="T2232" i="16"/>
  <c r="U2177" i="16"/>
  <c r="S2177" i="16"/>
  <c r="M2178" i="16"/>
  <c r="D2178" i="16"/>
  <c r="J2178" i="16"/>
  <c r="N2178" i="16" s="1"/>
  <c r="P2178" i="16"/>
  <c r="Q2178" i="16"/>
  <c r="F2179" i="16" s="1"/>
  <c r="G42" i="16" s="1"/>
  <c r="R2178" i="16"/>
  <c r="T2178" i="16"/>
  <c r="S2123" i="16"/>
  <c r="U2123" i="16"/>
  <c r="M2124" i="16"/>
  <c r="D2124" i="16"/>
  <c r="J2124" i="16"/>
  <c r="N2124" i="16" s="1"/>
  <c r="P2124" i="16"/>
  <c r="Q2124" i="16"/>
  <c r="R2124" i="16"/>
  <c r="T2124" i="16"/>
  <c r="U2069" i="16"/>
  <c r="S2069" i="16"/>
  <c r="M2070" i="16"/>
  <c r="D2070" i="16"/>
  <c r="J2070" i="16"/>
  <c r="N2070" i="16" s="1"/>
  <c r="P2070" i="16"/>
  <c r="Q2070" i="16"/>
  <c r="R2070" i="16"/>
  <c r="T2070" i="16"/>
  <c r="U2015" i="16"/>
  <c r="S2015" i="16"/>
  <c r="M2016" i="16"/>
  <c r="D2016" i="16"/>
  <c r="J2016" i="16"/>
  <c r="N2016" i="16" s="1"/>
  <c r="P2016" i="16"/>
  <c r="Q2016" i="16"/>
  <c r="R2016" i="16"/>
  <c r="T2016" i="16"/>
  <c r="U1961" i="16"/>
  <c r="S1961" i="16"/>
  <c r="M1962" i="16"/>
  <c r="D1962" i="16"/>
  <c r="J1962" i="16"/>
  <c r="N1962" i="16" s="1"/>
  <c r="P1962" i="16"/>
  <c r="Q1962" i="16"/>
  <c r="R1962" i="16"/>
  <c r="T1962" i="16"/>
  <c r="S1907" i="16"/>
  <c r="U1907" i="16"/>
  <c r="M1908" i="16"/>
  <c r="D1908" i="16"/>
  <c r="J1908" i="16"/>
  <c r="N1908" i="16" s="1"/>
  <c r="P1908" i="16"/>
  <c r="Q1908" i="16"/>
  <c r="R1908" i="16"/>
  <c r="T1908" i="16"/>
  <c r="U1853" i="16"/>
  <c r="S1853" i="16"/>
  <c r="D1854" i="16"/>
  <c r="J1854" i="16"/>
  <c r="P1854" i="16"/>
  <c r="Q1854" i="16"/>
  <c r="R1854" i="16"/>
  <c r="T1854" i="16"/>
  <c r="U1799" i="16"/>
  <c r="S1799" i="16"/>
  <c r="M1800" i="16"/>
  <c r="D1800" i="16"/>
  <c r="J1800" i="16"/>
  <c r="N1800" i="16" s="1"/>
  <c r="P1800" i="16"/>
  <c r="Q1800" i="16"/>
  <c r="R1800" i="16"/>
  <c r="T1800" i="16"/>
  <c r="M1746" i="16"/>
  <c r="D1746" i="16"/>
  <c r="J1746" i="16"/>
  <c r="N1746" i="16" s="1"/>
  <c r="P1746" i="16"/>
  <c r="Q1746" i="16"/>
  <c r="R1746" i="16"/>
  <c r="T1746" i="16"/>
  <c r="S1691" i="16"/>
  <c r="U1691" i="16"/>
  <c r="M1692" i="16"/>
  <c r="D1692" i="16"/>
  <c r="J1692" i="16"/>
  <c r="N1692" i="16" s="1"/>
  <c r="P1692" i="16"/>
  <c r="Q1692" i="16"/>
  <c r="R1692" i="16"/>
  <c r="T1692" i="16"/>
  <c r="U1637" i="16"/>
  <c r="S1637" i="16"/>
  <c r="M1638" i="16"/>
  <c r="D1638" i="16"/>
  <c r="J1638" i="16"/>
  <c r="N1638" i="16" s="1"/>
  <c r="P1638" i="16"/>
  <c r="Q1638" i="16"/>
  <c r="R1638" i="16"/>
  <c r="T1638" i="16"/>
  <c r="U1583" i="16"/>
  <c r="S1583" i="16"/>
  <c r="M1584" i="16"/>
  <c r="D1584" i="16"/>
  <c r="J1584" i="16"/>
  <c r="N1584" i="16" s="1"/>
  <c r="P1584" i="16"/>
  <c r="Q1584" i="16"/>
  <c r="R1584" i="16"/>
  <c r="T1584" i="16"/>
  <c r="M1530" i="16"/>
  <c r="D1530" i="16"/>
  <c r="J1530" i="16"/>
  <c r="N1530" i="16" s="1"/>
  <c r="P1530" i="16"/>
  <c r="Q1530" i="16"/>
  <c r="R1530" i="16"/>
  <c r="T1530" i="16"/>
  <c r="U1475" i="16"/>
  <c r="S1475" i="16"/>
  <c r="M1476" i="16"/>
  <c r="P1476" i="16"/>
  <c r="Q1476" i="16"/>
  <c r="R1476" i="16"/>
  <c r="T1476" i="16"/>
  <c r="J1476" i="16"/>
  <c r="N1476" i="16" s="1"/>
  <c r="D1476" i="16"/>
  <c r="U1421" i="16"/>
  <c r="S1421" i="16"/>
  <c r="P1422" i="16"/>
  <c r="Q1422" i="16"/>
  <c r="R1422" i="16"/>
  <c r="T1422" i="16"/>
  <c r="J1422" i="16"/>
  <c r="D1422" i="16"/>
  <c r="J1368" i="16"/>
  <c r="D1368" i="16"/>
  <c r="P1368" i="16"/>
  <c r="Q1368" i="16"/>
  <c r="R1368" i="16"/>
  <c r="T1368" i="16"/>
  <c r="U1313" i="16"/>
  <c r="S1313" i="16"/>
  <c r="M1314" i="16"/>
  <c r="D1314" i="16"/>
  <c r="J1314" i="16"/>
  <c r="N1314" i="16" s="1"/>
  <c r="P1314" i="16"/>
  <c r="Q1314" i="16"/>
  <c r="R1314" i="16"/>
  <c r="T1314" i="16"/>
  <c r="D1260" i="16"/>
  <c r="J1260" i="16"/>
  <c r="P1260" i="16"/>
  <c r="Q1260" i="16"/>
  <c r="R1260" i="16"/>
  <c r="T1260" i="16"/>
  <c r="F1261" i="16"/>
  <c r="G25" i="16" s="1"/>
  <c r="G1261" i="16"/>
  <c r="H25" i="16" s="1"/>
  <c r="L25" i="16" s="1"/>
  <c r="AI25" i="16" s="1"/>
  <c r="U1205" i="16"/>
  <c r="S1205" i="16"/>
  <c r="M1206" i="16"/>
  <c r="D1206" i="16"/>
  <c r="J1206" i="16"/>
  <c r="N1206" i="16" s="1"/>
  <c r="P1206" i="16"/>
  <c r="Q1206" i="16"/>
  <c r="R1206" i="16"/>
  <c r="T1206" i="16"/>
  <c r="U1151" i="16"/>
  <c r="S1151" i="16"/>
  <c r="M1152" i="16"/>
  <c r="D1152" i="16"/>
  <c r="J1152" i="16"/>
  <c r="N1152" i="16" s="1"/>
  <c r="P1152" i="16"/>
  <c r="Q1152" i="16"/>
  <c r="R1152" i="16"/>
  <c r="T1152" i="16"/>
  <c r="U1097" i="16"/>
  <c r="S1097" i="16"/>
  <c r="D1098" i="16"/>
  <c r="J1098" i="16"/>
  <c r="P1098" i="16"/>
  <c r="Q1098" i="16"/>
  <c r="R1098" i="16"/>
  <c r="T1098" i="16"/>
  <c r="U1043" i="16"/>
  <c r="S1043" i="16"/>
  <c r="M1044" i="16"/>
  <c r="D1044" i="16"/>
  <c r="J1044" i="16"/>
  <c r="N1044" i="16" s="1"/>
  <c r="P1044" i="16"/>
  <c r="Q1044" i="16"/>
  <c r="R1044" i="16"/>
  <c r="T1044" i="16"/>
  <c r="M990" i="16"/>
  <c r="D990" i="16"/>
  <c r="J990" i="16"/>
  <c r="N990" i="16" s="1"/>
  <c r="P990" i="16"/>
  <c r="Q990" i="16"/>
  <c r="R990" i="16"/>
  <c r="T990" i="16"/>
  <c r="U935" i="16"/>
  <c r="S935" i="16"/>
  <c r="M936" i="16"/>
  <c r="D936" i="16"/>
  <c r="J936" i="16"/>
  <c r="N936" i="16" s="1"/>
  <c r="P936" i="16"/>
  <c r="Q936" i="16"/>
  <c r="R936" i="16"/>
  <c r="T936" i="16"/>
  <c r="U881" i="16"/>
  <c r="S881" i="16"/>
  <c r="M882" i="16"/>
  <c r="D882" i="16"/>
  <c r="J882" i="16"/>
  <c r="N882" i="16" s="1"/>
  <c r="P882" i="16"/>
  <c r="Q882" i="16"/>
  <c r="R882" i="16"/>
  <c r="T882" i="16"/>
  <c r="D828" i="16"/>
  <c r="J828" i="16"/>
  <c r="P828" i="16"/>
  <c r="Q828" i="16"/>
  <c r="R828" i="16"/>
  <c r="T828" i="16"/>
  <c r="M774" i="16"/>
  <c r="D774" i="16"/>
  <c r="J774" i="16"/>
  <c r="N774" i="16" s="1"/>
  <c r="P774" i="16"/>
  <c r="Q774" i="16"/>
  <c r="R774" i="16"/>
  <c r="T774" i="16"/>
  <c r="M720" i="16"/>
  <c r="D720" i="16"/>
  <c r="J720" i="16"/>
  <c r="N720" i="16" s="1"/>
  <c r="P720" i="16"/>
  <c r="Q720" i="16"/>
  <c r="R720" i="16"/>
  <c r="T720" i="16"/>
  <c r="U665" i="16"/>
  <c r="S665" i="16"/>
  <c r="M666" i="16"/>
  <c r="D666" i="16"/>
  <c r="J666" i="16"/>
  <c r="N666" i="16" s="1"/>
  <c r="P666" i="16"/>
  <c r="Q666" i="16"/>
  <c r="R666" i="16"/>
  <c r="T666" i="16"/>
  <c r="U611" i="16"/>
  <c r="S611" i="16"/>
  <c r="M612" i="16"/>
  <c r="D612" i="16"/>
  <c r="J612" i="16"/>
  <c r="N612" i="16" s="1"/>
  <c r="P612" i="16"/>
  <c r="Q612" i="16"/>
  <c r="R612" i="16"/>
  <c r="T612" i="16"/>
  <c r="M558" i="16"/>
  <c r="J558" i="16"/>
  <c r="N558" i="16" s="1"/>
  <c r="D558" i="16"/>
  <c r="P558" i="16"/>
  <c r="Q558" i="16"/>
  <c r="R558" i="16"/>
  <c r="T558" i="16"/>
  <c r="M504" i="16"/>
  <c r="D504" i="16"/>
  <c r="J504" i="16"/>
  <c r="N504" i="16" s="1"/>
  <c r="P504" i="16"/>
  <c r="Q504" i="16"/>
  <c r="R504" i="16"/>
  <c r="T504" i="16"/>
  <c r="U449" i="16"/>
  <c r="S449" i="16"/>
  <c r="D450" i="16"/>
  <c r="J450" i="16"/>
  <c r="P450" i="16"/>
  <c r="Q450" i="16"/>
  <c r="R450" i="16"/>
  <c r="T450" i="16"/>
  <c r="U395" i="16"/>
  <c r="S395" i="16"/>
  <c r="D396" i="16"/>
  <c r="J396" i="16"/>
  <c r="P396" i="16"/>
  <c r="Q396" i="16"/>
  <c r="R396" i="16"/>
  <c r="T396" i="16"/>
  <c r="S341" i="16"/>
  <c r="U341" i="16"/>
  <c r="D342" i="16"/>
  <c r="J342" i="16"/>
  <c r="P342" i="16"/>
  <c r="Q342" i="16"/>
  <c r="R342" i="16"/>
  <c r="T342" i="16"/>
  <c r="U287" i="16"/>
  <c r="S287" i="16"/>
  <c r="M288" i="16"/>
  <c r="D288" i="16"/>
  <c r="J288" i="16"/>
  <c r="N288" i="16" s="1"/>
  <c r="P288" i="16"/>
  <c r="Q288" i="16"/>
  <c r="R288" i="16"/>
  <c r="T288" i="16"/>
  <c r="U233" i="16"/>
  <c r="S233" i="16"/>
  <c r="M234" i="16"/>
  <c r="D234" i="16"/>
  <c r="J234" i="16"/>
  <c r="N234" i="16" s="1"/>
  <c r="P234" i="16"/>
  <c r="Q234" i="16"/>
  <c r="R234" i="16"/>
  <c r="T234" i="16"/>
  <c r="U179" i="16"/>
  <c r="S179" i="16"/>
  <c r="D180" i="16"/>
  <c r="J180" i="16"/>
  <c r="P180" i="16"/>
  <c r="Q180" i="16"/>
  <c r="R180" i="16"/>
  <c r="T180" i="16"/>
  <c r="J126" i="16"/>
  <c r="D126" i="16"/>
  <c r="P126" i="16"/>
  <c r="Q126" i="16"/>
  <c r="R126" i="16"/>
  <c r="T126" i="16"/>
  <c r="U63" i="4"/>
  <c r="S63" i="4"/>
  <c r="BA67" i="4"/>
  <c r="BA73" i="4"/>
  <c r="AZ67" i="4"/>
  <c r="AZ73" i="4"/>
  <c r="AY73" i="4"/>
  <c r="AY67" i="4"/>
  <c r="AX73" i="4"/>
  <c r="AX67" i="4"/>
  <c r="AW67" i="4"/>
  <c r="AW73" i="4"/>
  <c r="AV67" i="4"/>
  <c r="AV73" i="4"/>
  <c r="AI67" i="4"/>
  <c r="AI73" i="4"/>
  <c r="AH67" i="4"/>
  <c r="AH73" i="4"/>
  <c r="AG73" i="4"/>
  <c r="AG67" i="4"/>
  <c r="AF73" i="4"/>
  <c r="AF67" i="4"/>
  <c r="AE67" i="4"/>
  <c r="AE73" i="4"/>
  <c r="AD67" i="4"/>
  <c r="AD73" i="4"/>
  <c r="AC73" i="4"/>
  <c r="AC67" i="4"/>
  <c r="AB67" i="4"/>
  <c r="AB73" i="4"/>
  <c r="AA73" i="4"/>
  <c r="AA67" i="4"/>
  <c r="Z67" i="4"/>
  <c r="Z73"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Q64" i="4"/>
  <c r="G64" i="5" s="1"/>
  <c r="P64" i="4"/>
  <c r="F64" i="5" s="1"/>
  <c r="R64" i="4"/>
  <c r="H64" i="5" s="1"/>
  <c r="T64" i="4"/>
  <c r="V64" i="4"/>
  <c r="BF64" i="4"/>
  <c r="E6" i="13" s="1"/>
  <c r="G6" i="13" s="1"/>
  <c r="U3796" i="16"/>
  <c r="S3796" i="16"/>
  <c r="U3742" i="16"/>
  <c r="S3742" i="16"/>
  <c r="S3688" i="16"/>
  <c r="U3688" i="16"/>
  <c r="U3472" i="16"/>
  <c r="S3472" i="16"/>
  <c r="U3418" i="16"/>
  <c r="S3418" i="16"/>
  <c r="U3202" i="16"/>
  <c r="S3202" i="16"/>
  <c r="U2770" i="16"/>
  <c r="S2770" i="16"/>
  <c r="U2716" i="16"/>
  <c r="S2716" i="16"/>
  <c r="U2608" i="16"/>
  <c r="S2608" i="16"/>
  <c r="U2554" i="16"/>
  <c r="S2554" i="16"/>
  <c r="U2446" i="16"/>
  <c r="S2446" i="16"/>
  <c r="U2338" i="16"/>
  <c r="S2338" i="16"/>
  <c r="S1906" i="16"/>
  <c r="U1906" i="16"/>
  <c r="U1420" i="16"/>
  <c r="S1420" i="16"/>
  <c r="U1366" i="16"/>
  <c r="S1366" i="16"/>
  <c r="S1258" i="16"/>
  <c r="U1258" i="16"/>
  <c r="U1096" i="16"/>
  <c r="S1096" i="16"/>
  <c r="U556" i="16"/>
  <c r="S556" i="16"/>
  <c r="U286" i="16"/>
  <c r="S286" i="16"/>
  <c r="U178" i="16"/>
  <c r="S178" i="16"/>
  <c r="U124" i="16"/>
  <c r="S124" i="16"/>
  <c r="M4721" i="16"/>
  <c r="N4721" i="16"/>
  <c r="M4613" i="16"/>
  <c r="N4613" i="16"/>
  <c r="N4205" i="16"/>
  <c r="M4205" i="16"/>
  <c r="M4097" i="16"/>
  <c r="N4097" i="16"/>
  <c r="M3797" i="16"/>
  <c r="N3797" i="16"/>
  <c r="M3689" i="16"/>
  <c r="N3689" i="16"/>
  <c r="M3527" i="16"/>
  <c r="N3527" i="16"/>
  <c r="M3419" i="16"/>
  <c r="N3419" i="16"/>
  <c r="M3257" i="16"/>
  <c r="N3257" i="16"/>
  <c r="M3149" i="16"/>
  <c r="N3149" i="16"/>
  <c r="N3041" i="16"/>
  <c r="M3041" i="16"/>
  <c r="M2987" i="16"/>
  <c r="N2987" i="16"/>
  <c r="N2825" i="16"/>
  <c r="S2825" i="16" s="1"/>
  <c r="M2825" i="16"/>
  <c r="N2771" i="16"/>
  <c r="M2771" i="16"/>
  <c r="M2717" i="16"/>
  <c r="N2717" i="16"/>
  <c r="N2555" i="16"/>
  <c r="M2555" i="16"/>
  <c r="M2447" i="16"/>
  <c r="N2447" i="16"/>
  <c r="M2339" i="16"/>
  <c r="N2339" i="16"/>
  <c r="M1745" i="16"/>
  <c r="N1745" i="16"/>
  <c r="M1529" i="16"/>
  <c r="N1529" i="16"/>
  <c r="N1367" i="16"/>
  <c r="M1367" i="16"/>
  <c r="N1259" i="16"/>
  <c r="M1259" i="16"/>
  <c r="N989" i="16"/>
  <c r="M989" i="16"/>
  <c r="M827" i="16"/>
  <c r="N827" i="16"/>
  <c r="M773" i="16"/>
  <c r="N773" i="16"/>
  <c r="M719" i="16"/>
  <c r="N719" i="16"/>
  <c r="M557" i="16"/>
  <c r="N557" i="16"/>
  <c r="M503" i="16"/>
  <c r="N503" i="16"/>
  <c r="M125" i="16"/>
  <c r="N125" i="16"/>
  <c r="K4560" i="16"/>
  <c r="F4560" i="16"/>
  <c r="F4260" i="16"/>
  <c r="O4260" i="16" s="1"/>
  <c r="K4260" i="16"/>
  <c r="K3798" i="16"/>
  <c r="F3798" i="16"/>
  <c r="O3798" i="16" s="1"/>
  <c r="F3744" i="16"/>
  <c r="O3744" i="16" s="1"/>
  <c r="K3744" i="16"/>
  <c r="K3690" i="16"/>
  <c r="F3690" i="16"/>
  <c r="O3690" i="16" s="1"/>
  <c r="F3366" i="16"/>
  <c r="O3366" i="16" s="1"/>
  <c r="K3366" i="16"/>
  <c r="K3096" i="16"/>
  <c r="F3096" i="16"/>
  <c r="O3096" i="16" s="1"/>
  <c r="K2772" i="16"/>
  <c r="F2772" i="16"/>
  <c r="O2772" i="16" s="1"/>
  <c r="K2718" i="16"/>
  <c r="F2718" i="16"/>
  <c r="O2718" i="16" s="1"/>
  <c r="F2610" i="16"/>
  <c r="O2610" i="16" s="1"/>
  <c r="K2610" i="16"/>
  <c r="K2556" i="16"/>
  <c r="F2556" i="16"/>
  <c r="O2556" i="16" s="1"/>
  <c r="F2340" i="16"/>
  <c r="O2340" i="16" s="1"/>
  <c r="K2340" i="16"/>
  <c r="F1854" i="16"/>
  <c r="O1854" i="16" s="1"/>
  <c r="K1854" i="16"/>
  <c r="K1422" i="16"/>
  <c r="F1422" i="16"/>
  <c r="O1422" i="16" s="1"/>
  <c r="K1368" i="16"/>
  <c r="F1368" i="16"/>
  <c r="O1368" i="16" s="1"/>
  <c r="K1260" i="16"/>
  <c r="F1260" i="16"/>
  <c r="O1260" i="16" s="1"/>
  <c r="K1098" i="16"/>
  <c r="F1098" i="16"/>
  <c r="O1098" i="16" s="1"/>
  <c r="F828" i="16"/>
  <c r="O828" i="16" s="1"/>
  <c r="K828" i="16"/>
  <c r="F450" i="16"/>
  <c r="O450" i="16" s="1"/>
  <c r="K450" i="16"/>
  <c r="F396" i="16"/>
  <c r="O396" i="16" s="1"/>
  <c r="K396" i="16"/>
  <c r="K342" i="16"/>
  <c r="F342" i="16"/>
  <c r="O342" i="16" s="1"/>
  <c r="F180" i="16"/>
  <c r="O180" i="16" s="1"/>
  <c r="K180" i="16"/>
  <c r="F126" i="16"/>
  <c r="O126" i="16" s="1"/>
  <c r="K126" i="16"/>
  <c r="AK67" i="4"/>
  <c r="AK73" i="4"/>
  <c r="AJ67" i="4"/>
  <c r="AJ73" i="4"/>
  <c r="X67" i="4"/>
  <c r="X73" i="4"/>
  <c r="W73" i="4"/>
  <c r="W67" i="4"/>
  <c r="F63" i="5"/>
  <c r="L5" i="5" s="1"/>
  <c r="G63" i="5"/>
  <c r="L6" i="5" s="1"/>
  <c r="H63" i="5"/>
  <c r="L7" i="5" s="1"/>
  <c r="E2827" i="16" l="1"/>
  <c r="F54" i="16" s="1"/>
  <c r="G2827" i="16"/>
  <c r="H54" i="16" s="1"/>
  <c r="BB67" i="4"/>
  <c r="BB73" i="4"/>
  <c r="S4722" i="16"/>
  <c r="U4722" i="16"/>
  <c r="U4206" i="16"/>
  <c r="S4206" i="16"/>
  <c r="U4152" i="16"/>
  <c r="S4152" i="16"/>
  <c r="U4098" i="16"/>
  <c r="S4098" i="16"/>
  <c r="G3691" i="16"/>
  <c r="H70" i="16" s="1"/>
  <c r="U3636" i="16"/>
  <c r="S3636" i="16"/>
  <c r="E3637" i="16"/>
  <c r="F69" i="16" s="1"/>
  <c r="G3637" i="16"/>
  <c r="H69" i="16" s="1"/>
  <c r="U3582" i="16"/>
  <c r="S3582" i="16"/>
  <c r="U3528" i="16"/>
  <c r="D3529" i="16" s="1"/>
  <c r="E67" i="16" s="1"/>
  <c r="S3528" i="16"/>
  <c r="S3474" i="16"/>
  <c r="U3474" i="16"/>
  <c r="U3420" i="16"/>
  <c r="C3421" i="16" s="1"/>
  <c r="D65" i="16" s="1"/>
  <c r="S3420" i="16"/>
  <c r="U3312" i="16"/>
  <c r="E3313" i="16" s="1"/>
  <c r="F63" i="16" s="1"/>
  <c r="S3312" i="16"/>
  <c r="G3313" i="16"/>
  <c r="H63" i="16" s="1"/>
  <c r="L63" i="16" s="1"/>
  <c r="AI63" i="16" s="1"/>
  <c r="S3258" i="16"/>
  <c r="U3258" i="16"/>
  <c r="U3204" i="16"/>
  <c r="S3204" i="16"/>
  <c r="U3150" i="16"/>
  <c r="S3150" i="16"/>
  <c r="AC59" i="16"/>
  <c r="K59" i="16"/>
  <c r="U3042" i="16"/>
  <c r="S3042" i="16"/>
  <c r="S2988" i="16"/>
  <c r="U2988" i="16"/>
  <c r="U2934" i="16"/>
  <c r="C2935" i="16" s="1"/>
  <c r="D56" i="16" s="1"/>
  <c r="S2934" i="16"/>
  <c r="U2880" i="16"/>
  <c r="C2881" i="16" s="1"/>
  <c r="D55" i="16" s="1"/>
  <c r="S2880" i="16"/>
  <c r="AA54" i="16"/>
  <c r="P54" i="16"/>
  <c r="K56" i="8" s="1"/>
  <c r="I54" i="16"/>
  <c r="U2664" i="16"/>
  <c r="S2664" i="16"/>
  <c r="F2611" i="16"/>
  <c r="G50" i="16" s="1"/>
  <c r="G2611" i="16"/>
  <c r="H50" i="16" s="1"/>
  <c r="L50" i="16" s="1"/>
  <c r="AI50" i="16" s="1"/>
  <c r="U2502" i="16"/>
  <c r="C2503" i="16" s="1"/>
  <c r="D48" i="16" s="1"/>
  <c r="S2502" i="16"/>
  <c r="F2503" i="16"/>
  <c r="G48" i="16" s="1"/>
  <c r="D2503" i="16"/>
  <c r="E48" i="16" s="1"/>
  <c r="E2503" i="16"/>
  <c r="F48" i="16" s="1"/>
  <c r="G2503" i="16"/>
  <c r="H48" i="16" s="1"/>
  <c r="L48" i="16" s="1"/>
  <c r="AI48" i="16" s="1"/>
  <c r="U2448" i="16"/>
  <c r="C2449" i="16" s="1"/>
  <c r="D47" i="16" s="1"/>
  <c r="S2448" i="16"/>
  <c r="U2394" i="16"/>
  <c r="S2394" i="16"/>
  <c r="F2341" i="16"/>
  <c r="G45" i="16" s="1"/>
  <c r="G2341" i="16"/>
  <c r="H45" i="16" s="1"/>
  <c r="L45" i="16" s="1"/>
  <c r="AI45" i="16" s="1"/>
  <c r="U2286" i="16"/>
  <c r="S2286" i="16"/>
  <c r="D2287" i="16"/>
  <c r="E44" i="16" s="1"/>
  <c r="F2287" i="16"/>
  <c r="G44" i="16" s="1"/>
  <c r="G2287" i="16"/>
  <c r="H44" i="16" s="1"/>
  <c r="L44" i="16" s="1"/>
  <c r="AI44" i="16" s="1"/>
  <c r="U2232" i="16"/>
  <c r="C2233" i="16" s="1"/>
  <c r="D43" i="16" s="1"/>
  <c r="S2232" i="16"/>
  <c r="F2233" i="16"/>
  <c r="G43" i="16" s="1"/>
  <c r="D2233" i="16"/>
  <c r="E43" i="16" s="1"/>
  <c r="G2233" i="16"/>
  <c r="H43" i="16" s="1"/>
  <c r="L43" i="16" s="1"/>
  <c r="AI43" i="16" s="1"/>
  <c r="E2233" i="16"/>
  <c r="F43" i="16" s="1"/>
  <c r="U2178" i="16"/>
  <c r="S2178" i="16"/>
  <c r="S2124" i="16"/>
  <c r="U2124" i="16"/>
  <c r="U2070" i="16"/>
  <c r="S2070" i="16"/>
  <c r="E2071" i="16"/>
  <c r="F40" i="16" s="1"/>
  <c r="G2071" i="16"/>
  <c r="H40" i="16" s="1"/>
  <c r="L40" i="16" s="1"/>
  <c r="AI40" i="16" s="1"/>
  <c r="U2016" i="16"/>
  <c r="S2016" i="16"/>
  <c r="F2017" i="16"/>
  <c r="G39" i="16" s="1"/>
  <c r="G2017" i="16"/>
  <c r="H39" i="16" s="1"/>
  <c r="L39" i="16" s="1"/>
  <c r="AI39" i="16" s="1"/>
  <c r="U1962" i="16"/>
  <c r="C1963" i="16" s="1"/>
  <c r="D38" i="16" s="1"/>
  <c r="S1962" i="16"/>
  <c r="S1908" i="16"/>
  <c r="U1908" i="16"/>
  <c r="C1909" i="16" s="1"/>
  <c r="D37" i="16" s="1"/>
  <c r="U1800" i="16"/>
  <c r="C1801" i="16" s="1"/>
  <c r="D35" i="16" s="1"/>
  <c r="S1800" i="16"/>
  <c r="F1801" i="16"/>
  <c r="G35" i="16" s="1"/>
  <c r="D1801" i="16"/>
  <c r="E35" i="16" s="1"/>
  <c r="E1801" i="16"/>
  <c r="F35" i="16" s="1"/>
  <c r="G1801" i="16"/>
  <c r="H35" i="16" s="1"/>
  <c r="L35" i="16" s="1"/>
  <c r="AI35" i="16" s="1"/>
  <c r="U1746" i="16"/>
  <c r="S1746" i="16"/>
  <c r="S1692" i="16"/>
  <c r="U1692" i="16"/>
  <c r="U1638" i="16"/>
  <c r="S1638" i="16"/>
  <c r="U1584" i="16"/>
  <c r="C1585" i="16" s="1"/>
  <c r="D31" i="16" s="1"/>
  <c r="S1584" i="16"/>
  <c r="F1585" i="16"/>
  <c r="G31" i="16" s="1"/>
  <c r="D1585" i="16"/>
  <c r="E31" i="16" s="1"/>
  <c r="G1585" i="16"/>
  <c r="H31" i="16" s="1"/>
  <c r="L31" i="16" s="1"/>
  <c r="AI31" i="16" s="1"/>
  <c r="E1585" i="16"/>
  <c r="F31" i="16" s="1"/>
  <c r="U1530" i="16"/>
  <c r="S1530" i="16"/>
  <c r="S1476" i="16"/>
  <c r="U1476" i="16"/>
  <c r="U1314" i="16"/>
  <c r="C1315" i="16" s="1"/>
  <c r="D26" i="16" s="1"/>
  <c r="S1314" i="16"/>
  <c r="D1315" i="16"/>
  <c r="E26" i="16" s="1"/>
  <c r="F1315" i="16"/>
  <c r="G26" i="16" s="1"/>
  <c r="G1315" i="16"/>
  <c r="H26" i="16" s="1"/>
  <c r="L26" i="16" s="1"/>
  <c r="AI26" i="16" s="1"/>
  <c r="E1315" i="16"/>
  <c r="F26" i="16" s="1"/>
  <c r="AC25" i="16"/>
  <c r="K25" i="16"/>
  <c r="U1206" i="16"/>
  <c r="S1206" i="16"/>
  <c r="U1152" i="16"/>
  <c r="S1152" i="16"/>
  <c r="U1044" i="16"/>
  <c r="S1044" i="16"/>
  <c r="F1045" i="16"/>
  <c r="G21" i="16" s="1"/>
  <c r="D1045" i="16"/>
  <c r="E21" i="16" s="1"/>
  <c r="S990" i="16"/>
  <c r="U990" i="16"/>
  <c r="U936" i="16"/>
  <c r="S936" i="16"/>
  <c r="U882" i="16"/>
  <c r="S882" i="16"/>
  <c r="S774" i="16"/>
  <c r="U774" i="16"/>
  <c r="U720" i="16"/>
  <c r="S720" i="16"/>
  <c r="U666" i="16"/>
  <c r="S666" i="16"/>
  <c r="U612" i="16"/>
  <c r="S612" i="16"/>
  <c r="S558" i="16"/>
  <c r="U558" i="16"/>
  <c r="U504" i="16"/>
  <c r="S504" i="16"/>
  <c r="U288" i="16"/>
  <c r="S288" i="16"/>
  <c r="U234" i="16"/>
  <c r="S234" i="16"/>
  <c r="BB72" i="4"/>
  <c r="F96" i="7" s="1"/>
  <c r="BA72" i="4"/>
  <c r="F95" i="7" s="1"/>
  <c r="AZ72" i="4"/>
  <c r="F94" i="7" s="1"/>
  <c r="AY72" i="4"/>
  <c r="F93" i="7" s="1"/>
  <c r="AX72" i="4"/>
  <c r="F92" i="7" s="1"/>
  <c r="AW72" i="4"/>
  <c r="F91" i="7" s="1"/>
  <c r="AV72" i="4"/>
  <c r="F90" i="7" s="1"/>
  <c r="AI72" i="4"/>
  <c r="F77" i="7" s="1"/>
  <c r="AH72" i="4"/>
  <c r="F76" i="7" s="1"/>
  <c r="AG72" i="4"/>
  <c r="F75" i="7" s="1"/>
  <c r="AF72" i="4"/>
  <c r="F74" i="7" s="1"/>
  <c r="AE72" i="4"/>
  <c r="F73" i="7" s="1"/>
  <c r="AD72" i="4"/>
  <c r="F72" i="7" s="1"/>
  <c r="AC72" i="4"/>
  <c r="F71" i="7" s="1"/>
  <c r="AB72" i="4"/>
  <c r="F70" i="7" s="1"/>
  <c r="AA72" i="4"/>
  <c r="F69" i="7" s="1"/>
  <c r="Z72" i="4"/>
  <c r="F68" i="7" s="1"/>
  <c r="U64" i="4"/>
  <c r="S64" i="4"/>
  <c r="F56" i="7"/>
  <c r="BE67" i="4"/>
  <c r="BE73" i="4"/>
  <c r="BE66" i="4"/>
  <c r="BD73" i="4"/>
  <c r="BD67" i="4"/>
  <c r="BD66" i="4"/>
  <c r="BC66" i="4"/>
  <c r="BC73" i="4"/>
  <c r="BC67" i="4"/>
  <c r="AQ67" i="4"/>
  <c r="AQ66" i="4"/>
  <c r="AQ73" i="4"/>
  <c r="AP66" i="4"/>
  <c r="AP67" i="4"/>
  <c r="AP73" i="4"/>
  <c r="AO73" i="4"/>
  <c r="AO66" i="4"/>
  <c r="AO67" i="4"/>
  <c r="Y67" i="4"/>
  <c r="Y73" i="4"/>
  <c r="Y66" i="4"/>
  <c r="V66" i="4"/>
  <c r="V73" i="4"/>
  <c r="V67" i="4"/>
  <c r="U4205" i="16"/>
  <c r="S4205" i="16"/>
  <c r="U4097" i="16"/>
  <c r="S4097" i="16"/>
  <c r="U3797" i="16"/>
  <c r="S3797" i="16"/>
  <c r="U3689" i="16"/>
  <c r="S3689" i="16"/>
  <c r="U3527" i="16"/>
  <c r="S3527" i="16"/>
  <c r="U3419" i="16"/>
  <c r="S3419" i="16"/>
  <c r="S3257" i="16"/>
  <c r="U3257" i="16"/>
  <c r="U3149" i="16"/>
  <c r="S3149" i="16"/>
  <c r="U3041" i="16"/>
  <c r="S3041" i="16"/>
  <c r="U2987" i="16"/>
  <c r="S2987" i="16"/>
  <c r="U2771" i="16"/>
  <c r="S2771" i="16"/>
  <c r="U2717" i="16"/>
  <c r="S2717" i="16"/>
  <c r="U2555" i="16"/>
  <c r="S2555" i="16"/>
  <c r="U2447" i="16"/>
  <c r="S2447" i="16"/>
  <c r="S2339" i="16"/>
  <c r="U2339" i="16"/>
  <c r="U1745" i="16"/>
  <c r="D1747" i="16" s="1"/>
  <c r="E34" i="16" s="1"/>
  <c r="S1745" i="16"/>
  <c r="U1529" i="16"/>
  <c r="S1529" i="16"/>
  <c r="U1367" i="16"/>
  <c r="S1367" i="16"/>
  <c r="S1259" i="16"/>
  <c r="U1259" i="16"/>
  <c r="U989" i="16"/>
  <c r="S989" i="16"/>
  <c r="U827" i="16"/>
  <c r="S827" i="16"/>
  <c r="S773" i="16"/>
  <c r="U773" i="16"/>
  <c r="U719" i="16"/>
  <c r="S719" i="16"/>
  <c r="S557" i="16"/>
  <c r="U557" i="16"/>
  <c r="U503" i="16"/>
  <c r="E505" i="16" s="1"/>
  <c r="F11" i="16" s="1"/>
  <c r="S503" i="16"/>
  <c r="S125" i="16"/>
  <c r="U125" i="16"/>
  <c r="N4560" i="16"/>
  <c r="B4561" i="16" s="1"/>
  <c r="M4560" i="16"/>
  <c r="M4260" i="16"/>
  <c r="N4260" i="16"/>
  <c r="M3798" i="16"/>
  <c r="N3798" i="16"/>
  <c r="M3744" i="16"/>
  <c r="N3744" i="16"/>
  <c r="M3690" i="16"/>
  <c r="N3690" i="16"/>
  <c r="K65" i="16"/>
  <c r="AC65" i="16"/>
  <c r="M3366" i="16"/>
  <c r="N3366" i="16"/>
  <c r="M3096" i="16"/>
  <c r="N3096" i="16"/>
  <c r="N2772" i="16"/>
  <c r="M2772" i="16"/>
  <c r="AC53" i="16"/>
  <c r="K53" i="16"/>
  <c r="M2718" i="16"/>
  <c r="N2718" i="16"/>
  <c r="N2610" i="16"/>
  <c r="M2610" i="16"/>
  <c r="M2556" i="16"/>
  <c r="N2556" i="16"/>
  <c r="K47" i="16"/>
  <c r="AC47" i="16"/>
  <c r="M2340" i="16"/>
  <c r="N2340" i="16"/>
  <c r="K42" i="16"/>
  <c r="AC42" i="16"/>
  <c r="M1854" i="16"/>
  <c r="N1854" i="16"/>
  <c r="N1422" i="16"/>
  <c r="M1422" i="16"/>
  <c r="M1368" i="16"/>
  <c r="N1368" i="16"/>
  <c r="N1260" i="16"/>
  <c r="M1260" i="16"/>
  <c r="M1098" i="16"/>
  <c r="N1098" i="16"/>
  <c r="M828" i="16"/>
  <c r="N828" i="16"/>
  <c r="M450" i="16"/>
  <c r="N450" i="16"/>
  <c r="M396" i="16"/>
  <c r="N396" i="16"/>
  <c r="M342" i="16"/>
  <c r="N342" i="16"/>
  <c r="M180" i="16"/>
  <c r="N180" i="16"/>
  <c r="M126" i="16"/>
  <c r="N126" i="16"/>
  <c r="AK72" i="4"/>
  <c r="F79" i="7" s="1"/>
  <c r="AJ72" i="4"/>
  <c r="F78" i="7" s="1"/>
  <c r="X72" i="4"/>
  <c r="F66" i="7" s="1"/>
  <c r="W72" i="4"/>
  <c r="F65" i="7" s="1"/>
  <c r="C28" i="12"/>
  <c r="G64" i="9"/>
  <c r="L8" i="5"/>
  <c r="G15" i="13"/>
  <c r="E15" i="13"/>
  <c r="E21" i="13"/>
  <c r="G21" i="13" s="1"/>
  <c r="C26" i="2"/>
  <c r="D26" i="2"/>
  <c r="L9" i="5"/>
  <c r="C2827" i="16"/>
  <c r="D54" i="16" s="1"/>
  <c r="B4615" i="16"/>
  <c r="D4261" i="16"/>
  <c r="G17" i="10" s="1"/>
  <c r="D4207" i="16"/>
  <c r="F17" i="10" s="1"/>
  <c r="D4153" i="16"/>
  <c r="E17" i="10" s="1"/>
  <c r="D4099" i="16"/>
  <c r="D17" i="10" s="1"/>
  <c r="F3799" i="16"/>
  <c r="G72" i="16" s="1"/>
  <c r="AC72" i="16" s="1"/>
  <c r="G3799" i="16"/>
  <c r="H72" i="16" s="1"/>
  <c r="F3745" i="16"/>
  <c r="G71" i="16" s="1"/>
  <c r="AC71" i="16" s="1"/>
  <c r="G3745" i="16"/>
  <c r="H71" i="16" s="1"/>
  <c r="F3691" i="16"/>
  <c r="G70" i="16" s="1"/>
  <c r="AC70" i="16" s="1"/>
  <c r="F3637" i="16"/>
  <c r="G69" i="16" s="1"/>
  <c r="AC69" i="16" s="1"/>
  <c r="F3583" i="16"/>
  <c r="G68" i="16" s="1"/>
  <c r="AC68" i="16" s="1"/>
  <c r="G3583" i="16"/>
  <c r="H68" i="16" s="1"/>
  <c r="F3529" i="16"/>
  <c r="G67" i="16" s="1"/>
  <c r="AC67" i="16" s="1"/>
  <c r="G3529" i="16"/>
  <c r="H67" i="16" s="1"/>
  <c r="F3475" i="16"/>
  <c r="G66" i="16" s="1"/>
  <c r="G3475" i="16"/>
  <c r="H66" i="16" s="1"/>
  <c r="L66" i="16" s="1"/>
  <c r="AI66" i="16" s="1"/>
  <c r="F3367" i="16"/>
  <c r="G64" i="16" s="1"/>
  <c r="G3367" i="16"/>
  <c r="H64" i="16" s="1"/>
  <c r="L64" i="16" s="1"/>
  <c r="AI64" i="16" s="1"/>
  <c r="F3313" i="16"/>
  <c r="G63" i="16" s="1"/>
  <c r="F3259" i="16"/>
  <c r="G62" i="16" s="1"/>
  <c r="G3259" i="16"/>
  <c r="H62" i="16" s="1"/>
  <c r="L62" i="16" s="1"/>
  <c r="AI62" i="16" s="1"/>
  <c r="F3205" i="16"/>
  <c r="G61" i="16" s="1"/>
  <c r="G3205" i="16"/>
  <c r="H61" i="16" s="1"/>
  <c r="L61" i="16" s="1"/>
  <c r="AI61" i="16" s="1"/>
  <c r="F3151" i="16"/>
  <c r="G60" i="16" s="1"/>
  <c r="G3151" i="16"/>
  <c r="H60" i="16" s="1"/>
  <c r="L60" i="16" s="1"/>
  <c r="AI60" i="16" s="1"/>
  <c r="F3043" i="16"/>
  <c r="G58" i="16" s="1"/>
  <c r="G3043" i="16"/>
  <c r="H58" i="16" s="1"/>
  <c r="L58" i="16" s="1"/>
  <c r="AI58" i="16" s="1"/>
  <c r="E3043" i="16"/>
  <c r="F58" i="16" s="1"/>
  <c r="F2989" i="16"/>
  <c r="G57" i="16" s="1"/>
  <c r="D2989" i="16"/>
  <c r="E57" i="16" s="1"/>
  <c r="G2989" i="16"/>
  <c r="H57" i="16" s="1"/>
  <c r="L57" i="16" s="1"/>
  <c r="AI57" i="16" s="1"/>
  <c r="E2989" i="16"/>
  <c r="F57" i="16" s="1"/>
  <c r="D2935" i="16"/>
  <c r="E56" i="16" s="1"/>
  <c r="F2935" i="16"/>
  <c r="G56" i="16" s="1"/>
  <c r="G2935" i="16"/>
  <c r="H56" i="16" s="1"/>
  <c r="L56" i="16" s="1"/>
  <c r="AI56" i="16" s="1"/>
  <c r="E2935" i="16"/>
  <c r="F56" i="16" s="1"/>
  <c r="F2881" i="16"/>
  <c r="G55" i="16" s="1"/>
  <c r="D2881" i="16"/>
  <c r="E55" i="16" s="1"/>
  <c r="E2881" i="16"/>
  <c r="F55" i="16" s="1"/>
  <c r="G2881" i="16"/>
  <c r="H55" i="16" s="1"/>
  <c r="L55" i="16" s="1"/>
  <c r="AI55" i="16" s="1"/>
  <c r="F2719" i="16"/>
  <c r="G52" i="16" s="1"/>
  <c r="G2719" i="16"/>
  <c r="H52" i="16" s="1"/>
  <c r="L52" i="16" s="1"/>
  <c r="AI52" i="16" s="1"/>
  <c r="F2665" i="16"/>
  <c r="G51" i="16" s="1"/>
  <c r="G2665" i="16"/>
  <c r="H51" i="16" s="1"/>
  <c r="L51" i="16" s="1"/>
  <c r="AI51" i="16" s="1"/>
  <c r="F2557" i="16"/>
  <c r="G49" i="16" s="1"/>
  <c r="G2557" i="16"/>
  <c r="H49" i="16" s="1"/>
  <c r="L49" i="16" s="1"/>
  <c r="AI49" i="16" s="1"/>
  <c r="F2395" i="16"/>
  <c r="G46" i="16" s="1"/>
  <c r="G2395" i="16"/>
  <c r="H46" i="16" s="1"/>
  <c r="L46" i="16" s="1"/>
  <c r="AI46" i="16" s="1"/>
  <c r="G2179" i="16"/>
  <c r="H42" i="16" s="1"/>
  <c r="L42" i="16" s="1"/>
  <c r="AI42" i="16" s="1"/>
  <c r="F2125" i="16"/>
  <c r="G41" i="16" s="1"/>
  <c r="G2125" i="16"/>
  <c r="H41" i="16" s="1"/>
  <c r="L41" i="16" s="1"/>
  <c r="AI41" i="16" s="1"/>
  <c r="F2071" i="16"/>
  <c r="G40" i="16" s="1"/>
  <c r="D1963" i="16"/>
  <c r="E38" i="16" s="1"/>
  <c r="F1963" i="16"/>
  <c r="G38" i="16" s="1"/>
  <c r="G1963" i="16"/>
  <c r="H38" i="16" s="1"/>
  <c r="L38" i="16" s="1"/>
  <c r="AI38" i="16" s="1"/>
  <c r="E1963" i="16"/>
  <c r="F38" i="16" s="1"/>
  <c r="D1909" i="16"/>
  <c r="E37" i="16" s="1"/>
  <c r="F1909" i="16"/>
  <c r="G37" i="16" s="1"/>
  <c r="E1909" i="16"/>
  <c r="F37" i="16" s="1"/>
  <c r="G1909" i="16"/>
  <c r="H37" i="16" s="1"/>
  <c r="L37" i="16" s="1"/>
  <c r="AI37" i="16" s="1"/>
  <c r="F1855" i="16"/>
  <c r="G36" i="16" s="1"/>
  <c r="G1855" i="16"/>
  <c r="H36" i="16" s="1"/>
  <c r="L36" i="16" s="1"/>
  <c r="AI36" i="16" s="1"/>
  <c r="F1747" i="16"/>
  <c r="G34" i="16" s="1"/>
  <c r="G1747" i="16"/>
  <c r="H34" i="16" s="1"/>
  <c r="L34" i="16" s="1"/>
  <c r="AI34" i="16" s="1"/>
  <c r="F1693" i="16"/>
  <c r="G33" i="16" s="1"/>
  <c r="G1693" i="16"/>
  <c r="H33" i="16" s="1"/>
  <c r="L33" i="16" s="1"/>
  <c r="AI33" i="16" s="1"/>
  <c r="F1639" i="16"/>
  <c r="G32" i="16" s="1"/>
  <c r="G1639" i="16"/>
  <c r="H32" i="16" s="1"/>
  <c r="L32" i="16" s="1"/>
  <c r="AI32" i="16" s="1"/>
  <c r="F1531" i="16"/>
  <c r="G30" i="16" s="1"/>
  <c r="G1531" i="16"/>
  <c r="H30" i="16" s="1"/>
  <c r="L30" i="16" s="1"/>
  <c r="AI30" i="16" s="1"/>
  <c r="F1477" i="16"/>
  <c r="G29" i="16" s="1"/>
  <c r="G1477" i="16"/>
  <c r="H29" i="16" s="1"/>
  <c r="L29" i="16" s="1"/>
  <c r="AI29" i="16" s="1"/>
  <c r="F1423" i="16"/>
  <c r="G28" i="16" s="1"/>
  <c r="G1423" i="16"/>
  <c r="H28" i="16" s="1"/>
  <c r="L28" i="16" s="1"/>
  <c r="AI28" i="16" s="1"/>
  <c r="F1369" i="16"/>
  <c r="G27" i="16" s="1"/>
  <c r="G1369" i="16"/>
  <c r="H27" i="16" s="1"/>
  <c r="L27" i="16" s="1"/>
  <c r="AI27" i="16" s="1"/>
  <c r="F1207" i="16"/>
  <c r="G24" i="16" s="1"/>
  <c r="G1207" i="16"/>
  <c r="H24" i="16" s="1"/>
  <c r="L24" i="16" s="1"/>
  <c r="AI24" i="16" s="1"/>
  <c r="F1153" i="16"/>
  <c r="G23" i="16" s="1"/>
  <c r="G1153" i="16"/>
  <c r="H23" i="16" s="1"/>
  <c r="L23" i="16" s="1"/>
  <c r="AI23" i="16" s="1"/>
  <c r="E1153" i="16"/>
  <c r="F23" i="16" s="1"/>
  <c r="F1099" i="16"/>
  <c r="G22" i="16" s="1"/>
  <c r="G1099" i="16"/>
  <c r="H22" i="16" s="1"/>
  <c r="L22" i="16" s="1"/>
  <c r="AI22" i="16" s="1"/>
  <c r="G1045" i="16"/>
  <c r="H21" i="16" s="1"/>
  <c r="L21" i="16" s="1"/>
  <c r="AI21" i="16" s="1"/>
  <c r="F991" i="16"/>
  <c r="G20" i="16" s="1"/>
  <c r="G991" i="16"/>
  <c r="H20" i="16" s="1"/>
  <c r="L20" i="16" s="1"/>
  <c r="AI20" i="16" s="1"/>
  <c r="F937" i="16"/>
  <c r="G19" i="16" s="1"/>
  <c r="G937" i="16"/>
  <c r="H19" i="16" s="1"/>
  <c r="L19" i="16" s="1"/>
  <c r="AI19" i="16" s="1"/>
  <c r="F883" i="16"/>
  <c r="G18" i="16" s="1"/>
  <c r="G883" i="16"/>
  <c r="H18" i="16" s="1"/>
  <c r="L18" i="16" s="1"/>
  <c r="AI18" i="16" s="1"/>
  <c r="X22" i="9" s="1"/>
  <c r="F829" i="16"/>
  <c r="G17" i="16" s="1"/>
  <c r="G829" i="16"/>
  <c r="H17" i="16" s="1"/>
  <c r="L17" i="16" s="1"/>
  <c r="AI17" i="16" s="1"/>
  <c r="X21" i="9" s="1"/>
  <c r="F775" i="16"/>
  <c r="G16" i="16" s="1"/>
  <c r="G775" i="16"/>
  <c r="H16" i="16" s="1"/>
  <c r="L16" i="16" s="1"/>
  <c r="AI16" i="16" s="1"/>
  <c r="X20" i="9" s="1"/>
  <c r="F721" i="16"/>
  <c r="G15" i="16" s="1"/>
  <c r="G721" i="16"/>
  <c r="H15" i="16" s="1"/>
  <c r="L15" i="16" s="1"/>
  <c r="AI15" i="16" s="1"/>
  <c r="X19" i="9" s="1"/>
  <c r="F667" i="16"/>
  <c r="G14" i="16" s="1"/>
  <c r="G667" i="16"/>
  <c r="H14" i="16" s="1"/>
  <c r="L14" i="16" s="1"/>
  <c r="AI14" i="16" s="1"/>
  <c r="F613" i="16"/>
  <c r="G13" i="16" s="1"/>
  <c r="G613" i="16"/>
  <c r="H13" i="16" s="1"/>
  <c r="L13" i="16" s="1"/>
  <c r="AI13" i="16" s="1"/>
  <c r="F559" i="16"/>
  <c r="G12" i="16" s="1"/>
  <c r="G559" i="16"/>
  <c r="H12" i="16" s="1"/>
  <c r="L12" i="16" s="1"/>
  <c r="AI12" i="16" s="1"/>
  <c r="X16" i="9" s="1"/>
  <c r="F505" i="16"/>
  <c r="G11" i="16" s="1"/>
  <c r="D505" i="16"/>
  <c r="E11" i="16" s="1"/>
  <c r="G505" i="16"/>
  <c r="H11" i="16" s="1"/>
  <c r="L11" i="16" s="1"/>
  <c r="AI11" i="16" s="1"/>
  <c r="X15" i="9" s="1"/>
  <c r="F451" i="16"/>
  <c r="G10" i="16" s="1"/>
  <c r="G451" i="16"/>
  <c r="H10" i="16" s="1"/>
  <c r="L10" i="16" s="1"/>
  <c r="AI10" i="16" s="1"/>
  <c r="F397" i="16"/>
  <c r="G9" i="16" s="1"/>
  <c r="G397" i="16"/>
  <c r="H9" i="16" s="1"/>
  <c r="L9" i="16" s="1"/>
  <c r="AI9" i="16" s="1"/>
  <c r="F343" i="16"/>
  <c r="G8" i="16" s="1"/>
  <c r="G343" i="16"/>
  <c r="H8" i="16" s="1"/>
  <c r="L8" i="16" s="1"/>
  <c r="AI8" i="16" s="1"/>
  <c r="X12" i="9" s="1"/>
  <c r="F289" i="16"/>
  <c r="G7" i="16" s="1"/>
  <c r="AC7" i="16" s="1"/>
  <c r="G289" i="16"/>
  <c r="H7" i="16" s="1"/>
  <c r="F235" i="16"/>
  <c r="G6" i="16" s="1"/>
  <c r="G235" i="16"/>
  <c r="H6" i="16" s="1"/>
  <c r="L6" i="16" s="1"/>
  <c r="AI6" i="16" s="1"/>
  <c r="F181" i="16"/>
  <c r="G5" i="16" s="1"/>
  <c r="G181" i="16"/>
  <c r="H5" i="16" s="1"/>
  <c r="L5" i="16" s="1"/>
  <c r="AI5" i="16" s="1"/>
  <c r="F127" i="16"/>
  <c r="G4" i="16" s="1"/>
  <c r="G127" i="16"/>
  <c r="H4" i="16" s="1"/>
  <c r="L4" i="16" s="1"/>
  <c r="AI4" i="16" s="1"/>
  <c r="C98" i="7"/>
  <c r="G98" i="7" s="1"/>
  <c r="AU73" i="4"/>
  <c r="AU67" i="4"/>
  <c r="AT73" i="4"/>
  <c r="AT67" i="4"/>
  <c r="AT66" i="4"/>
  <c r="AS67" i="4"/>
  <c r="AS66" i="4"/>
  <c r="AS73" i="4"/>
  <c r="AR67" i="4"/>
  <c r="AR73" i="4"/>
  <c r="AR66" i="4"/>
  <c r="AN73" i="4"/>
  <c r="AN66" i="4"/>
  <c r="AN67" i="4"/>
  <c r="AM67" i="4"/>
  <c r="AM66" i="4"/>
  <c r="AM73" i="4"/>
  <c r="AL73" i="4"/>
  <c r="AL66" i="4"/>
  <c r="AL67" i="4"/>
  <c r="C12" i="11"/>
  <c r="C11" i="11"/>
  <c r="S4721" i="16"/>
  <c r="D3043" i="16" l="1"/>
  <c r="E58" i="16" s="1"/>
  <c r="E3529" i="16"/>
  <c r="F67" i="16" s="1"/>
  <c r="E1747" i="16"/>
  <c r="F34" i="16" s="1"/>
  <c r="X24" i="9"/>
  <c r="X23" i="9"/>
  <c r="X18" i="9"/>
  <c r="X17" i="9"/>
  <c r="X14" i="9"/>
  <c r="X13" i="9"/>
  <c r="J54" i="16"/>
  <c r="Q54" i="16"/>
  <c r="L56" i="8" s="1"/>
  <c r="C2287" i="16"/>
  <c r="D44" i="16" s="1"/>
  <c r="E2287" i="16"/>
  <c r="F44" i="16" s="1"/>
  <c r="C2125" i="16"/>
  <c r="D41" i="16" s="1"/>
  <c r="D2125" i="16"/>
  <c r="E41" i="16" s="1"/>
  <c r="E2125" i="16"/>
  <c r="F41" i="16" s="1"/>
  <c r="C2071" i="16"/>
  <c r="D40" i="16" s="1"/>
  <c r="D2071" i="16"/>
  <c r="E40" i="16" s="1"/>
  <c r="C2017" i="16"/>
  <c r="D39" i="16" s="1"/>
  <c r="D2017" i="16"/>
  <c r="E39" i="16" s="1"/>
  <c r="E2017" i="16"/>
  <c r="F39" i="16" s="1"/>
  <c r="C1207" i="16"/>
  <c r="D24" i="16" s="1"/>
  <c r="D1207" i="16"/>
  <c r="E24" i="16" s="1"/>
  <c r="E1207" i="16"/>
  <c r="F24" i="16" s="1"/>
  <c r="C1153" i="16"/>
  <c r="D23" i="16" s="1"/>
  <c r="D1153" i="16"/>
  <c r="E23" i="16" s="1"/>
  <c r="C1045" i="16"/>
  <c r="D21" i="16" s="1"/>
  <c r="E1045" i="16"/>
  <c r="F21" i="16" s="1"/>
  <c r="C937" i="16"/>
  <c r="D19" i="16" s="1"/>
  <c r="D937" i="16"/>
  <c r="E19" i="16" s="1"/>
  <c r="E937" i="16"/>
  <c r="F19" i="16" s="1"/>
  <c r="C883" i="16"/>
  <c r="D18" i="16" s="1"/>
  <c r="D883" i="16"/>
  <c r="E18" i="16" s="1"/>
  <c r="E883" i="16"/>
  <c r="F18" i="16" s="1"/>
  <c r="E775" i="16"/>
  <c r="F16" i="16" s="1"/>
  <c r="D775" i="16"/>
  <c r="E16" i="16" s="1"/>
  <c r="D721" i="16"/>
  <c r="E15" i="16" s="1"/>
  <c r="E721" i="16"/>
  <c r="F15" i="16" s="1"/>
  <c r="C667" i="16"/>
  <c r="D14" i="16" s="1"/>
  <c r="D667" i="16"/>
  <c r="E14" i="16" s="1"/>
  <c r="E667" i="16"/>
  <c r="F14" i="16" s="1"/>
  <c r="C613" i="16"/>
  <c r="D13" i="16" s="1"/>
  <c r="D613" i="16"/>
  <c r="E13" i="16" s="1"/>
  <c r="E613" i="16"/>
  <c r="F13" i="16" s="1"/>
  <c r="D559" i="16"/>
  <c r="E12" i="16" s="1"/>
  <c r="E559" i="16"/>
  <c r="F12" i="16" s="1"/>
  <c r="D991" i="16"/>
  <c r="E20" i="16" s="1"/>
  <c r="E991" i="16"/>
  <c r="F20" i="16" s="1"/>
  <c r="J69" i="16"/>
  <c r="J63" i="16"/>
  <c r="AD59" i="16"/>
  <c r="J61" i="8"/>
  <c r="AB54" i="16"/>
  <c r="N54" i="16"/>
  <c r="I56" i="8"/>
  <c r="K50" i="16"/>
  <c r="AC50" i="16"/>
  <c r="AC48" i="16"/>
  <c r="K48" i="16"/>
  <c r="AA48" i="16"/>
  <c r="P48" i="16"/>
  <c r="K50" i="8" s="1"/>
  <c r="I48" i="16"/>
  <c r="J48" i="16"/>
  <c r="Q48" i="16"/>
  <c r="L50" i="8" s="1"/>
  <c r="K45" i="16"/>
  <c r="AC45" i="16"/>
  <c r="AA44" i="16"/>
  <c r="P44" i="16"/>
  <c r="K46" i="8" s="1"/>
  <c r="I44" i="16"/>
  <c r="AC44" i="16"/>
  <c r="K44" i="16"/>
  <c r="AC43" i="16"/>
  <c r="K43" i="16"/>
  <c r="AA43" i="16"/>
  <c r="P43" i="16"/>
  <c r="K45" i="8" s="1"/>
  <c r="I43" i="16"/>
  <c r="J43" i="16"/>
  <c r="Q43" i="16"/>
  <c r="L45" i="8" s="1"/>
  <c r="J40" i="16"/>
  <c r="K39" i="16"/>
  <c r="AC39" i="16"/>
  <c r="K35" i="16"/>
  <c r="AC35" i="16"/>
  <c r="AA35" i="16"/>
  <c r="P35" i="16"/>
  <c r="K37" i="8" s="1"/>
  <c r="I35" i="16"/>
  <c r="J35" i="16"/>
  <c r="Q35" i="16"/>
  <c r="L37" i="8" s="1"/>
  <c r="AC31" i="16"/>
  <c r="K31" i="16"/>
  <c r="AA31" i="16"/>
  <c r="P31" i="16"/>
  <c r="K33" i="8" s="1"/>
  <c r="I31" i="16"/>
  <c r="J31" i="16"/>
  <c r="Q31" i="16"/>
  <c r="L33" i="8" s="1"/>
  <c r="AA26" i="16"/>
  <c r="P26" i="16"/>
  <c r="K28" i="8" s="1"/>
  <c r="I26" i="16"/>
  <c r="K26" i="16"/>
  <c r="AC26" i="16"/>
  <c r="J26" i="16"/>
  <c r="Q26" i="16"/>
  <c r="L28" i="8" s="1"/>
  <c r="AD25" i="16"/>
  <c r="J27" i="8"/>
  <c r="AC21" i="16"/>
  <c r="K21" i="16"/>
  <c r="AA21" i="16"/>
  <c r="P21" i="16"/>
  <c r="K23" i="8" s="1"/>
  <c r="I21" i="16"/>
  <c r="AU66" i="4"/>
  <c r="AU68" i="4" s="1"/>
  <c r="AX66" i="4"/>
  <c r="AX68" i="4" s="1"/>
  <c r="AY66" i="4"/>
  <c r="AY68" i="4" s="1"/>
  <c r="AZ66" i="4"/>
  <c r="BA66" i="4"/>
  <c r="BA68" i="4" s="1"/>
  <c r="BB66" i="4"/>
  <c r="BB68" i="4" s="1"/>
  <c r="AV66" i="4"/>
  <c r="AV68" i="4" s="1"/>
  <c r="AW66" i="4"/>
  <c r="BE70" i="4"/>
  <c r="BD69" i="4"/>
  <c r="BD70" i="4"/>
  <c r="BC69" i="4"/>
  <c r="BC70" i="4"/>
  <c r="BB69" i="4"/>
  <c r="BB70" i="4"/>
  <c r="BE69" i="4"/>
  <c r="BA70" i="4"/>
  <c r="BA69" i="4"/>
  <c r="AY69" i="4"/>
  <c r="AY70" i="4"/>
  <c r="AZ70" i="4"/>
  <c r="AZ69" i="4"/>
  <c r="AX69" i="4"/>
  <c r="AX70" i="4"/>
  <c r="AW69" i="4"/>
  <c r="AV69" i="4"/>
  <c r="AV70" i="4"/>
  <c r="AW70" i="4"/>
  <c r="AU70" i="4"/>
  <c r="AU69" i="4"/>
  <c r="AT69" i="4"/>
  <c r="AT70" i="4"/>
  <c r="AR70" i="4"/>
  <c r="AS70" i="4"/>
  <c r="AS69" i="4"/>
  <c r="AQ69" i="4"/>
  <c r="AR69" i="4"/>
  <c r="AQ70" i="4"/>
  <c r="AP70" i="4"/>
  <c r="AP69" i="4"/>
  <c r="AO70" i="4"/>
  <c r="AO69" i="4"/>
  <c r="AN70" i="4"/>
  <c r="AN69" i="4"/>
  <c r="AM70" i="4"/>
  <c r="AM69" i="4"/>
  <c r="AL70" i="4"/>
  <c r="AL69" i="4"/>
  <c r="AK70" i="4"/>
  <c r="AK69" i="4"/>
  <c r="AJ70" i="4"/>
  <c r="AJ69" i="4"/>
  <c r="AI69" i="4"/>
  <c r="AH69" i="4"/>
  <c r="AI70" i="4"/>
  <c r="AG69" i="4"/>
  <c r="AH70" i="4"/>
  <c r="AG70" i="4"/>
  <c r="AF69" i="4"/>
  <c r="AF70" i="4"/>
  <c r="AE69" i="4"/>
  <c r="AE70" i="4"/>
  <c r="AD70" i="4"/>
  <c r="AD69" i="4"/>
  <c r="AC70" i="4"/>
  <c r="AC69" i="4"/>
  <c r="AB70" i="4"/>
  <c r="AB69" i="4"/>
  <c r="AA70" i="4"/>
  <c r="AA69" i="4"/>
  <c r="Z70" i="4"/>
  <c r="Z69" i="4"/>
  <c r="Y70" i="4"/>
  <c r="Y69" i="4"/>
  <c r="X70" i="4"/>
  <c r="X69" i="4"/>
  <c r="V69" i="4"/>
  <c r="W69" i="4"/>
  <c r="W70" i="4"/>
  <c r="V70" i="4"/>
  <c r="C99" i="7"/>
  <c r="G99" i="7" s="1"/>
  <c r="BE68" i="4"/>
  <c r="BE72" i="4"/>
  <c r="F99" i="7" s="1"/>
  <c r="BD68" i="4"/>
  <c r="BD72" i="4"/>
  <c r="F98" i="7" s="1"/>
  <c r="BC72" i="4"/>
  <c r="F97" i="7" s="1"/>
  <c r="BC68" i="4"/>
  <c r="AQ72" i="4"/>
  <c r="F85" i="7" s="1"/>
  <c r="AQ68" i="4"/>
  <c r="D56" i="7"/>
  <c r="I56" i="7" s="1"/>
  <c r="C52" i="7"/>
  <c r="AP68" i="4"/>
  <c r="AP72" i="4"/>
  <c r="F84" i="7" s="1"/>
  <c r="AO72" i="4"/>
  <c r="F83" i="7" s="1"/>
  <c r="AO68" i="4"/>
  <c r="Y72" i="4"/>
  <c r="F67" i="7" s="1"/>
  <c r="Y68" i="4"/>
  <c r="V72" i="4"/>
  <c r="F64" i="7" s="1"/>
  <c r="V68" i="4"/>
  <c r="E3421" i="16"/>
  <c r="F65" i="16" s="1"/>
  <c r="D3421" i="16"/>
  <c r="E65" i="16" s="1"/>
  <c r="D2449" i="16"/>
  <c r="E47" i="16" s="1"/>
  <c r="E2449" i="16"/>
  <c r="F47" i="16" s="1"/>
  <c r="D1261" i="16"/>
  <c r="E25" i="16" s="1"/>
  <c r="C1261" i="16"/>
  <c r="D25" i="16" s="1"/>
  <c r="E1261" i="16"/>
  <c r="F25" i="16" s="1"/>
  <c r="U4260" i="16"/>
  <c r="S4260" i="16"/>
  <c r="U3798" i="16"/>
  <c r="S3798" i="16"/>
  <c r="U3744" i="16"/>
  <c r="S3744" i="16"/>
  <c r="S3690" i="16"/>
  <c r="U3690" i="16"/>
  <c r="AD65" i="16"/>
  <c r="J67" i="8"/>
  <c r="U3366" i="16"/>
  <c r="S3366" i="16"/>
  <c r="U3096" i="16"/>
  <c r="S3096" i="16"/>
  <c r="U2772" i="16"/>
  <c r="S2772" i="16"/>
  <c r="J55" i="8"/>
  <c r="AD53" i="16"/>
  <c r="U2718" i="16"/>
  <c r="S2718" i="16"/>
  <c r="U2610" i="16"/>
  <c r="S2610" i="16"/>
  <c r="U2556" i="16"/>
  <c r="S2556" i="16"/>
  <c r="AD47" i="16"/>
  <c r="J49" i="8"/>
  <c r="U2340" i="16"/>
  <c r="S2340" i="16"/>
  <c r="AD42" i="16"/>
  <c r="J44" i="8"/>
  <c r="U1854" i="16"/>
  <c r="S1854" i="16"/>
  <c r="U1422" i="16"/>
  <c r="S1422" i="16"/>
  <c r="U1368" i="16"/>
  <c r="S1368" i="16"/>
  <c r="U1260" i="16"/>
  <c r="S1260" i="16"/>
  <c r="U1098" i="16"/>
  <c r="S1098" i="16"/>
  <c r="U828" i="16"/>
  <c r="S828" i="16"/>
  <c r="U450" i="16"/>
  <c r="S450" i="16"/>
  <c r="U396" i="16"/>
  <c r="S396" i="16"/>
  <c r="S342" i="16"/>
  <c r="U342" i="16"/>
  <c r="U180" i="16"/>
  <c r="S180" i="16"/>
  <c r="S126" i="16"/>
  <c r="U126" i="16"/>
  <c r="C27" i="2"/>
  <c r="C17" i="10"/>
  <c r="C14" i="11"/>
  <c r="C15" i="11" s="1"/>
  <c r="C16" i="11" s="1"/>
  <c r="C17" i="11" s="1"/>
  <c r="E64" i="9"/>
  <c r="E24" i="13"/>
  <c r="G24" i="13" s="1"/>
  <c r="C34" i="6"/>
  <c r="D27" i="2"/>
  <c r="F34" i="6"/>
  <c r="I67" i="16"/>
  <c r="P67" i="16"/>
  <c r="AA67" i="16"/>
  <c r="K66" i="16"/>
  <c r="AC66" i="16"/>
  <c r="AC64" i="16"/>
  <c r="K64" i="16"/>
  <c r="K63" i="16"/>
  <c r="AC63" i="16"/>
  <c r="AC62" i="16"/>
  <c r="K62" i="16"/>
  <c r="K61" i="16"/>
  <c r="AC61" i="16"/>
  <c r="AC60" i="16"/>
  <c r="K60" i="16"/>
  <c r="AC58" i="16"/>
  <c r="K58" i="16"/>
  <c r="J58" i="16"/>
  <c r="K57" i="16"/>
  <c r="AC57" i="16"/>
  <c r="I57" i="16"/>
  <c r="AA57" i="16"/>
  <c r="P57" i="16"/>
  <c r="K59" i="8" s="1"/>
  <c r="Q57" i="16"/>
  <c r="L59" i="8" s="1"/>
  <c r="J57" i="16"/>
  <c r="I56" i="16"/>
  <c r="P56" i="16"/>
  <c r="K58" i="8" s="1"/>
  <c r="AA56" i="16"/>
  <c r="K56" i="16"/>
  <c r="AC56" i="16"/>
  <c r="Q56" i="16"/>
  <c r="L58" i="8" s="1"/>
  <c r="J56" i="16"/>
  <c r="K55" i="16"/>
  <c r="AC55" i="16"/>
  <c r="AA55" i="16"/>
  <c r="P55" i="16"/>
  <c r="K57" i="8" s="1"/>
  <c r="I55" i="16"/>
  <c r="Q55" i="16"/>
  <c r="L57" i="8" s="1"/>
  <c r="J55" i="16"/>
  <c r="K52" i="16"/>
  <c r="AC52" i="16"/>
  <c r="K51" i="16"/>
  <c r="AC51" i="16"/>
  <c r="AC49" i="16"/>
  <c r="K49" i="16"/>
  <c r="AC46" i="16"/>
  <c r="K46" i="16"/>
  <c r="AC41" i="16"/>
  <c r="K41" i="16"/>
  <c r="K40" i="16"/>
  <c r="AC40" i="16"/>
  <c r="AA38" i="16"/>
  <c r="P38" i="16"/>
  <c r="K40" i="8" s="1"/>
  <c r="I38" i="16"/>
  <c r="AC38" i="16"/>
  <c r="K38" i="16"/>
  <c r="J38" i="16"/>
  <c r="Q38" i="16"/>
  <c r="L40" i="8" s="1"/>
  <c r="I37" i="16"/>
  <c r="AA37" i="16"/>
  <c r="P37" i="16"/>
  <c r="K39" i="8" s="1"/>
  <c r="AC37" i="16"/>
  <c r="K37" i="16"/>
  <c r="Q37" i="16"/>
  <c r="L39" i="8" s="1"/>
  <c r="J37" i="16"/>
  <c r="K36" i="16"/>
  <c r="AC36" i="16"/>
  <c r="K34" i="16"/>
  <c r="AC34" i="16"/>
  <c r="AA34" i="16"/>
  <c r="P34" i="16"/>
  <c r="K36" i="8" s="1"/>
  <c r="I34" i="16"/>
  <c r="AC33" i="16"/>
  <c r="K33" i="16"/>
  <c r="K32" i="16"/>
  <c r="AC32" i="16"/>
  <c r="AC30" i="16"/>
  <c r="K30" i="16"/>
  <c r="K29" i="16"/>
  <c r="AC29" i="16"/>
  <c r="AC28" i="16"/>
  <c r="K28" i="16"/>
  <c r="AC27" i="16"/>
  <c r="K27" i="16"/>
  <c r="K24" i="16"/>
  <c r="AC24" i="16"/>
  <c r="AC23" i="16"/>
  <c r="K23" i="16"/>
  <c r="J23" i="16"/>
  <c r="AC22" i="16"/>
  <c r="K22" i="16"/>
  <c r="AC20" i="16"/>
  <c r="K20" i="16"/>
  <c r="K19" i="16"/>
  <c r="AC19" i="16"/>
  <c r="AC18" i="16"/>
  <c r="K18" i="16"/>
  <c r="K17" i="16"/>
  <c r="AC17" i="16"/>
  <c r="AC16" i="16"/>
  <c r="K16" i="16"/>
  <c r="AC15" i="16"/>
  <c r="K15" i="16"/>
  <c r="AC14" i="16"/>
  <c r="K14" i="16"/>
  <c r="K13" i="16"/>
  <c r="AC13" i="16"/>
  <c r="K12" i="16"/>
  <c r="AC12" i="16"/>
  <c r="R16" i="9" s="1"/>
  <c r="K11" i="16"/>
  <c r="AC11" i="16"/>
  <c r="R15" i="9" s="1"/>
  <c r="I11" i="16"/>
  <c r="AA11" i="16"/>
  <c r="P11" i="16"/>
  <c r="K13" i="8" s="1"/>
  <c r="Q11" i="16"/>
  <c r="L13" i="8" s="1"/>
  <c r="J11" i="16"/>
  <c r="AC10" i="16"/>
  <c r="K10" i="16"/>
  <c r="K9" i="16"/>
  <c r="AC9" i="16"/>
  <c r="AC8" i="16"/>
  <c r="K8" i="16"/>
  <c r="K6" i="16"/>
  <c r="AC6" i="16"/>
  <c r="AC5" i="16"/>
  <c r="K5" i="16"/>
  <c r="K4" i="16"/>
  <c r="AC4" i="16"/>
  <c r="X33" i="9"/>
  <c r="X8" i="9"/>
  <c r="AU72" i="4"/>
  <c r="F89" i="7" s="1"/>
  <c r="AT72" i="4"/>
  <c r="F88" i="7" s="1"/>
  <c r="AT68" i="4"/>
  <c r="AS72" i="4"/>
  <c r="F87" i="7" s="1"/>
  <c r="AS68" i="4"/>
  <c r="AR72" i="4"/>
  <c r="F86" i="7" s="1"/>
  <c r="AR68" i="4"/>
  <c r="D55" i="7"/>
  <c r="I55" i="7" s="1"/>
  <c r="C51" i="7"/>
  <c r="AN72" i="4"/>
  <c r="F82" i="7" s="1"/>
  <c r="AN68" i="4"/>
  <c r="AM68" i="4"/>
  <c r="AM72" i="4"/>
  <c r="F81" i="7" s="1"/>
  <c r="AL72" i="4"/>
  <c r="F80" i="7" s="1"/>
  <c r="AL68" i="4"/>
  <c r="C19" i="11"/>
  <c r="D19" i="11" s="1"/>
  <c r="T4721" i="16"/>
  <c r="T4722" i="16"/>
  <c r="C4723" i="16"/>
  <c r="C56" i="7"/>
  <c r="C3529" i="16"/>
  <c r="D67" i="16" s="1"/>
  <c r="C3259" i="16"/>
  <c r="D62" i="16" s="1"/>
  <c r="C3151" i="16"/>
  <c r="D60" i="16" s="1"/>
  <c r="C3043" i="16"/>
  <c r="D58" i="16" s="1"/>
  <c r="C2989" i="16"/>
  <c r="D57" i="16" s="1"/>
  <c r="C1747" i="16"/>
  <c r="D34" i="16" s="1"/>
  <c r="C1531" i="16"/>
  <c r="D30" i="16" s="1"/>
  <c r="C991" i="16"/>
  <c r="D20" i="16" s="1"/>
  <c r="C775" i="16"/>
  <c r="D16" i="16" s="1"/>
  <c r="C721" i="16"/>
  <c r="D15" i="16" s="1"/>
  <c r="C559" i="16"/>
  <c r="D12" i="16" s="1"/>
  <c r="C505" i="16"/>
  <c r="D11" i="16" s="1"/>
  <c r="C27" i="12"/>
  <c r="X27" i="9"/>
  <c r="X11" i="9"/>
  <c r="X28" i="9"/>
  <c r="X26" i="9"/>
  <c r="X25" i="9"/>
  <c r="X10" i="9"/>
  <c r="X9" i="9"/>
  <c r="C4153" i="16"/>
  <c r="B4153" i="16"/>
  <c r="C3637" i="16"/>
  <c r="D69" i="16" s="1"/>
  <c r="D3637" i="16"/>
  <c r="E69" i="16" s="1"/>
  <c r="Q69" i="16" s="1"/>
  <c r="C3583" i="16"/>
  <c r="D68" i="16" s="1"/>
  <c r="D3583" i="16"/>
  <c r="E68" i="16" s="1"/>
  <c r="E3583" i="16"/>
  <c r="F68" i="16" s="1"/>
  <c r="C3475" i="16"/>
  <c r="D66" i="16" s="1"/>
  <c r="D3475" i="16"/>
  <c r="E66" i="16" s="1"/>
  <c r="E3475" i="16"/>
  <c r="F66" i="16" s="1"/>
  <c r="C3313" i="16"/>
  <c r="D63" i="16" s="1"/>
  <c r="D3313" i="16"/>
  <c r="E63" i="16" s="1"/>
  <c r="Q63" i="16" s="1"/>
  <c r="L65" i="8" s="1"/>
  <c r="D3259" i="16"/>
  <c r="E62" i="16" s="1"/>
  <c r="E3259" i="16"/>
  <c r="F62" i="16" s="1"/>
  <c r="C3205" i="16"/>
  <c r="D61" i="16" s="1"/>
  <c r="D3205" i="16"/>
  <c r="E61" i="16" s="1"/>
  <c r="E3205" i="16"/>
  <c r="F61" i="16" s="1"/>
  <c r="D3151" i="16"/>
  <c r="E60" i="16" s="1"/>
  <c r="E3151" i="16"/>
  <c r="F60" i="16" s="1"/>
  <c r="C2665" i="16"/>
  <c r="D51" i="16" s="1"/>
  <c r="D2665" i="16"/>
  <c r="E51" i="16" s="1"/>
  <c r="E2665" i="16"/>
  <c r="F51" i="16" s="1"/>
  <c r="C2395" i="16"/>
  <c r="D46" i="16" s="1"/>
  <c r="D2395" i="16"/>
  <c r="E46" i="16" s="1"/>
  <c r="E2395" i="16"/>
  <c r="F46" i="16" s="1"/>
  <c r="D2179" i="16"/>
  <c r="E42" i="16" s="1"/>
  <c r="C2179" i="16"/>
  <c r="D42" i="16" s="1"/>
  <c r="E2179" i="16"/>
  <c r="F42" i="16" s="1"/>
  <c r="C1693" i="16"/>
  <c r="D33" i="16" s="1"/>
  <c r="D1693" i="16"/>
  <c r="E33" i="16" s="1"/>
  <c r="E1693" i="16"/>
  <c r="F33" i="16" s="1"/>
  <c r="C1639" i="16"/>
  <c r="D32" i="16" s="1"/>
  <c r="D1639" i="16"/>
  <c r="E32" i="16" s="1"/>
  <c r="E1639" i="16"/>
  <c r="F32" i="16" s="1"/>
  <c r="D1531" i="16"/>
  <c r="E30" i="16" s="1"/>
  <c r="E1531" i="16"/>
  <c r="F30" i="16" s="1"/>
  <c r="C1477" i="16"/>
  <c r="D29" i="16" s="1"/>
  <c r="D1477" i="16"/>
  <c r="E29" i="16" s="1"/>
  <c r="E1477" i="16"/>
  <c r="F29" i="16" s="1"/>
  <c r="C289" i="16"/>
  <c r="D7" i="16" s="1"/>
  <c r="D289" i="16"/>
  <c r="E7" i="16" s="1"/>
  <c r="E289" i="16"/>
  <c r="F7" i="16" s="1"/>
  <c r="C235" i="16"/>
  <c r="D6" i="16" s="1"/>
  <c r="D235" i="16"/>
  <c r="E6" i="16" s="1"/>
  <c r="E235" i="16"/>
  <c r="F6" i="16" s="1"/>
  <c r="AD66" i="4"/>
  <c r="AD68" i="4" s="1"/>
  <c r="C8" i="4"/>
  <c r="AJ66" i="4"/>
  <c r="AJ68" i="4" s="1"/>
  <c r="AB66" i="4"/>
  <c r="AF66" i="4"/>
  <c r="AF68" i="4" s="1"/>
  <c r="AG66" i="4"/>
  <c r="AG68" i="4" s="1"/>
  <c r="AH66" i="4"/>
  <c r="AI66" i="4"/>
  <c r="AI68" i="4" s="1"/>
  <c r="AK66" i="4"/>
  <c r="C6" i="4"/>
  <c r="E18" i="13" s="1"/>
  <c r="G18" i="13" s="1"/>
  <c r="C7" i="4"/>
  <c r="W66" i="4"/>
  <c r="X66" i="4"/>
  <c r="X68" i="4" s="1"/>
  <c r="AA66" i="4"/>
  <c r="AA68" i="4" s="1"/>
  <c r="Z66" i="4"/>
  <c r="AC66" i="4"/>
  <c r="AC68" i="4" s="1"/>
  <c r="AE66" i="4"/>
  <c r="C4207" i="16"/>
  <c r="B4207" i="16"/>
  <c r="C4099" i="16"/>
  <c r="B4099" i="16"/>
  <c r="C53" i="7" l="1"/>
  <c r="R13" i="9"/>
  <c r="R26" i="9"/>
  <c r="R17" i="9"/>
  <c r="R14" i="9"/>
  <c r="R12" i="9"/>
  <c r="R10" i="9"/>
  <c r="R9" i="9"/>
  <c r="AA58" i="16"/>
  <c r="P20" i="9" s="1"/>
  <c r="Q58" i="16"/>
  <c r="L60" i="8" s="1"/>
  <c r="P58" i="16"/>
  <c r="K60" i="8" s="1"/>
  <c r="I58" i="16"/>
  <c r="J67" i="16"/>
  <c r="Q67" i="16"/>
  <c r="Q34" i="16"/>
  <c r="L36" i="8" s="1"/>
  <c r="J34" i="16"/>
  <c r="AH54" i="16"/>
  <c r="O54" i="16"/>
  <c r="J44" i="16"/>
  <c r="Q44" i="16"/>
  <c r="L46" i="8" s="1"/>
  <c r="I41" i="16"/>
  <c r="AA41" i="16"/>
  <c r="P41" i="16"/>
  <c r="K43" i="8" s="1"/>
  <c r="J41" i="16"/>
  <c r="Q41" i="16"/>
  <c r="L43" i="8" s="1"/>
  <c r="Q40" i="16"/>
  <c r="L42" i="8" s="1"/>
  <c r="AA40" i="16"/>
  <c r="P40" i="16"/>
  <c r="K42" i="8" s="1"/>
  <c r="I40" i="16"/>
  <c r="I39" i="16"/>
  <c r="P39" i="16"/>
  <c r="K41" i="8" s="1"/>
  <c r="AA39" i="16"/>
  <c r="Q39" i="16"/>
  <c r="L41" i="8" s="1"/>
  <c r="J39" i="16"/>
  <c r="I24" i="16"/>
  <c r="P24" i="16"/>
  <c r="K26" i="8" s="1"/>
  <c r="AA24" i="16"/>
  <c r="Q24" i="16"/>
  <c r="L26" i="8" s="1"/>
  <c r="J24" i="16"/>
  <c r="AA23" i="16"/>
  <c r="P23" i="16"/>
  <c r="K25" i="8" s="1"/>
  <c r="I23" i="16"/>
  <c r="Q23" i="16"/>
  <c r="L25" i="8" s="1"/>
  <c r="J21" i="16"/>
  <c r="Q21" i="16"/>
  <c r="L23" i="8" s="1"/>
  <c r="I19" i="16"/>
  <c r="AA19" i="16"/>
  <c r="P19" i="16"/>
  <c r="K21" i="8" s="1"/>
  <c r="J19" i="16"/>
  <c r="Q19" i="16"/>
  <c r="L21" i="8" s="1"/>
  <c r="AA18" i="16"/>
  <c r="I18" i="16"/>
  <c r="P18" i="16"/>
  <c r="K20" i="8" s="1"/>
  <c r="Q18" i="16"/>
  <c r="L20" i="8" s="1"/>
  <c r="J18" i="16"/>
  <c r="J16" i="16"/>
  <c r="Q16" i="16"/>
  <c r="L18" i="8" s="1"/>
  <c r="AA16" i="16"/>
  <c r="I16" i="16"/>
  <c r="P16" i="16"/>
  <c r="K18" i="8" s="1"/>
  <c r="AA15" i="16"/>
  <c r="P15" i="16"/>
  <c r="K17" i="8" s="1"/>
  <c r="I15" i="16"/>
  <c r="Q15" i="16"/>
  <c r="L17" i="8" s="1"/>
  <c r="J15" i="16"/>
  <c r="I14" i="16"/>
  <c r="P14" i="16"/>
  <c r="K16" i="8" s="1"/>
  <c r="AA14" i="16"/>
  <c r="J14" i="16"/>
  <c r="Q14" i="16"/>
  <c r="L16" i="8" s="1"/>
  <c r="P13" i="16"/>
  <c r="K15" i="8" s="1"/>
  <c r="I13" i="16"/>
  <c r="AA13" i="16"/>
  <c r="P17" i="9" s="1"/>
  <c r="Q13" i="16"/>
  <c r="L15" i="8" s="1"/>
  <c r="J13" i="16"/>
  <c r="I12" i="16"/>
  <c r="AA12" i="16"/>
  <c r="P12" i="16"/>
  <c r="K14" i="8" s="1"/>
  <c r="J12" i="16"/>
  <c r="Q12" i="16"/>
  <c r="L14" i="8" s="1"/>
  <c r="P20" i="16"/>
  <c r="K22" i="8" s="1"/>
  <c r="I20" i="16"/>
  <c r="AA20" i="16"/>
  <c r="Q20" i="16"/>
  <c r="L22" i="8" s="1"/>
  <c r="J20" i="16"/>
  <c r="AH69" i="16"/>
  <c r="O69" i="16"/>
  <c r="AH63" i="16"/>
  <c r="O63" i="16"/>
  <c r="H56" i="8"/>
  <c r="G56" i="8"/>
  <c r="AF54" i="16"/>
  <c r="AD50" i="16"/>
  <c r="J52" i="8"/>
  <c r="AD48" i="16"/>
  <c r="J50" i="8"/>
  <c r="AB48" i="16"/>
  <c r="N48" i="16"/>
  <c r="I50" i="8"/>
  <c r="AH48" i="16"/>
  <c r="O48" i="16"/>
  <c r="J47" i="8"/>
  <c r="AD45" i="16"/>
  <c r="AB44" i="16"/>
  <c r="N44" i="16"/>
  <c r="I46" i="8"/>
  <c r="AD44" i="16"/>
  <c r="J46" i="8"/>
  <c r="AD43" i="16"/>
  <c r="J45" i="8"/>
  <c r="AB43" i="16"/>
  <c r="N43" i="16"/>
  <c r="I45" i="8"/>
  <c r="AH43" i="16"/>
  <c r="O43" i="16"/>
  <c r="AH40" i="16"/>
  <c r="O40" i="16"/>
  <c r="J41" i="8"/>
  <c r="AD39" i="16"/>
  <c r="AD35" i="16"/>
  <c r="J37" i="8"/>
  <c r="AB35" i="16"/>
  <c r="N35" i="16"/>
  <c r="I37" i="8"/>
  <c r="AH35" i="16"/>
  <c r="O35" i="16"/>
  <c r="J33" i="8"/>
  <c r="AD31" i="16"/>
  <c r="I33" i="8"/>
  <c r="N31" i="16"/>
  <c r="AB31" i="16"/>
  <c r="O31" i="16"/>
  <c r="AH31" i="16"/>
  <c r="AB26" i="16"/>
  <c r="N26" i="16"/>
  <c r="I28" i="8"/>
  <c r="AD26" i="16"/>
  <c r="J28" i="8"/>
  <c r="AH26" i="16"/>
  <c r="O26" i="16"/>
  <c r="J23" i="8"/>
  <c r="AD21" i="16"/>
  <c r="AB21" i="16"/>
  <c r="N21" i="16"/>
  <c r="I23" i="8"/>
  <c r="D92" i="7"/>
  <c r="H92" i="7" s="1"/>
  <c r="AX71" i="4"/>
  <c r="D93" i="7"/>
  <c r="H93" i="7" s="1"/>
  <c r="AY71" i="4"/>
  <c r="AZ68" i="4"/>
  <c r="C55" i="7"/>
  <c r="D95" i="7"/>
  <c r="H95" i="7" s="1"/>
  <c r="BA71" i="4"/>
  <c r="D96" i="7"/>
  <c r="H96" i="7" s="1"/>
  <c r="BB71" i="4"/>
  <c r="D90" i="7"/>
  <c r="H90" i="7" s="1"/>
  <c r="AV71" i="4"/>
  <c r="AW68" i="4"/>
  <c r="C54" i="7"/>
  <c r="BE71" i="4"/>
  <c r="D99" i="7"/>
  <c r="H99" i="7" s="1"/>
  <c r="BD71" i="4"/>
  <c r="D98" i="7"/>
  <c r="H98" i="7" s="1"/>
  <c r="BC71" i="4"/>
  <c r="D97" i="7"/>
  <c r="H97" i="7" s="1"/>
  <c r="AQ71" i="4"/>
  <c r="D85" i="7"/>
  <c r="H85" i="7" s="1"/>
  <c r="G52" i="7"/>
  <c r="H52" i="7"/>
  <c r="AP71" i="4"/>
  <c r="D84" i="7"/>
  <c r="H84" i="7" s="1"/>
  <c r="AO71" i="4"/>
  <c r="D83" i="7"/>
  <c r="H83" i="7" s="1"/>
  <c r="Y71" i="4"/>
  <c r="D67" i="7"/>
  <c r="H67" i="7" s="1"/>
  <c r="D64" i="7"/>
  <c r="H64" i="7" s="1"/>
  <c r="V71" i="4"/>
  <c r="Q65" i="16"/>
  <c r="L67" i="8" s="1"/>
  <c r="J65" i="16"/>
  <c r="I65" i="16"/>
  <c r="AA65" i="16"/>
  <c r="P27" i="9" s="1"/>
  <c r="P65" i="16"/>
  <c r="K67" i="8" s="1"/>
  <c r="AA47" i="16"/>
  <c r="P47" i="16"/>
  <c r="K49" i="8" s="1"/>
  <c r="I47" i="16"/>
  <c r="J47" i="16"/>
  <c r="Q47" i="16"/>
  <c r="L49" i="8" s="1"/>
  <c r="AA25" i="16"/>
  <c r="P25" i="16"/>
  <c r="K27" i="8" s="1"/>
  <c r="I25" i="16"/>
  <c r="Q25" i="16"/>
  <c r="L27" i="8" s="1"/>
  <c r="J25" i="16"/>
  <c r="B4261" i="16"/>
  <c r="C4261" i="16"/>
  <c r="E3799" i="16"/>
  <c r="F72" i="16" s="1"/>
  <c r="D3799" i="16"/>
  <c r="E72" i="16" s="1"/>
  <c r="C3799" i="16"/>
  <c r="D72" i="16" s="1"/>
  <c r="E3745" i="16"/>
  <c r="F71" i="16" s="1"/>
  <c r="D3745" i="16"/>
  <c r="E71" i="16" s="1"/>
  <c r="C3745" i="16"/>
  <c r="D71" i="16" s="1"/>
  <c r="D3691" i="16"/>
  <c r="E70" i="16" s="1"/>
  <c r="C3691" i="16"/>
  <c r="D70" i="16" s="1"/>
  <c r="E3691" i="16"/>
  <c r="F70" i="16" s="1"/>
  <c r="E3367" i="16"/>
  <c r="F64" i="16" s="1"/>
  <c r="D3367" i="16"/>
  <c r="E64" i="16" s="1"/>
  <c r="C3367" i="16"/>
  <c r="D64" i="16" s="1"/>
  <c r="C3097" i="16"/>
  <c r="D59" i="16" s="1"/>
  <c r="E3097" i="16"/>
  <c r="F59" i="16" s="1"/>
  <c r="D3097" i="16"/>
  <c r="E59" i="16" s="1"/>
  <c r="E2611" i="16"/>
  <c r="F50" i="16" s="1"/>
  <c r="D2611" i="16"/>
  <c r="E50" i="16" s="1"/>
  <c r="C2611" i="16"/>
  <c r="D50" i="16" s="1"/>
  <c r="E2557" i="16"/>
  <c r="F49" i="16" s="1"/>
  <c r="D2557" i="16"/>
  <c r="E49" i="16" s="1"/>
  <c r="C2557" i="16"/>
  <c r="D49" i="16" s="1"/>
  <c r="C2341" i="16"/>
  <c r="D45" i="16" s="1"/>
  <c r="E2341" i="16"/>
  <c r="F45" i="16" s="1"/>
  <c r="D2341" i="16"/>
  <c r="E45" i="16" s="1"/>
  <c r="D1855" i="16"/>
  <c r="E36" i="16" s="1"/>
  <c r="E1855" i="16"/>
  <c r="F36" i="16" s="1"/>
  <c r="C1855" i="16"/>
  <c r="D36" i="16" s="1"/>
  <c r="E1423" i="16"/>
  <c r="F28" i="16" s="1"/>
  <c r="D1423" i="16"/>
  <c r="E28" i="16" s="1"/>
  <c r="C1423" i="16"/>
  <c r="D28" i="16" s="1"/>
  <c r="E1369" i="16"/>
  <c r="F27" i="16" s="1"/>
  <c r="D1369" i="16"/>
  <c r="E27" i="16" s="1"/>
  <c r="C1369" i="16"/>
  <c r="D27" i="16" s="1"/>
  <c r="E1099" i="16"/>
  <c r="F22" i="16" s="1"/>
  <c r="D1099" i="16"/>
  <c r="E22" i="16" s="1"/>
  <c r="C1099" i="16"/>
  <c r="D22" i="16" s="1"/>
  <c r="E829" i="16"/>
  <c r="F17" i="16" s="1"/>
  <c r="D829" i="16"/>
  <c r="E17" i="16" s="1"/>
  <c r="C829" i="16"/>
  <c r="D17" i="16" s="1"/>
  <c r="E451" i="16"/>
  <c r="F10" i="16" s="1"/>
  <c r="D451" i="16"/>
  <c r="E10" i="16" s="1"/>
  <c r="C451" i="16"/>
  <c r="D10" i="16" s="1"/>
  <c r="D397" i="16"/>
  <c r="E9" i="16" s="1"/>
  <c r="E397" i="16"/>
  <c r="F9" i="16" s="1"/>
  <c r="C397" i="16"/>
  <c r="D9" i="16" s="1"/>
  <c r="E343" i="16"/>
  <c r="F8" i="16" s="1"/>
  <c r="D343" i="16"/>
  <c r="E8" i="16" s="1"/>
  <c r="C343" i="16"/>
  <c r="D8" i="16" s="1"/>
  <c r="E181" i="16"/>
  <c r="F5" i="16" s="1"/>
  <c r="D181" i="16"/>
  <c r="E5" i="16" s="1"/>
  <c r="C181" i="16"/>
  <c r="D5" i="16" s="1"/>
  <c r="E127" i="16"/>
  <c r="F4" i="16" s="1"/>
  <c r="D127" i="16"/>
  <c r="E4" i="16" s="1"/>
  <c r="C127" i="16"/>
  <c r="D4" i="16" s="1"/>
  <c r="AB67" i="16"/>
  <c r="N67" i="16"/>
  <c r="AD66" i="16"/>
  <c r="J68" i="8"/>
  <c r="AD64" i="16"/>
  <c r="J66" i="8"/>
  <c r="AD63" i="16"/>
  <c r="J65" i="8"/>
  <c r="AD62" i="16"/>
  <c r="J64" i="8"/>
  <c r="AD61" i="16"/>
  <c r="J63" i="8"/>
  <c r="AD60" i="16"/>
  <c r="J62" i="8"/>
  <c r="J60" i="8"/>
  <c r="AD58" i="16"/>
  <c r="O58" i="16"/>
  <c r="AH58" i="16"/>
  <c r="AD57" i="16"/>
  <c r="J59" i="8"/>
  <c r="AB57" i="16"/>
  <c r="N57" i="16"/>
  <c r="I59" i="8"/>
  <c r="AH57" i="16"/>
  <c r="O57" i="16"/>
  <c r="AB56" i="16"/>
  <c r="N56" i="16"/>
  <c r="I58" i="8"/>
  <c r="AD56" i="16"/>
  <c r="J58" i="8"/>
  <c r="AH56" i="16"/>
  <c r="O56" i="16"/>
  <c r="AD55" i="16"/>
  <c r="J57" i="8"/>
  <c r="AB55" i="16"/>
  <c r="N55" i="16"/>
  <c r="I57" i="8"/>
  <c r="AH55" i="16"/>
  <c r="O55" i="16"/>
  <c r="AD52" i="16"/>
  <c r="J54" i="8"/>
  <c r="AD51" i="16"/>
  <c r="J53" i="8"/>
  <c r="AD49" i="16"/>
  <c r="J51" i="8"/>
  <c r="AD46" i="16"/>
  <c r="J48" i="8"/>
  <c r="AB41" i="16"/>
  <c r="N41" i="16"/>
  <c r="I43" i="8"/>
  <c r="AD41" i="16"/>
  <c r="J43" i="8"/>
  <c r="AH41" i="16"/>
  <c r="O41" i="16"/>
  <c r="AB40" i="16"/>
  <c r="N40" i="16"/>
  <c r="I42" i="8"/>
  <c r="AD40" i="16"/>
  <c r="J42" i="8"/>
  <c r="AB38" i="16"/>
  <c r="N38" i="16"/>
  <c r="I40" i="8"/>
  <c r="J40" i="8"/>
  <c r="AD38" i="16"/>
  <c r="AH38" i="16"/>
  <c r="O38" i="16"/>
  <c r="AB37" i="16"/>
  <c r="N37" i="16"/>
  <c r="I39" i="8"/>
  <c r="J39" i="8"/>
  <c r="AD37" i="16"/>
  <c r="AH37" i="16"/>
  <c r="O37" i="16"/>
  <c r="AD36" i="16"/>
  <c r="J38" i="8"/>
  <c r="AD34" i="16"/>
  <c r="J36" i="8"/>
  <c r="AB34" i="16"/>
  <c r="N34" i="16"/>
  <c r="I36" i="8"/>
  <c r="AD33" i="16"/>
  <c r="J35" i="8"/>
  <c r="AD32" i="16"/>
  <c r="J34" i="8"/>
  <c r="J32" i="8"/>
  <c r="AD30" i="16"/>
  <c r="AD29" i="16"/>
  <c r="J31" i="8"/>
  <c r="AD28" i="16"/>
  <c r="J30" i="8"/>
  <c r="AD27" i="16"/>
  <c r="J29" i="8"/>
  <c r="J26" i="8"/>
  <c r="AD24" i="16"/>
  <c r="AB24" i="16"/>
  <c r="N24" i="16"/>
  <c r="I26" i="8"/>
  <c r="AH24" i="16"/>
  <c r="O24" i="16"/>
  <c r="I25" i="8"/>
  <c r="J25" i="8"/>
  <c r="AD23" i="16"/>
  <c r="O23" i="16"/>
  <c r="AH23" i="16"/>
  <c r="AD22" i="16"/>
  <c r="J24" i="8"/>
  <c r="AB20" i="16"/>
  <c r="N20" i="16"/>
  <c r="I22" i="8"/>
  <c r="AD20" i="16"/>
  <c r="J22" i="8"/>
  <c r="AH20" i="16"/>
  <c r="O20" i="16"/>
  <c r="AD19" i="16"/>
  <c r="J21" i="8"/>
  <c r="AD18" i="16"/>
  <c r="J20" i="8"/>
  <c r="AD17" i="16"/>
  <c r="J19" i="8"/>
  <c r="I18" i="8"/>
  <c r="AD16" i="16"/>
  <c r="J18" i="8"/>
  <c r="AH16" i="16"/>
  <c r="O16" i="16"/>
  <c r="J17" i="8"/>
  <c r="AD15" i="16"/>
  <c r="AB15" i="16"/>
  <c r="N15" i="16"/>
  <c r="I17" i="8"/>
  <c r="AH15" i="16"/>
  <c r="O15" i="16"/>
  <c r="AD14" i="16"/>
  <c r="J16" i="8"/>
  <c r="AB14" i="16"/>
  <c r="N14" i="16"/>
  <c r="I16" i="8"/>
  <c r="AH14" i="16"/>
  <c r="O14" i="16"/>
  <c r="AD13" i="16"/>
  <c r="J15" i="8"/>
  <c r="AB13" i="16"/>
  <c r="N13" i="16"/>
  <c r="I15" i="8"/>
  <c r="AH13" i="16"/>
  <c r="O13" i="16"/>
  <c r="AD12" i="16"/>
  <c r="S16" i="9" s="1"/>
  <c r="J14" i="8"/>
  <c r="AB12" i="16"/>
  <c r="N12" i="16"/>
  <c r="I14" i="8"/>
  <c r="AH12" i="16"/>
  <c r="O12" i="16"/>
  <c r="AD11" i="16"/>
  <c r="S15" i="9" s="1"/>
  <c r="J13" i="8"/>
  <c r="AB11" i="16"/>
  <c r="N11" i="16"/>
  <c r="I13" i="8"/>
  <c r="AH11" i="16"/>
  <c r="O11" i="16"/>
  <c r="AD10" i="16"/>
  <c r="J12" i="8"/>
  <c r="AD9" i="16"/>
  <c r="J11" i="8"/>
  <c r="AD8" i="16"/>
  <c r="S12" i="9" s="1"/>
  <c r="J10" i="8"/>
  <c r="J8" i="8"/>
  <c r="AD6" i="16"/>
  <c r="S10" i="9" s="1"/>
  <c r="AD5" i="16"/>
  <c r="J7" i="8"/>
  <c r="AD4" i="16"/>
  <c r="J6" i="8"/>
  <c r="R8" i="9"/>
  <c r="R33" i="9"/>
  <c r="AU71" i="4"/>
  <c r="D89" i="7"/>
  <c r="H89" i="7" s="1"/>
  <c r="AT71" i="4"/>
  <c r="D88" i="7"/>
  <c r="H88" i="7" s="1"/>
  <c r="AS71" i="4"/>
  <c r="D87" i="7"/>
  <c r="H87" i="7" s="1"/>
  <c r="AR71" i="4"/>
  <c r="D86" i="7"/>
  <c r="H86" i="7" s="1"/>
  <c r="G51" i="7"/>
  <c r="H51" i="7"/>
  <c r="AN71" i="4"/>
  <c r="D82" i="7"/>
  <c r="H82" i="7" s="1"/>
  <c r="AM71" i="4"/>
  <c r="D81" i="7"/>
  <c r="H81" i="7" s="1"/>
  <c r="AL71" i="4"/>
  <c r="D80" i="7"/>
  <c r="H80" i="7" s="1"/>
  <c r="C18" i="11"/>
  <c r="E28" i="13"/>
  <c r="G28" i="13" s="1"/>
  <c r="D17" i="11"/>
  <c r="E30" i="11"/>
  <c r="F30" i="11" s="1"/>
  <c r="G30" i="11" s="1"/>
  <c r="H30" i="11" s="1"/>
  <c r="I30" i="11" s="1"/>
  <c r="E40" i="11"/>
  <c r="F40" i="11" s="1"/>
  <c r="G40" i="11" s="1"/>
  <c r="H40" i="11" s="1"/>
  <c r="I40" i="11" s="1"/>
  <c r="E38" i="11"/>
  <c r="F38" i="11" s="1"/>
  <c r="G38" i="11" s="1"/>
  <c r="H38" i="11" s="1"/>
  <c r="I38" i="11" s="1"/>
  <c r="E37" i="11"/>
  <c r="F37" i="11" s="1"/>
  <c r="G37" i="11" s="1"/>
  <c r="H37" i="11" s="1"/>
  <c r="I37" i="11" s="1"/>
  <c r="E36" i="11"/>
  <c r="F36" i="11" s="1"/>
  <c r="G36" i="11" s="1"/>
  <c r="H36" i="11" s="1"/>
  <c r="I36" i="11" s="1"/>
  <c r="E35" i="11"/>
  <c r="F35" i="11" s="1"/>
  <c r="G35" i="11" s="1"/>
  <c r="H35" i="11" s="1"/>
  <c r="I35" i="11" s="1"/>
  <c r="E31" i="11"/>
  <c r="F31" i="11" s="1"/>
  <c r="G31" i="11" s="1"/>
  <c r="H31" i="11" s="1"/>
  <c r="I31" i="11" s="1"/>
  <c r="E39" i="11"/>
  <c r="F39" i="11" s="1"/>
  <c r="G39" i="11" s="1"/>
  <c r="H39" i="11" s="1"/>
  <c r="I39" i="11" s="1"/>
  <c r="E34" i="11"/>
  <c r="F34" i="11" s="1"/>
  <c r="G34" i="11" s="1"/>
  <c r="H34" i="11" s="1"/>
  <c r="I34" i="11" s="1"/>
  <c r="E33" i="11"/>
  <c r="F33" i="11" s="1"/>
  <c r="G33" i="11" s="1"/>
  <c r="H33" i="11" s="1"/>
  <c r="I33" i="11" s="1"/>
  <c r="E32" i="11"/>
  <c r="F32" i="11" s="1"/>
  <c r="G32" i="11" s="1"/>
  <c r="E29" i="11"/>
  <c r="F29" i="11" s="1"/>
  <c r="G29" i="11" s="1"/>
  <c r="H29" i="11" s="1"/>
  <c r="I29" i="11" s="1"/>
  <c r="G56" i="7"/>
  <c r="E56" i="7"/>
  <c r="H56" i="7"/>
  <c r="J56" i="7" s="1"/>
  <c r="E19" i="10"/>
  <c r="E18" i="10"/>
  <c r="E16" i="10"/>
  <c r="E14" i="10" s="1"/>
  <c r="AA69" i="16"/>
  <c r="P69" i="16"/>
  <c r="I69" i="16"/>
  <c r="AA68" i="16"/>
  <c r="P68" i="16"/>
  <c r="I68" i="16"/>
  <c r="J68" i="16"/>
  <c r="Q68" i="16"/>
  <c r="I66" i="16"/>
  <c r="AA66" i="16"/>
  <c r="P66" i="16"/>
  <c r="K68" i="8" s="1"/>
  <c r="J66" i="16"/>
  <c r="Q66" i="16"/>
  <c r="L68" i="8" s="1"/>
  <c r="P63" i="16"/>
  <c r="K65" i="8" s="1"/>
  <c r="AA63" i="16"/>
  <c r="I63" i="16"/>
  <c r="P62" i="16"/>
  <c r="K64" i="8" s="1"/>
  <c r="AA62" i="16"/>
  <c r="I62" i="16"/>
  <c r="J62" i="16"/>
  <c r="Q62" i="16"/>
  <c r="L64" i="8" s="1"/>
  <c r="I61" i="16"/>
  <c r="AA61" i="16"/>
  <c r="P61" i="16"/>
  <c r="K63" i="8" s="1"/>
  <c r="Q61" i="16"/>
  <c r="L63" i="8" s="1"/>
  <c r="J61" i="16"/>
  <c r="AA60" i="16"/>
  <c r="P22" i="9" s="1"/>
  <c r="P60" i="16"/>
  <c r="K62" i="8" s="1"/>
  <c r="I60" i="16"/>
  <c r="Q60" i="16"/>
  <c r="L62" i="8" s="1"/>
  <c r="J60" i="16"/>
  <c r="AA51" i="16"/>
  <c r="P51" i="16"/>
  <c r="K53" i="8" s="1"/>
  <c r="I51" i="16"/>
  <c r="J51" i="16"/>
  <c r="Q51" i="16"/>
  <c r="L53" i="8" s="1"/>
  <c r="I46" i="16"/>
  <c r="P46" i="16"/>
  <c r="K48" i="8" s="1"/>
  <c r="AA46" i="16"/>
  <c r="Q46" i="16"/>
  <c r="L48" i="8" s="1"/>
  <c r="J46" i="16"/>
  <c r="P42" i="16"/>
  <c r="K44" i="8" s="1"/>
  <c r="AA42" i="16"/>
  <c r="P25" i="9" s="1"/>
  <c r="I42" i="16"/>
  <c r="Q42" i="16"/>
  <c r="L44" i="8" s="1"/>
  <c r="J42" i="16"/>
  <c r="I33" i="16"/>
  <c r="AA33" i="16"/>
  <c r="P16" i="9" s="1"/>
  <c r="P33" i="16"/>
  <c r="K35" i="8" s="1"/>
  <c r="J33" i="16"/>
  <c r="Q33" i="16"/>
  <c r="L35" i="8" s="1"/>
  <c r="AA32" i="16"/>
  <c r="P32" i="16"/>
  <c r="K34" i="8" s="1"/>
  <c r="I32" i="16"/>
  <c r="Q32" i="16"/>
  <c r="L34" i="8" s="1"/>
  <c r="J32" i="16"/>
  <c r="I30" i="16"/>
  <c r="AA30" i="16"/>
  <c r="P30" i="16"/>
  <c r="K32" i="8" s="1"/>
  <c r="Q30" i="16"/>
  <c r="L32" i="8" s="1"/>
  <c r="J30" i="16"/>
  <c r="I29" i="16"/>
  <c r="P29" i="16"/>
  <c r="K31" i="8" s="1"/>
  <c r="AA29" i="16"/>
  <c r="Q29" i="16"/>
  <c r="L31" i="8" s="1"/>
  <c r="J29" i="16"/>
  <c r="I7" i="16"/>
  <c r="P7" i="16"/>
  <c r="K9" i="8" s="1"/>
  <c r="AA7" i="16"/>
  <c r="Q7" i="16"/>
  <c r="L9" i="8" s="1"/>
  <c r="J7" i="16"/>
  <c r="AA6" i="16"/>
  <c r="P6" i="16"/>
  <c r="K8" i="8" s="1"/>
  <c r="I6" i="16"/>
  <c r="Q6" i="16"/>
  <c r="L8" i="8" s="1"/>
  <c r="J6" i="16"/>
  <c r="D72" i="7"/>
  <c r="H72" i="7" s="1"/>
  <c r="AD71" i="4"/>
  <c r="C10" i="4"/>
  <c r="C13" i="4"/>
  <c r="D24" i="2"/>
  <c r="E20" i="13"/>
  <c r="G20" i="13" s="1"/>
  <c r="D78" i="7"/>
  <c r="H78" i="7" s="1"/>
  <c r="AJ71" i="4"/>
  <c r="AB68" i="4"/>
  <c r="D51" i="7"/>
  <c r="D74" i="7"/>
  <c r="H74" i="7" s="1"/>
  <c r="AF71" i="4"/>
  <c r="D75" i="7"/>
  <c r="H75" i="7" s="1"/>
  <c r="AG71" i="4"/>
  <c r="F12" i="4"/>
  <c r="E8" i="13" s="1"/>
  <c r="D53" i="7"/>
  <c r="C49" i="7"/>
  <c r="AH68" i="4"/>
  <c r="D77" i="7"/>
  <c r="H77" i="7" s="1"/>
  <c r="AI71" i="4"/>
  <c r="C50" i="7"/>
  <c r="D54" i="7"/>
  <c r="I54" i="7" s="1"/>
  <c r="AK68" i="4"/>
  <c r="C9" i="4"/>
  <c r="C11" i="4"/>
  <c r="C12" i="4"/>
  <c r="C24" i="2"/>
  <c r="D8" i="13"/>
  <c r="E19" i="13"/>
  <c r="G19" i="13" s="1"/>
  <c r="C18" i="10"/>
  <c r="G63" i="9"/>
  <c r="C26" i="12"/>
  <c r="D49" i="7"/>
  <c r="I49" i="7" s="1"/>
  <c r="W68" i="4"/>
  <c r="D66" i="7"/>
  <c r="H66" i="7" s="1"/>
  <c r="X71" i="4"/>
  <c r="D69" i="7"/>
  <c r="H69" i="7" s="1"/>
  <c r="AA71" i="4"/>
  <c r="D50" i="7"/>
  <c r="I50" i="7" s="1"/>
  <c r="Z68" i="4"/>
  <c r="D71" i="7"/>
  <c r="H71" i="7" s="1"/>
  <c r="AC71" i="4"/>
  <c r="AE68" i="4"/>
  <c r="D52" i="7"/>
  <c r="F19" i="10"/>
  <c r="F18" i="10"/>
  <c r="F16" i="10"/>
  <c r="F14" i="10" s="1"/>
  <c r="D19" i="10"/>
  <c r="D16" i="10"/>
  <c r="D14" i="10" s="1"/>
  <c r="D18" i="10"/>
  <c r="R25" i="9"/>
  <c r="R11" i="9"/>
  <c r="R28" i="9"/>
  <c r="R27" i="9"/>
  <c r="R24" i="9"/>
  <c r="R23" i="9"/>
  <c r="R22" i="9"/>
  <c r="R21" i="9"/>
  <c r="R20" i="9"/>
  <c r="R19" i="9"/>
  <c r="R18" i="9"/>
  <c r="P18" i="9"/>
  <c r="D2773" i="16"/>
  <c r="E53" i="16" s="1"/>
  <c r="C2773" i="16"/>
  <c r="D53" i="16" s="1"/>
  <c r="E2773" i="16"/>
  <c r="F53" i="16" s="1"/>
  <c r="C2719" i="16"/>
  <c r="D52" i="16" s="1"/>
  <c r="D2719" i="16"/>
  <c r="E52" i="16" s="1"/>
  <c r="E2719" i="16"/>
  <c r="F52" i="16" s="1"/>
  <c r="G53" i="7" l="1"/>
  <c r="H53" i="7"/>
  <c r="G19" i="10"/>
  <c r="S11" i="9"/>
  <c r="S22" i="9"/>
  <c r="S20" i="9"/>
  <c r="S19" i="9"/>
  <c r="Q18" i="9"/>
  <c r="S17" i="9"/>
  <c r="S27" i="9"/>
  <c r="S23" i="9"/>
  <c r="S21" i="9"/>
  <c r="W20" i="9"/>
  <c r="S18" i="9"/>
  <c r="W18" i="9"/>
  <c r="Q17" i="9"/>
  <c r="S13" i="9"/>
  <c r="P24" i="9"/>
  <c r="P23" i="9"/>
  <c r="G8" i="13"/>
  <c r="I60" i="8"/>
  <c r="N58" i="16"/>
  <c r="AB58" i="16"/>
  <c r="O67" i="16"/>
  <c r="AH67" i="16"/>
  <c r="AH34" i="16"/>
  <c r="W17" i="9" s="1"/>
  <c r="O34" i="16"/>
  <c r="M56" i="8"/>
  <c r="AJ54" i="16"/>
  <c r="O44" i="16"/>
  <c r="AH44" i="16"/>
  <c r="I41" i="8"/>
  <c r="N39" i="16"/>
  <c r="AB39" i="16"/>
  <c r="O39" i="16"/>
  <c r="AH39" i="16"/>
  <c r="N23" i="16"/>
  <c r="AB23" i="16"/>
  <c r="AH21" i="16"/>
  <c r="O21" i="16"/>
  <c r="AB19" i="16"/>
  <c r="N19" i="16"/>
  <c r="I21" i="8"/>
  <c r="AH19" i="16"/>
  <c r="O19" i="16"/>
  <c r="N18" i="16"/>
  <c r="AB18" i="16"/>
  <c r="I20" i="8"/>
  <c r="AH18" i="16"/>
  <c r="O18" i="16"/>
  <c r="AB16" i="16"/>
  <c r="Q20" i="9" s="1"/>
  <c r="N16" i="16"/>
  <c r="M71" i="8"/>
  <c r="AJ69" i="16"/>
  <c r="M65" i="8"/>
  <c r="AJ63" i="16"/>
  <c r="H50" i="8"/>
  <c r="G50" i="8"/>
  <c r="AF48" i="16"/>
  <c r="M50" i="8"/>
  <c r="AJ48" i="16"/>
  <c r="H46" i="8"/>
  <c r="G46" i="8"/>
  <c r="AF44" i="16"/>
  <c r="M46" i="8"/>
  <c r="AJ44" i="16"/>
  <c r="H45" i="8"/>
  <c r="G45" i="8"/>
  <c r="AF43" i="16"/>
  <c r="M45" i="8"/>
  <c r="AJ43" i="16"/>
  <c r="M42" i="8"/>
  <c r="AJ40" i="16"/>
  <c r="H41" i="8"/>
  <c r="G41" i="8"/>
  <c r="AF39" i="16"/>
  <c r="M41" i="8"/>
  <c r="AJ39" i="16"/>
  <c r="H37" i="8"/>
  <c r="G37" i="8"/>
  <c r="AF35" i="16"/>
  <c r="M37" i="8"/>
  <c r="AJ35" i="16"/>
  <c r="H33" i="8"/>
  <c r="G33" i="8"/>
  <c r="AF31" i="16"/>
  <c r="M33" i="8"/>
  <c r="AJ31" i="16"/>
  <c r="H28" i="8"/>
  <c r="G28" i="8"/>
  <c r="AF26" i="16"/>
  <c r="M28" i="8"/>
  <c r="AJ26" i="16"/>
  <c r="H23" i="8"/>
  <c r="G23" i="8"/>
  <c r="AF21" i="16"/>
  <c r="D94" i="7"/>
  <c r="H94" i="7" s="1"/>
  <c r="AZ71" i="4"/>
  <c r="H55" i="7"/>
  <c r="J55" i="7" s="1"/>
  <c r="E55" i="7"/>
  <c r="G55" i="7"/>
  <c r="D91" i="7"/>
  <c r="H91" i="7" s="1"/>
  <c r="AW71" i="4"/>
  <c r="E54" i="7"/>
  <c r="H54" i="7"/>
  <c r="J54" i="7" s="1"/>
  <c r="G54" i="7"/>
  <c r="AH65" i="16"/>
  <c r="O65" i="16"/>
  <c r="AB65" i="16"/>
  <c r="N65" i="16"/>
  <c r="I67" i="8"/>
  <c r="AB47" i="16"/>
  <c r="N47" i="16"/>
  <c r="I49" i="8"/>
  <c r="AH47" i="16"/>
  <c r="O47" i="16"/>
  <c r="AB25" i="16"/>
  <c r="N25" i="16"/>
  <c r="I27" i="8"/>
  <c r="AH25" i="16"/>
  <c r="O25" i="16"/>
  <c r="G18" i="10"/>
  <c r="G16" i="10"/>
  <c r="G14" i="10" s="1"/>
  <c r="Q72" i="16"/>
  <c r="J72" i="16"/>
  <c r="I72" i="16"/>
  <c r="P72" i="16"/>
  <c r="AA72" i="16"/>
  <c r="Q71" i="16"/>
  <c r="J71" i="16"/>
  <c r="I71" i="16"/>
  <c r="P71" i="16"/>
  <c r="AA71" i="16"/>
  <c r="P70" i="16"/>
  <c r="AA70" i="16"/>
  <c r="I70" i="16"/>
  <c r="J70" i="16"/>
  <c r="Q70" i="16"/>
  <c r="Q64" i="16"/>
  <c r="L66" i="8" s="1"/>
  <c r="J64" i="16"/>
  <c r="I64" i="16"/>
  <c r="AA64" i="16"/>
  <c r="P64" i="16"/>
  <c r="K66" i="8" s="1"/>
  <c r="Q59" i="16"/>
  <c r="L61" i="8" s="1"/>
  <c r="J59" i="16"/>
  <c r="AA59" i="16"/>
  <c r="P59" i="16"/>
  <c r="K61" i="8" s="1"/>
  <c r="I59" i="16"/>
  <c r="J50" i="16"/>
  <c r="Q50" i="16"/>
  <c r="L52" i="8" s="1"/>
  <c r="AA50" i="16"/>
  <c r="P50" i="16"/>
  <c r="K52" i="8" s="1"/>
  <c r="I50" i="16"/>
  <c r="J49" i="16"/>
  <c r="Q49" i="16"/>
  <c r="L51" i="8" s="1"/>
  <c r="I49" i="16"/>
  <c r="AA49" i="16"/>
  <c r="P49" i="16"/>
  <c r="K51" i="8" s="1"/>
  <c r="J45" i="16"/>
  <c r="Q45" i="16"/>
  <c r="L47" i="8" s="1"/>
  <c r="I45" i="16"/>
  <c r="AA45" i="16"/>
  <c r="P28" i="9" s="1"/>
  <c r="P45" i="16"/>
  <c r="K47" i="8" s="1"/>
  <c r="P36" i="16"/>
  <c r="K38" i="8" s="1"/>
  <c r="AA36" i="16"/>
  <c r="P19" i="9" s="1"/>
  <c r="I36" i="16"/>
  <c r="Q36" i="16"/>
  <c r="L38" i="8" s="1"/>
  <c r="J36" i="16"/>
  <c r="Q28" i="16"/>
  <c r="L30" i="8" s="1"/>
  <c r="J28" i="16"/>
  <c r="AA28" i="16"/>
  <c r="P28" i="16"/>
  <c r="K30" i="8" s="1"/>
  <c r="I28" i="16"/>
  <c r="Q27" i="16"/>
  <c r="L29" i="8" s="1"/>
  <c r="J27" i="16"/>
  <c r="I27" i="16"/>
  <c r="P27" i="16"/>
  <c r="K29" i="8" s="1"/>
  <c r="AA27" i="16"/>
  <c r="P10" i="9" s="1"/>
  <c r="Q22" i="16"/>
  <c r="L24" i="8" s="1"/>
  <c r="J22" i="16"/>
  <c r="I22" i="16"/>
  <c r="P22" i="16"/>
  <c r="K24" i="8" s="1"/>
  <c r="AA22" i="16"/>
  <c r="J17" i="16"/>
  <c r="Q17" i="16"/>
  <c r="L19" i="8" s="1"/>
  <c r="AA17" i="16"/>
  <c r="P17" i="16"/>
  <c r="K19" i="8" s="1"/>
  <c r="I17" i="16"/>
  <c r="Q10" i="16"/>
  <c r="L12" i="8" s="1"/>
  <c r="J10" i="16"/>
  <c r="I10" i="16"/>
  <c r="AA10" i="16"/>
  <c r="P10" i="16"/>
  <c r="K12" i="8" s="1"/>
  <c r="I9" i="16"/>
  <c r="P9" i="16"/>
  <c r="K11" i="8" s="1"/>
  <c r="AA9" i="16"/>
  <c r="P13" i="9" s="1"/>
  <c r="Q9" i="16"/>
  <c r="L11" i="8" s="1"/>
  <c r="J9" i="16"/>
  <c r="J8" i="16"/>
  <c r="Q8" i="16"/>
  <c r="L10" i="8" s="1"/>
  <c r="I8" i="16"/>
  <c r="AA8" i="16"/>
  <c r="P8" i="16"/>
  <c r="K10" i="8" s="1"/>
  <c r="Q5" i="16"/>
  <c r="L7" i="8" s="1"/>
  <c r="J5" i="16"/>
  <c r="AA5" i="16"/>
  <c r="P9" i="9" s="1"/>
  <c r="P5" i="16"/>
  <c r="K7" i="8" s="1"/>
  <c r="I5" i="16"/>
  <c r="Q4" i="16"/>
  <c r="L6" i="8" s="1"/>
  <c r="J4" i="16"/>
  <c r="P4" i="16"/>
  <c r="K6" i="8" s="1"/>
  <c r="AA4" i="16"/>
  <c r="I4" i="16"/>
  <c r="E9" i="13"/>
  <c r="G9" i="13" s="1"/>
  <c r="H69" i="8"/>
  <c r="G69" i="8"/>
  <c r="AF67" i="16"/>
  <c r="M60" i="8"/>
  <c r="AJ58" i="16"/>
  <c r="H59" i="8"/>
  <c r="G59" i="8"/>
  <c r="AF57" i="16"/>
  <c r="M59" i="8"/>
  <c r="AJ57" i="16"/>
  <c r="H58" i="8"/>
  <c r="G58" i="8"/>
  <c r="AF56" i="16"/>
  <c r="M58" i="8"/>
  <c r="AJ56" i="16"/>
  <c r="H57" i="8"/>
  <c r="G57" i="8"/>
  <c r="AF55" i="16"/>
  <c r="M57" i="8"/>
  <c r="AJ55" i="16"/>
  <c r="H43" i="8"/>
  <c r="G43" i="8"/>
  <c r="AF41" i="16"/>
  <c r="M43" i="8"/>
  <c r="AJ41" i="16"/>
  <c r="H42" i="8"/>
  <c r="G42" i="8"/>
  <c r="AF40" i="16"/>
  <c r="H40" i="8"/>
  <c r="G40" i="8"/>
  <c r="AF38" i="16"/>
  <c r="M40" i="8"/>
  <c r="AJ38" i="16"/>
  <c r="H39" i="8"/>
  <c r="G39" i="8"/>
  <c r="AF37" i="16"/>
  <c r="M39" i="8"/>
  <c r="AJ37" i="16"/>
  <c r="H36" i="8"/>
  <c r="G36" i="8"/>
  <c r="AF34" i="16"/>
  <c r="H26" i="8"/>
  <c r="G26" i="8"/>
  <c r="AF24" i="16"/>
  <c r="M26" i="8"/>
  <c r="AJ24" i="16"/>
  <c r="M25" i="8"/>
  <c r="AJ23" i="16"/>
  <c r="H22" i="8"/>
  <c r="G22" i="8"/>
  <c r="AF20" i="16"/>
  <c r="M22" i="8"/>
  <c r="AJ20" i="16"/>
  <c r="M18" i="8"/>
  <c r="AJ16" i="16"/>
  <c r="Y20" i="9" s="1"/>
  <c r="H17" i="8"/>
  <c r="G17" i="8"/>
  <c r="AF15" i="16"/>
  <c r="M17" i="8"/>
  <c r="AJ15" i="16"/>
  <c r="H16" i="8"/>
  <c r="G16" i="8"/>
  <c r="AF14" i="16"/>
  <c r="M16" i="8"/>
  <c r="AJ14" i="16"/>
  <c r="H15" i="8"/>
  <c r="G15" i="8"/>
  <c r="AF13" i="16"/>
  <c r="U17" i="9" s="1"/>
  <c r="M15" i="8"/>
  <c r="AJ13" i="16"/>
  <c r="H14" i="8"/>
  <c r="G14" i="8"/>
  <c r="AF12" i="16"/>
  <c r="M14" i="8"/>
  <c r="AJ12" i="16"/>
  <c r="H13" i="8"/>
  <c r="G13" i="8"/>
  <c r="AF11" i="16"/>
  <c r="M13" i="8"/>
  <c r="AJ11" i="16"/>
  <c r="S8" i="9"/>
  <c r="S33" i="9"/>
  <c r="E29" i="13"/>
  <c r="G29" i="13" s="1"/>
  <c r="H32" i="11"/>
  <c r="I32" i="11" s="1"/>
  <c r="D42" i="11" s="1"/>
  <c r="AB69" i="16"/>
  <c r="N69" i="16"/>
  <c r="AB68" i="16"/>
  <c r="N68" i="16"/>
  <c r="AH68" i="16"/>
  <c r="O68" i="16"/>
  <c r="AB66" i="16"/>
  <c r="N66" i="16"/>
  <c r="I68" i="8"/>
  <c r="AH66" i="16"/>
  <c r="O66" i="16"/>
  <c r="AB63" i="16"/>
  <c r="N63" i="16"/>
  <c r="I65" i="8"/>
  <c r="AB62" i="16"/>
  <c r="Q24" i="9" s="1"/>
  <c r="N62" i="16"/>
  <c r="I64" i="8"/>
  <c r="AH62" i="16"/>
  <c r="W24" i="9" s="1"/>
  <c r="O62" i="16"/>
  <c r="AB61" i="16"/>
  <c r="N61" i="16"/>
  <c r="I63" i="8"/>
  <c r="AH61" i="16"/>
  <c r="O61" i="16"/>
  <c r="AB60" i="16"/>
  <c r="N60" i="16"/>
  <c r="I62" i="8"/>
  <c r="AH60" i="16"/>
  <c r="O60" i="16"/>
  <c r="AB51" i="16"/>
  <c r="N51" i="16"/>
  <c r="I53" i="8"/>
  <c r="AH51" i="16"/>
  <c r="O51" i="16"/>
  <c r="AB46" i="16"/>
  <c r="N46" i="16"/>
  <c r="I48" i="8"/>
  <c r="AH46" i="16"/>
  <c r="O46" i="16"/>
  <c r="I44" i="8"/>
  <c r="N42" i="16"/>
  <c r="AB42" i="16"/>
  <c r="AH42" i="16"/>
  <c r="O42" i="16"/>
  <c r="AB33" i="16"/>
  <c r="Q16" i="9" s="1"/>
  <c r="N33" i="16"/>
  <c r="I35" i="8"/>
  <c r="AH33" i="16"/>
  <c r="W16" i="9" s="1"/>
  <c r="O33" i="16"/>
  <c r="AB32" i="16"/>
  <c r="N32" i="16"/>
  <c r="I34" i="8"/>
  <c r="AH32" i="16"/>
  <c r="O32" i="16"/>
  <c r="I32" i="8"/>
  <c r="N30" i="16"/>
  <c r="AB30" i="16"/>
  <c r="O30" i="16"/>
  <c r="AH30" i="16"/>
  <c r="AB29" i="16"/>
  <c r="N29" i="16"/>
  <c r="I31" i="8"/>
  <c r="AH29" i="16"/>
  <c r="O29" i="16"/>
  <c r="AB7" i="16"/>
  <c r="N7" i="16"/>
  <c r="I9" i="8"/>
  <c r="AH7" i="16"/>
  <c r="O7" i="16"/>
  <c r="AB6" i="16"/>
  <c r="N6" i="16"/>
  <c r="I8" i="8"/>
  <c r="AH6" i="16"/>
  <c r="O6" i="16"/>
  <c r="E23" i="13"/>
  <c r="G23" i="13" s="1"/>
  <c r="F33" i="6"/>
  <c r="G33" i="6" s="1"/>
  <c r="D25" i="2"/>
  <c r="H19" i="2"/>
  <c r="D28" i="2"/>
  <c r="D43" i="6"/>
  <c r="C19" i="10"/>
  <c r="D70" i="7"/>
  <c r="H70" i="7" s="1"/>
  <c r="AB71" i="4"/>
  <c r="E53" i="7"/>
  <c r="I53" i="7"/>
  <c r="J53" i="7" s="1"/>
  <c r="G49" i="7"/>
  <c r="H49" i="7"/>
  <c r="J49" i="7" s="1"/>
  <c r="E49" i="7"/>
  <c r="D76" i="7"/>
  <c r="H76" i="7" s="1"/>
  <c r="AH71" i="4"/>
  <c r="G50" i="7"/>
  <c r="H50" i="7"/>
  <c r="J50" i="7" s="1"/>
  <c r="E50" i="7"/>
  <c r="D79" i="7"/>
  <c r="H79" i="7" s="1"/>
  <c r="AK71" i="4"/>
  <c r="E63" i="9"/>
  <c r="C16" i="10"/>
  <c r="E22" i="13"/>
  <c r="G22" i="13" s="1"/>
  <c r="C33" i="6"/>
  <c r="D33" i="6" s="1"/>
  <c r="C25" i="2"/>
  <c r="F19" i="2"/>
  <c r="D41" i="6"/>
  <c r="C28" i="2"/>
  <c r="D42" i="6"/>
  <c r="W71" i="4"/>
  <c r="D65" i="7"/>
  <c r="H65" i="7" s="1"/>
  <c r="D68" i="7"/>
  <c r="H68" i="7" s="1"/>
  <c r="Z71" i="4"/>
  <c r="D73" i="7"/>
  <c r="H73" i="7" s="1"/>
  <c r="AE71" i="4"/>
  <c r="AA53" i="16"/>
  <c r="P15" i="9" s="1"/>
  <c r="P53" i="16"/>
  <c r="K55" i="8" s="1"/>
  <c r="I53" i="16"/>
  <c r="J53" i="16"/>
  <c r="Q53" i="16"/>
  <c r="L55" i="8" s="1"/>
  <c r="AA52" i="16"/>
  <c r="P52" i="16"/>
  <c r="K54" i="8" s="1"/>
  <c r="I52" i="16"/>
  <c r="J52" i="16"/>
  <c r="Q52" i="16"/>
  <c r="L54" i="8" s="1"/>
  <c r="S25" i="9"/>
  <c r="S28" i="9"/>
  <c r="S26" i="9"/>
  <c r="S24" i="9"/>
  <c r="S14" i="9"/>
  <c r="S9" i="9"/>
  <c r="I51" i="7"/>
  <c r="J51" i="7" s="1"/>
  <c r="E51" i="7"/>
  <c r="I52" i="7"/>
  <c r="J52" i="7" s="1"/>
  <c r="E52" i="7"/>
  <c r="W27" i="9" l="1"/>
  <c r="Q27" i="9"/>
  <c r="Q23" i="9"/>
  <c r="P11" i="9"/>
  <c r="P14" i="9"/>
  <c r="P12" i="9"/>
  <c r="U18" i="9"/>
  <c r="Y18" i="9"/>
  <c r="W23" i="9"/>
  <c r="Q22" i="9"/>
  <c r="W22" i="9"/>
  <c r="Q25" i="9"/>
  <c r="W25" i="9"/>
  <c r="G60" i="8"/>
  <c r="H60" i="8"/>
  <c r="AF58" i="16"/>
  <c r="M69" i="8"/>
  <c r="AJ67" i="16"/>
  <c r="AJ34" i="16"/>
  <c r="Y17" i="9" s="1"/>
  <c r="M36" i="8"/>
  <c r="H25" i="8"/>
  <c r="G25" i="8"/>
  <c r="AF23" i="16"/>
  <c r="M23" i="8"/>
  <c r="AJ21" i="16"/>
  <c r="G21" i="8"/>
  <c r="H21" i="8"/>
  <c r="AF19" i="16"/>
  <c r="M21" i="8"/>
  <c r="AJ19" i="16"/>
  <c r="G20" i="8"/>
  <c r="H20" i="8"/>
  <c r="AF18" i="16"/>
  <c r="M20" i="8"/>
  <c r="AJ18" i="16"/>
  <c r="G18" i="8"/>
  <c r="AF16" i="16"/>
  <c r="U20" i="9" s="1"/>
  <c r="H18" i="8"/>
  <c r="M67" i="8"/>
  <c r="AJ65" i="16"/>
  <c r="H67" i="8"/>
  <c r="G67" i="8"/>
  <c r="AF65" i="16"/>
  <c r="U27" i="9" s="1"/>
  <c r="H49" i="8"/>
  <c r="G49" i="8"/>
  <c r="AF47" i="16"/>
  <c r="M49" i="8"/>
  <c r="AJ47" i="16"/>
  <c r="H27" i="8"/>
  <c r="G27" i="8"/>
  <c r="AF25" i="16"/>
  <c r="M27" i="8"/>
  <c r="AJ25" i="16"/>
  <c r="AH72" i="16"/>
  <c r="O72" i="16"/>
  <c r="AB72" i="16"/>
  <c r="N72" i="16"/>
  <c r="AH71" i="16"/>
  <c r="O71" i="16"/>
  <c r="AB71" i="16"/>
  <c r="N71" i="16"/>
  <c r="AB70" i="16"/>
  <c r="N70" i="16"/>
  <c r="AH70" i="16"/>
  <c r="O70" i="16"/>
  <c r="AH64" i="16"/>
  <c r="O64" i="16"/>
  <c r="AB64" i="16"/>
  <c r="N64" i="16"/>
  <c r="I66" i="8"/>
  <c r="AH59" i="16"/>
  <c r="O59" i="16"/>
  <c r="AB59" i="16"/>
  <c r="N59" i="16"/>
  <c r="I61" i="8"/>
  <c r="AH50" i="16"/>
  <c r="O50" i="16"/>
  <c r="AB50" i="16"/>
  <c r="N50" i="16"/>
  <c r="I52" i="8"/>
  <c r="AH49" i="16"/>
  <c r="O49" i="16"/>
  <c r="AB49" i="16"/>
  <c r="N49" i="16"/>
  <c r="I51" i="8"/>
  <c r="AH45" i="16"/>
  <c r="W28" i="9" s="1"/>
  <c r="O45" i="16"/>
  <c r="AB45" i="16"/>
  <c r="Q28" i="9" s="1"/>
  <c r="N45" i="16"/>
  <c r="I47" i="8"/>
  <c r="AB36" i="16"/>
  <c r="Q19" i="9" s="1"/>
  <c r="N36" i="16"/>
  <c r="I38" i="8"/>
  <c r="AH36" i="16"/>
  <c r="W19" i="9" s="1"/>
  <c r="O36" i="16"/>
  <c r="AH28" i="16"/>
  <c r="W11" i="9" s="1"/>
  <c r="O28" i="16"/>
  <c r="AB28" i="16"/>
  <c r="Q11" i="9" s="1"/>
  <c r="N28" i="16"/>
  <c r="I30" i="8"/>
  <c r="AH27" i="16"/>
  <c r="W10" i="9" s="1"/>
  <c r="O27" i="16"/>
  <c r="AB27" i="16"/>
  <c r="Q10" i="9" s="1"/>
  <c r="N27" i="16"/>
  <c r="I29" i="8"/>
  <c r="AH22" i="16"/>
  <c r="W26" i="9" s="1"/>
  <c r="O22" i="16"/>
  <c r="AB22" i="16"/>
  <c r="Q26" i="9" s="1"/>
  <c r="N22" i="16"/>
  <c r="I24" i="8"/>
  <c r="AH17" i="16"/>
  <c r="W21" i="9" s="1"/>
  <c r="O17" i="16"/>
  <c r="AB17" i="16"/>
  <c r="Q21" i="9" s="1"/>
  <c r="N17" i="16"/>
  <c r="I19" i="8"/>
  <c r="AH10" i="16"/>
  <c r="O10" i="16"/>
  <c r="AB10" i="16"/>
  <c r="N10" i="16"/>
  <c r="I12" i="8"/>
  <c r="AB9" i="16"/>
  <c r="Q13" i="9" s="1"/>
  <c r="N9" i="16"/>
  <c r="I11" i="8"/>
  <c r="AH9" i="16"/>
  <c r="W13" i="9" s="1"/>
  <c r="O9" i="16"/>
  <c r="AH8" i="16"/>
  <c r="W12" i="9" s="1"/>
  <c r="O8" i="16"/>
  <c r="AB8" i="16"/>
  <c r="Q12" i="9" s="1"/>
  <c r="N8" i="16"/>
  <c r="I10" i="8"/>
  <c r="AH5" i="16"/>
  <c r="W9" i="9" s="1"/>
  <c r="O5" i="16"/>
  <c r="AB5" i="16"/>
  <c r="Q9" i="9" s="1"/>
  <c r="N5" i="16"/>
  <c r="I7" i="8"/>
  <c r="L77" i="8"/>
  <c r="L76" i="8"/>
  <c r="AH4" i="16"/>
  <c r="O4" i="16"/>
  <c r="K77" i="8"/>
  <c r="K76" i="8"/>
  <c r="P8" i="9"/>
  <c r="P33" i="9"/>
  <c r="AB4" i="16"/>
  <c r="N4" i="16"/>
  <c r="I6" i="8"/>
  <c r="H71" i="8"/>
  <c r="G71" i="8"/>
  <c r="AF69" i="16"/>
  <c r="H70" i="8"/>
  <c r="G70" i="8"/>
  <c r="AF68" i="16"/>
  <c r="M70" i="8"/>
  <c r="AJ68" i="16"/>
  <c r="H68" i="8"/>
  <c r="G68" i="8"/>
  <c r="AF66" i="16"/>
  <c r="M68" i="8"/>
  <c r="AJ66" i="16"/>
  <c r="H65" i="8"/>
  <c r="G65" i="8"/>
  <c r="AF63" i="16"/>
  <c r="H64" i="8"/>
  <c r="G64" i="8"/>
  <c r="AF62" i="16"/>
  <c r="U24" i="9" s="1"/>
  <c r="M64" i="8"/>
  <c r="AJ62" i="16"/>
  <c r="Y24" i="9" s="1"/>
  <c r="H63" i="8"/>
  <c r="G63" i="8"/>
  <c r="AF61" i="16"/>
  <c r="M63" i="8"/>
  <c r="AJ61" i="16"/>
  <c r="H62" i="8"/>
  <c r="G62" i="8"/>
  <c r="AF60" i="16"/>
  <c r="M62" i="8"/>
  <c r="AJ60" i="16"/>
  <c r="H53" i="8"/>
  <c r="G53" i="8"/>
  <c r="AF51" i="16"/>
  <c r="M53" i="8"/>
  <c r="AJ51" i="16"/>
  <c r="H48" i="8"/>
  <c r="G48" i="8"/>
  <c r="AF46" i="16"/>
  <c r="M48" i="8"/>
  <c r="AJ46" i="16"/>
  <c r="H44" i="8"/>
  <c r="G44" i="8"/>
  <c r="AF42" i="16"/>
  <c r="M44" i="8"/>
  <c r="AJ42" i="16"/>
  <c r="H35" i="8"/>
  <c r="G35" i="8"/>
  <c r="AF33" i="16"/>
  <c r="U16" i="9" s="1"/>
  <c r="M35" i="8"/>
  <c r="AJ33" i="16"/>
  <c r="Y16" i="9" s="1"/>
  <c r="H34" i="8"/>
  <c r="G34" i="8"/>
  <c r="AF32" i="16"/>
  <c r="M34" i="8"/>
  <c r="AJ32" i="16"/>
  <c r="H32" i="8"/>
  <c r="G32" i="8"/>
  <c r="AF30" i="16"/>
  <c r="M32" i="8"/>
  <c r="AJ30" i="16"/>
  <c r="H31" i="8"/>
  <c r="G31" i="8"/>
  <c r="AF29" i="16"/>
  <c r="M31" i="8"/>
  <c r="AJ29" i="16"/>
  <c r="H9" i="8"/>
  <c r="G9" i="8"/>
  <c r="AF7" i="16"/>
  <c r="M9" i="8"/>
  <c r="AJ7" i="16"/>
  <c r="H8" i="8"/>
  <c r="G8" i="8"/>
  <c r="AF6" i="16"/>
  <c r="M8" i="8"/>
  <c r="AJ6" i="16"/>
  <c r="G34" i="6"/>
  <c r="H33" i="6"/>
  <c r="D61" i="6"/>
  <c r="D34" i="6"/>
  <c r="E33" i="6"/>
  <c r="E61" i="6"/>
  <c r="C61" i="6"/>
  <c r="AB53" i="16"/>
  <c r="Q15" i="9" s="1"/>
  <c r="N53" i="16"/>
  <c r="I55" i="8"/>
  <c r="AH53" i="16"/>
  <c r="W15" i="9" s="1"/>
  <c r="O53" i="16"/>
  <c r="AB52" i="16"/>
  <c r="N52" i="16"/>
  <c r="I54" i="8"/>
  <c r="AH52" i="16"/>
  <c r="O52" i="16"/>
  <c r="P26" i="9"/>
  <c r="P21" i="9"/>
  <c r="Y27" i="9"/>
  <c r="E7" i="13"/>
  <c r="G7" i="13" s="1"/>
  <c r="W14" i="9" l="1"/>
  <c r="Q14" i="9"/>
  <c r="U23" i="9"/>
  <c r="Y23" i="9"/>
  <c r="U22" i="9"/>
  <c r="Y22" i="9"/>
  <c r="U25" i="9"/>
  <c r="Y25" i="9"/>
  <c r="M74" i="8"/>
  <c r="AJ72" i="16"/>
  <c r="H74" i="8"/>
  <c r="G74" i="8"/>
  <c r="AF72" i="16"/>
  <c r="M73" i="8"/>
  <c r="AJ71" i="16"/>
  <c r="H73" i="8"/>
  <c r="G73" i="8"/>
  <c r="AF71" i="16"/>
  <c r="H72" i="8"/>
  <c r="G72" i="8"/>
  <c r="AF70" i="16"/>
  <c r="M72" i="8"/>
  <c r="AJ70" i="16"/>
  <c r="M66" i="8"/>
  <c r="AJ64" i="16"/>
  <c r="H66" i="8"/>
  <c r="G66" i="8"/>
  <c r="AF64" i="16"/>
  <c r="M61" i="8"/>
  <c r="AJ59" i="16"/>
  <c r="H61" i="8"/>
  <c r="G61" i="8"/>
  <c r="AF59" i="16"/>
  <c r="M52" i="8"/>
  <c r="AJ50" i="16"/>
  <c r="H52" i="8"/>
  <c r="G52" i="8"/>
  <c r="AF50" i="16"/>
  <c r="M51" i="8"/>
  <c r="AJ49" i="16"/>
  <c r="H51" i="8"/>
  <c r="G51" i="8"/>
  <c r="AF49" i="16"/>
  <c r="M47" i="8"/>
  <c r="AJ45" i="16"/>
  <c r="Y28" i="9" s="1"/>
  <c r="H47" i="8"/>
  <c r="G47" i="8"/>
  <c r="AF45" i="16"/>
  <c r="U28" i="9" s="1"/>
  <c r="H38" i="8"/>
  <c r="G38" i="8"/>
  <c r="AF36" i="16"/>
  <c r="U19" i="9" s="1"/>
  <c r="M38" i="8"/>
  <c r="AJ36" i="16"/>
  <c r="Y19" i="9" s="1"/>
  <c r="M30" i="8"/>
  <c r="AJ28" i="16"/>
  <c r="H30" i="8"/>
  <c r="G30" i="8"/>
  <c r="AF28" i="16"/>
  <c r="M29" i="8"/>
  <c r="AJ27" i="16"/>
  <c r="Y10" i="9" s="1"/>
  <c r="H29" i="8"/>
  <c r="G29" i="8"/>
  <c r="AF27" i="16"/>
  <c r="U10" i="9" s="1"/>
  <c r="M24" i="8"/>
  <c r="AJ22" i="16"/>
  <c r="H24" i="8"/>
  <c r="G24" i="8"/>
  <c r="AF22" i="16"/>
  <c r="M19" i="8"/>
  <c r="AJ17" i="16"/>
  <c r="Y21" i="9" s="1"/>
  <c r="H19" i="8"/>
  <c r="G19" i="8"/>
  <c r="AF17" i="16"/>
  <c r="U21" i="9" s="1"/>
  <c r="M12" i="8"/>
  <c r="AJ10" i="16"/>
  <c r="H12" i="8"/>
  <c r="G12" i="8"/>
  <c r="AF10" i="16"/>
  <c r="H11" i="8"/>
  <c r="G11" i="8"/>
  <c r="AF9" i="16"/>
  <c r="U13" i="9" s="1"/>
  <c r="M11" i="8"/>
  <c r="AJ9" i="16"/>
  <c r="Y13" i="9" s="1"/>
  <c r="M10" i="8"/>
  <c r="AJ8" i="16"/>
  <c r="Y12" i="9" s="1"/>
  <c r="H10" i="8"/>
  <c r="G10" i="8"/>
  <c r="AF8" i="16"/>
  <c r="U12" i="9" s="1"/>
  <c r="M7" i="8"/>
  <c r="AJ5" i="16"/>
  <c r="Y9" i="9" s="1"/>
  <c r="H7" i="8"/>
  <c r="G7" i="8"/>
  <c r="AF5" i="16"/>
  <c r="U9" i="9" s="1"/>
  <c r="W8" i="9"/>
  <c r="W33" i="9"/>
  <c r="M6" i="8"/>
  <c r="AJ4" i="16"/>
  <c r="Q8" i="9"/>
  <c r="Q33" i="9"/>
  <c r="H6" i="8"/>
  <c r="G6" i="8"/>
  <c r="AF4" i="16"/>
  <c r="H34" i="6"/>
  <c r="G35" i="6"/>
  <c r="E34" i="6"/>
  <c r="D35" i="6"/>
  <c r="D62" i="6"/>
  <c r="C63" i="6"/>
  <c r="E63" i="6"/>
  <c r="H55" i="8"/>
  <c r="G55" i="8"/>
  <c r="AF53" i="16"/>
  <c r="U15" i="9" s="1"/>
  <c r="M55" i="8"/>
  <c r="AJ53" i="16"/>
  <c r="Y15" i="9" s="1"/>
  <c r="H54" i="8"/>
  <c r="G54" i="8"/>
  <c r="AF52" i="16"/>
  <c r="M54" i="8"/>
  <c r="AJ52" i="16"/>
  <c r="E62" i="6"/>
  <c r="C62" i="6"/>
  <c r="Y11" i="9" l="1"/>
  <c r="U11" i="9"/>
  <c r="U26" i="9"/>
  <c r="M77" i="8"/>
  <c r="M76" i="8"/>
  <c r="Y8" i="9"/>
  <c r="Y33" i="9"/>
  <c r="G77" i="8"/>
  <c r="G76" i="8"/>
  <c r="H76" i="8" s="1"/>
  <c r="U8" i="9"/>
  <c r="U33" i="9"/>
  <c r="H35" i="6"/>
  <c r="G36" i="6"/>
  <c r="E35" i="6"/>
  <c r="D36" i="6"/>
  <c r="D63" i="6"/>
  <c r="U14" i="9"/>
  <c r="Y14" i="9"/>
  <c r="Y26" i="9"/>
  <c r="E12" i="13" l="1"/>
  <c r="G12" i="13" s="1"/>
  <c r="H36" i="6"/>
  <c r="E67" i="9"/>
  <c r="E26" i="13"/>
  <c r="G26" i="13" s="1"/>
  <c r="D29" i="2"/>
  <c r="E13" i="13"/>
  <c r="G13" i="13" s="1"/>
  <c r="E11" i="13"/>
  <c r="G11" i="13" s="1"/>
  <c r="E14" i="13"/>
  <c r="G14" i="13" s="1"/>
  <c r="E36" i="6"/>
  <c r="F64" i="6"/>
  <c r="E25" i="13"/>
  <c r="G25" i="13" s="1"/>
  <c r="E27" i="13"/>
  <c r="G27" i="13" s="1"/>
  <c r="E66" i="9"/>
  <c r="D25" i="12"/>
  <c r="C14" i="10"/>
  <c r="D19" i="2"/>
  <c r="C29" i="2"/>
  <c r="C35" i="2"/>
  <c r="E3" i="13" l="1"/>
  <c r="C3" i="13"/>
  <c r="L19" i="2" s="1"/>
  <c r="D26" i="12"/>
  <c r="F38" i="12"/>
  <c r="D15" i="10"/>
  <c r="G15" i="10"/>
  <c r="F15" i="10"/>
  <c r="E15" i="10"/>
  <c r="C34" i="2"/>
  <c r="C15" i="10"/>
  <c r="E39" i="12" l="1"/>
  <c r="C39" i="12"/>
  <c r="D27" i="12"/>
  <c r="D39" i="12"/>
  <c r="E26" i="12"/>
  <c r="E40" i="12" l="1"/>
  <c r="C40" i="12"/>
  <c r="D28" i="12"/>
  <c r="E27" i="12"/>
  <c r="D40" i="12"/>
  <c r="E41" i="12" l="1"/>
  <c r="C41" i="12"/>
  <c r="E28" i="12"/>
  <c r="D41" i="12"/>
  <c r="D29" i="12"/>
  <c r="D30" i="12" l="1"/>
  <c r="F43" i="12" s="1"/>
  <c r="E29" i="12"/>
  <c r="D42"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<sst xmlns="http://schemas.openxmlformats.org/spreadsheetml/2006/main" count="3629" uniqueCount="1313">
  <si>
    <t>Calendar-Year Plan Loss Ratio Workbook — Property</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</si>
  <si>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</si>
  <si>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</si>
  <si>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</si>
  <si>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</si>
  <si>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</si>
  <si>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Property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</si>
  <si>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</si>
  <si>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</si>
  <si>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</si>
  <si>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</si>
  <si>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</si>
  <si>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</si>
  <si>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</si>
  <si>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</si>
  <si>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</si>
  <si>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</si>
  <si>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</si>
  <si>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</si>
  <si>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</si>
  <si>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</si>
  <si>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</si>
  <si>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</si>
  <si>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</si>
  <si>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</si>
  <si>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</si>
  <si>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</si>
  <si>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</si>
  <si>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</si>
  <si>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</si>
  <si>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</si>
  <si>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</si>
  <si>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</si>
  <si>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</si>
  <si>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</si>
  <si>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</si>
  <si>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</si>
  <si>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</si>
  <si>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</si>
  <si>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</si>
  <si>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</si>
  <si>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</si>
  <si>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</si>
  <si>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</si>
  <si>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</si>
  <si>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</si>
  <si>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</si>
  <si>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</si>
  <si>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</si>
  <si>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</si>
  <si>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</si>
  <si>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</si>
  <si>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</si>
  <si>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</si>
  <si>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</si>
  <si>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</si>
  <si>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Property</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</si>
  <si>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</si>
  <si>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</si>
  <si>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</si>
  <si>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</si>
  <si>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</si>
  <si>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</si>
  <si>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</si>
  <si>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</si>
  <si>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</si>
  <si>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</si>
  <si>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</si>
  <si>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</si>
  <si>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</si>
  <si>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</si>
  <si>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</si>
  <si>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</si>
  <si>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</si>
  <si>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</si>
  <si>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</si>
  <si>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</si>
  <si>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</si>
  <si>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</si>
  <si>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</si>
  <si>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</si>
  <si>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</si>
  <si>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</si>
  <si>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</si>
  <si>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</si>
  <si>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</si>
  <si>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</si>
  <si>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</si>
  <si>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</si>
  <si>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</si>
  <si>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</si>
  <si>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</si>
  <si>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</si>
  <si>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</si>
  <si>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</si>
  <si>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</si>
  <si>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</si>
  <si>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</si>
  <si>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</si>
  <si>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</si>
  <si>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</si>
  <si>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</si>
  <si>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Property</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</si>
  <si>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</si>
  <si>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</si>
  <si>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</si>
  <si>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</si>
  <si>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</si>
  <si>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</si>
  <si>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</si>
  <si>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</si>
  <si>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</si>
  <si>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</si>
  <si>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</si>
  <si>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</si>
  <si>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</si>
  <si>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</si>
  <si>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</si>
  <si>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</si>
  <si>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</si>
  <si>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</si>
  <si>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</si>
  <si>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</si>
  <si>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</si>
  <si>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</si>
  <si>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</si>
  <si>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</si>
  <si>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</si>
  <si>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</si>
  <si>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</si>
  <si>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</si>
  <si>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</si>
  <si>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</si>
  <si>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</si>
  <si>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</si>
  <si>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</si>
  <si>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</si>
  <si>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</si>
  <si>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</si>
  <si>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</si>
  <si>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</si>
  <si>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</si>
  <si>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</si>
  <si>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</si>
  <si>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</si>
  <si>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</si>
  <si>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</si>
  <si>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</si>
  <si>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</si>
  <si>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</si>
  <si>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</si>
  <si>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</si>
  <si>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</si>
  <si>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</si>
  <si>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</si>
  <si>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</si>
  <si>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</si>
  <si>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</si>
  <si>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</si>
  <si>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</si>
  <si>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</si>
  <si>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</si>
  <si>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</si>
  <si>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</si>
  <si>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</si>
  <si>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</si>
  <si>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</si>
  <si>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</si>
  <si>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</si>
  <si>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</si>
  <si>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</si>
  <si>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</si>
  <si>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</si>
  <si>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</si>
  <si>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</si>
  <si>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</si>
  <si>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</si>
  <si>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</si>
  <si>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</si>
  <si>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</si>
  <si>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</si>
  <si>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</si>
  <si>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</si>
  <si>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</si>
  <si>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</si>
  <si>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</si>
  <si>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</si>
  <si>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</si>
  <si>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</si>
  <si>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</si>
  <si>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</si>
  <si>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</si>
  <si>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</si>
  <si>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</si>
  <si>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</si>
  <si>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</si>
  <si>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</si>
  <si>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</si>
  <si>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</si>
  <si>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</si>
  <si>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</si>
  <si>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</si>
  <si>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</si>
  <si>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</si>
  <si>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</si>
  <si>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</si>
  <si>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</si>
  <si>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</si>
  <si>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</si>
  <si>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</si>
  <si>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</si>
  <si>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</si>
  <si>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</si>
  <si>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</si>
  <si>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</si>
  <si>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</si>
  <si>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</si>
  <si>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</si>
  <si>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</si>
  <si>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</si>
  <si>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</si>
  <si>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</si>
  <si>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</si>
  <si>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</si>
  <si>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</si>
  <si>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</si>
  <si>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</si>
  <si>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</si>
  <si>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</si>
  <si>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</si>
  <si>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</si>
  <si>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</si>
  <si>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</si>
  <si>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</si>
  <si>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</si>
  <si>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</si>
  <si>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</si>
  <si>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</si>
  <si>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</si>
  <si>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</si>
  <si>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</si>
  <si>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</si>
  <si>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</si>
  <si>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</si>
  <si>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</si>
  <si>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</si>
  <si>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</si>
  <si>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</si>
  <si>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</si>
  <si>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</si>
  <si>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</si>
  <si>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</si>
  <si>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</si>
  <si>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</si>
  <si>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</si>
  <si>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</si>
  <si>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</si>
  <si>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</si>
  <si>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</si>
  <si>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</si>
  <si>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</si>
  <si>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</si>
  <si>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</si>
  <si>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</si>
  <si>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</si>
  <si>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</si>
  <si>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</si>
  <si>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</si>
  <si>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</si>
  <si>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</si>
  <si>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</si>
  <si>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</si>
  <si>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</si>
  <si>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</si>
  <si>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</si>
  <si>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(Property)</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</si>
  <si>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</si>
  <si>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</si>
  <si>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</si>
  <si>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</si>
  <si>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</si>
  <si>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</si>
  <si>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</si>
  <si>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</si>
  <si>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</si>
  <si>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</si>
  <si>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</si>
  <si>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</si>
  <si>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</si>
  <si>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</si>
  <si>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</si>
  <si>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</si>
  <si>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</si>
  <si>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</si>
  <si>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</si>
  <si>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</si>
  <si>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</si>
  <si>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</si>
  <si>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</si>
  <si>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</si>
  <si>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</si>
  <si>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</si>
  <si>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</si>
  <si>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</si>
  <si>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</si>
  <si>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</si>
  <si>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</si>
  <si>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</si>
  <si>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</si>
  <si>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</si>
  <si>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</si>
  <si>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</si>
  <si>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</si>
  <si>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</si>
  <si>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</si>
  <si>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</si>
  <si>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</si>
  <si>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</si>
  <si>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</si>
  <si>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</si>
  <si>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</si>
  <si>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</si>
  <si>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</si>
  <si>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</si>
  <si>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</si>
  <si>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</si>
  <si>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</si>
  <si>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</si>
  <si>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</si>
  <si>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</si>
  <si>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</si>
  <si>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</si>
  <si>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</si>
  <si>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</si>
  <si>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</si>
  <si>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</si>
  <si>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</si>
  <si>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</si>
  <si>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</si>
  <si>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</si>
  <si>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(Property)</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</si>
  <si>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</si>
  <si>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</si>
  <si>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</si>
  <si>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</si>
  <si>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</si>
  <si>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</si>
  <si>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</si>
  <si>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</si>
  <si>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</si>
  <si>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</si>
  <si>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</si>
  <si>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</si>
  <si>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</si>
  <si>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</si>
  <si>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Property</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</si>
  <si>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</si>
  <si>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</si>
  <si>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</si>
  <si>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</si>
  <si>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</si>
  <si>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</si>
  <si>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</si>
  <si>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</si>
  <si>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</si>
  <si>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</si>
  <si>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</si>
  <si>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</si>
  <si>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</si>
  <si>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</si>
  <si>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</si>
  <si>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</si>
  <si>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</si>
  <si>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</si>
  <si>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</si>
  <si>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</si>
  <si>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</si>
  <si>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</si>
  <si>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</si>
  <si>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</si>
  <si>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</si>
  <si>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</si>
  <si>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</si>
  <si>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</si>
  <si>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</si>
  <si>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</si>
  <si>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</si>
  <si>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</si>
  <si>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</si>
  <si>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</si>
  <si>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</si>
  <si>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</si>
  <si>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</si>
  <si>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</si>
  <si>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M_ind  /  M_0  /  M_1</t>
  </si>
  <si>
    <t>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</si>
  <si>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</si>
  <si>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</si>
  <si>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The cumulative rate level the indication assumed FULLY EARNED — the product of all rate changes it considered. This is the 'assumed rate in the indication'.</t>
  </si>
  <si>
    <t>The rate level calendar-year 2027 ACTUALLY earns. Policies written last year carry older rates into early 2027, and new actions earn in only gradually as the book turns over — so the earned level rarely matches the indication's.</t>
  </si>
  <si>
    <t>CRL_ind / E_CY(2027). Above 1.000: 2027 earns less rate than the indication assumed, pushing the plan LR up. Below 1.000: extra rate the indication never counted earns in, pushing it down.</t>
  </si>
  <si>
    <t>Earned mod  /  A_mod</t>
  </si>
  <si>
    <t>The average schedule mod 2027 earns, and M_ind / that value — the identical earn-in logic applied to the price (mod) lever.</t>
  </si>
  <si>
    <t>The projected LR restated to current rate level (multiplied by (1+s) when the indication quoted it at the proposed level).</t>
  </si>
  <si>
    <t>LR current  x  A_rate  x  A_mod  x  A_other.</t>
  </si>
  <si>
    <t>Net trend  /  CY 2028</t>
  </si>
  <si>
    <t>The 2028 view holds the indication fixed, applies the net loss-over-premium trend once, and swaps in 2028's earn-in factors. Indicative only — it assumes no new indication.</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</si>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</sst>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3" fillId="0" borderId="0" xfId="0" applyFont="1" applyAlignment="1">
      <alignment horizontal="left" vertical="top" wrapText="1"/>
    </xf>
    <xf numFmtId="0" fontId="11" fillId="4" borderId="2" xfId="0" applyFont="1" applyFill="1" applyBorder="1"/>
    <xf numFmtId="0" fontId="23"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7" fillId="0" borderId="0" xfId="0" applyFont="1" applyAlignment="1">
      <alignment horizontal="left" vertical="top" wrapText="1"/>
    </xf>
    <xf numFmtId="0" fontId="15" fillId="0" borderId="0" xfId="0" applyFont="1" applyAlignment="1">
      <alignment horizontal="left" vertical="top" wrapText="1"/>
    </xf>
    <xf numFmtId="164" fontId="11"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7" fillId="0" borderId="0" xfId="0" applyFont="1"/>
    <xf numFmtId="0" fontId="19"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8"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0"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5"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7"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7"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1"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3" fillId="0" borderId="0" xfId="0" applyNumberFormat="1" applyFont="1" applyAlignment="1">
      <alignment horizontal="center" vertical="center"/>
    </xf>
    <xf numFmtId="0" fontId="18" fillId="0" borderId="0" xfId="0" applyFont="1" applyAlignment="1">
      <alignment horizontal="center" vertical="center"/>
    </xf>
    <xf numFmtId="165" fontId="3"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0"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F06-4A28-897B-ED933105B483}"/>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F06-4A28-897B-ED933105B483}"/>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F06-4A28-897B-ED933105B483}"/>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F06-4A28-897B-ED933105B48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65E7-406F-902E-F8B980B9762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65E7-406F-902E-F8B980B97627}"/>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65E7-406F-902E-F8B980B9762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66A9-4A13-B472-FE29513ED91F}"/>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66A9-4A13-B472-FE29513ED91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40B7-4993-93AE-D168461DE09F}"/>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40B7-4993-93AE-D168461DE09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0F4-4755-A0B9-73E545C0F98F}"/>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0F4-4755-A0B9-73E545C0F98F}"/>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B4F-4961-91F9-FD5471952D67}"/>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7FC4-42A3-AE0B-78FEC3D35C96}"/>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7FC4-42A3-AE0B-78FEC3D35C96}"/>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B171-4EC3-925B-0FDFEF23E5E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171-4EC3-925B-0FDFEF23E5E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171-4EC3-925B-0FDFEF23E5E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171-4EC3-925B-0FDFEF23E5E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12</v>
      </c>
    </row>
    <row r="9" spans="2:6" x14ac:dyDescent="0.25">
      <c r="B9" s="12" t="s">
        <v>67</v>
      </c>
      <c r="C9" s="7" t="s">
        <v>68</v>
      </c>
      <c r="E9" s="12" t="s">
        <v>69</v>
      </c>
      <c r="F9" s="16" t="s">
        <v>70</v>
      </c>
    </row>
    <row r="11" spans="2:6" ht="15.75" x14ac:dyDescent="0.25">
      <c r="B11" s="3" t="s">
        <v>71</v>
      </c>
    </row>
    <row r="12" spans="2:6" ht="84" x14ac:dyDescent="0.25">
      <c r="B12" s="12" t="s">
        <v>72</v>
      </c>
      <c r="C12" s="5" t="s">
        <v>73</v>
      </c>
      <c r="D12" s="17" t="s">
        <v>74</v>
      </c>
    </row>
    <row r="13" spans="2:6" ht="96" x14ac:dyDescent="0.25">
      <c r="B13" s="12" t="s">
        <v>75</v>
      </c>
      <c r="C13" s="5" t="s">
        <v>76</v>
      </c>
      <c r="D13" s="18" t="s">
        <v>77</v>
      </c>
    </row>
    <row r="14" spans="2:6" x14ac:dyDescent="0.25">
      <c r="B14" s="12" t="s">
        <v>78</v>
      </c>
      <c r="C14" s="7" t="s">
        <v>79</v>
      </c>
    </row>
    <row r="15" spans="2:6" ht="108" x14ac:dyDescent="0.25">
      <c r="B15" s="12" t="s">
        <v>80</v>
      </c>
      <c r="C15" s="19">
        <v>0</v>
      </c>
      <c r="D15" s="17" t="s">
        <v>81</v>
      </c>
    </row>
    <row r="16" spans="2:6" x14ac:dyDescent="0.25">
      <c r="B16" s="20" t="str">
        <f>IF(nr_SelOK,"","WARNING: the selected BU | state has no row in tbl_LR - engines show neutral factors until a row is added.")</f>
        <v/>
      </c>
    </row>
    <row r="17" spans="2:13" ht="15.75" x14ac:dyDescent="0.25">
      <c r="B17" s="3" t="s">
        <v>82</v>
      </c>
    </row>
    <row r="18" spans="2:13" x14ac:dyDescent="0.25">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25">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25">
      <c r="B20" s="27" t="s">
        <v>83</v>
      </c>
      <c r="C20" s="24"/>
      <c r="D20" s="27" t="s">
        <v>84</v>
      </c>
      <c r="E20" s="24"/>
      <c r="F20" s="27" t="s">
        <v>85</v>
      </c>
      <c r="G20" s="24"/>
      <c r="H20" s="27" t="s">
        <v>86</v>
      </c>
      <c r="I20" s="24"/>
      <c r="J20" s="27" t="s">
        <v>87</v>
      </c>
      <c r="K20" s="24"/>
      <c r="L20" s="27" t="s">
        <v>88</v>
      </c>
      <c r="M20" s="24"/>
    </row>
    <row r="22" spans="2:13" ht="15.75" x14ac:dyDescent="0.25">
      <c r="B22" s="3" t="s">
        <v>89</v>
      </c>
    </row>
    <row r="23" spans="2:13" x14ac:dyDescent="0.25">
      <c r="B23" s="28" t="s">
        <v>90</v>
      </c>
      <c r="C23" s="29" t="str">
        <f>"CY "&amp;nr_PlanYear</f>
        <v>CY 2027</v>
      </c>
      <c r="D23" s="29" t="str">
        <f>"CY "&amp;(nr_PlanYear+1)&amp;" (indicative)"</f>
        <v>CY 2028 (indicative)</v>
      </c>
    </row>
    <row r="24" spans="2:13" x14ac:dyDescent="0.25">
      <c r="B24" s="12" t="s">
        <v>91</v>
      </c>
      <c r="C24" s="30">
        <f>nr_ECY_P</f>
        <v>1.1101025000000002</v>
      </c>
      <c r="D24" s="30">
        <f>nr_ECY_P1</f>
        <v>1.1557975</v>
      </c>
    </row>
    <row r="25" spans="2:13" x14ac:dyDescent="0.25">
      <c r="B25" s="12" t="s">
        <v>92</v>
      </c>
      <c r="C25" s="30">
        <f>nr_Arate_P</f>
        <v>0.99306145153262859</v>
      </c>
      <c r="D25" s="30">
        <f>nr_Arate_P1</f>
        <v>0.95380029806259314</v>
      </c>
    </row>
    <row r="26" spans="2:13" x14ac:dyDescent="0.25">
      <c r="B26" s="12" t="s">
        <v>93</v>
      </c>
      <c r="C26" s="31">
        <f>nr_MEarned_P</f>
        <v>0.8659874179431073</v>
      </c>
      <c r="D26" s="31">
        <f>nr_MEarned_P1</f>
        <v>0.88596906911013884</v>
      </c>
    </row>
    <row r="27" spans="2:13" x14ac:dyDescent="0.25">
      <c r="B27" s="12" t="s">
        <v>94</v>
      </c>
      <c r="C27" s="30">
        <f>nr_Amod_P</f>
        <v>0.98153851013092008</v>
      </c>
      <c r="D27" s="30">
        <f>nr_Amod_P1</f>
        <v>0.95940143921021315</v>
      </c>
    </row>
    <row r="28" spans="2:13" x14ac:dyDescent="0.25">
      <c r="B28" s="12" t="s">
        <v>95</v>
      </c>
      <c r="C28" s="32">
        <f>nr_YoY_P</f>
        <v>6.4540180283851223E-2</v>
      </c>
      <c r="D28" s="32">
        <f>nr_YoY_P1</f>
        <v>4.1162865591240383E-2</v>
      </c>
    </row>
    <row r="29" spans="2:13" x14ac:dyDescent="0.25">
      <c r="B29" s="12" t="s">
        <v>96</v>
      </c>
      <c r="C29" s="33">
        <f>nr_CYLR_P</f>
        <v>0.63357323744376037</v>
      </c>
      <c r="D29" s="33">
        <f>nr_CYLR_P1</f>
        <v>0.59480029614224839</v>
      </c>
    </row>
    <row r="30" spans="2:13" ht="60" x14ac:dyDescent="0.25">
      <c r="B30" s="17" t="s">
        <v>97</v>
      </c>
    </row>
    <row r="32" spans="2:13" ht="15.75" x14ac:dyDescent="0.25">
      <c r="B32" s="3" t="s">
        <v>98</v>
      </c>
    </row>
    <row r="33" spans="2:3" x14ac:dyDescent="0.25">
      <c r="B33" s="12" t="s">
        <v>67</v>
      </c>
      <c r="C33" s="34" t="str">
        <f>nr_SelScenario</f>
        <v>Base</v>
      </c>
    </row>
    <row r="34" spans="2:3" x14ac:dyDescent="0.25">
      <c r="B34" s="12" t="s">
        <v>99</v>
      </c>
      <c r="C34" s="33">
        <f>INDEX(sc_res_cylr,MATCH(nr_SelScenario,sc_res_names,0))</f>
        <v>0.63357323744376037</v>
      </c>
    </row>
    <row r="35" spans="2:3" x14ac:dyDescent="0.25">
      <c r="B35" s="12" t="s">
        <v>100</v>
      </c>
      <c r="C35" s="35">
        <f>(INDEX(sc_res_cylr,MATCH(nr_SelScenario,sc_res_names,0))-nr_CYLR_P)*100</f>
        <v>0</v>
      </c>
    </row>
    <row r="37" spans="2:3" ht="48" x14ac:dyDescent="0.25">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6" t="s">
        <v>104</v>
      </c>
      <c r="T4" s="37" t="s">
        <v>105</v>
      </c>
    </row>
    <row r="5" spans="1:20" ht="15.75" x14ac:dyDescent="0.25">
      <c r="A5" s="3" t="s">
        <v>106</v>
      </c>
      <c r="T5" s="37" t="s">
        <v>107</v>
      </c>
    </row>
    <row r="6" spans="1:20" ht="60" x14ac:dyDescent="0.25">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25">
      <c r="A7" s="5" t="s">
        <v>62</v>
      </c>
      <c r="B7" s="5" t="s">
        <v>65</v>
      </c>
      <c r="C7" s="19">
        <v>0.65</v>
      </c>
      <c r="D7" s="5" t="s">
        <v>126</v>
      </c>
      <c r="E7" s="40">
        <v>0.05</v>
      </c>
      <c r="F7" s="41">
        <v>0.85</v>
      </c>
      <c r="G7" s="41">
        <v>0.86</v>
      </c>
      <c r="H7" s="42">
        <v>46295</v>
      </c>
      <c r="I7" s="41">
        <v>0.89</v>
      </c>
      <c r="J7" s="43"/>
      <c r="K7" s="43"/>
      <c r="L7" s="44">
        <v>36000</v>
      </c>
      <c r="M7" s="40"/>
      <c r="N7" s="45">
        <v>1</v>
      </c>
      <c r="O7" s="7"/>
      <c r="P7" s="5" t="s">
        <v>76</v>
      </c>
      <c r="Q7" s="40"/>
      <c r="R7" s="40"/>
      <c r="T7" s="46" t="str">
        <f t="shared" ref="T7:T38" si="0">IF(OR($A7="",$B7=""),"",$A7&amp;"|"&amp;$B7)</f>
        <v>BU-A|AZ</v>
      </c>
    </row>
    <row r="8" spans="1:20" x14ac:dyDescent="0.25">
      <c r="A8" s="5" t="s">
        <v>62</v>
      </c>
      <c r="B8" s="5" t="s">
        <v>127</v>
      </c>
      <c r="C8" s="19">
        <v>0.65800000000000003</v>
      </c>
      <c r="D8" s="5" t="s">
        <v>126</v>
      </c>
      <c r="E8" s="40">
        <v>0.05</v>
      </c>
      <c r="F8" s="41">
        <v>0.85</v>
      </c>
      <c r="G8" s="41">
        <v>0.84</v>
      </c>
      <c r="H8" s="42">
        <v>46295</v>
      </c>
      <c r="I8" s="41">
        <v>0.84499999999999997</v>
      </c>
      <c r="J8" s="43"/>
      <c r="K8" s="43"/>
      <c r="L8" s="44">
        <v>94500</v>
      </c>
      <c r="M8" s="40"/>
      <c r="N8" s="45">
        <v>1</v>
      </c>
      <c r="O8" s="7"/>
      <c r="P8" s="5" t="s">
        <v>76</v>
      </c>
      <c r="Q8" s="40"/>
      <c r="R8" s="40"/>
      <c r="T8" s="46" t="str">
        <f t="shared" si="0"/>
        <v>BU-A|CA</v>
      </c>
    </row>
    <row r="9" spans="1:20" x14ac:dyDescent="0.25">
      <c r="A9" s="5" t="s">
        <v>62</v>
      </c>
      <c r="B9" s="5" t="s">
        <v>128</v>
      </c>
      <c r="C9" s="19">
        <v>0.64200000000000002</v>
      </c>
      <c r="D9" s="5" t="s">
        <v>126</v>
      </c>
      <c r="E9" s="40">
        <v>0.05</v>
      </c>
      <c r="F9" s="41">
        <v>0.85</v>
      </c>
      <c r="G9" s="41">
        <v>0.84</v>
      </c>
      <c r="H9" s="42">
        <v>46295</v>
      </c>
      <c r="I9" s="41">
        <v>0.86</v>
      </c>
      <c r="J9" s="43"/>
      <c r="K9" s="43"/>
      <c r="L9" s="44">
        <v>76500</v>
      </c>
      <c r="M9" s="40"/>
      <c r="N9" s="45">
        <v>1</v>
      </c>
      <c r="O9" s="7"/>
      <c r="P9" s="5" t="s">
        <v>76</v>
      </c>
      <c r="Q9" s="40"/>
      <c r="R9" s="40"/>
      <c r="T9" s="46" t="str">
        <f t="shared" si="0"/>
        <v>BU-A|CO</v>
      </c>
    </row>
    <row r="10" spans="1:20" x14ac:dyDescent="0.25">
      <c r="A10" s="5" t="s">
        <v>62</v>
      </c>
      <c r="B10" s="5" t="s">
        <v>129</v>
      </c>
      <c r="C10" s="19">
        <v>0.67</v>
      </c>
      <c r="D10" s="5" t="s">
        <v>126</v>
      </c>
      <c r="E10" s="40">
        <v>0.05</v>
      </c>
      <c r="F10" s="41">
        <v>0.85</v>
      </c>
      <c r="G10" s="41">
        <v>0.85</v>
      </c>
      <c r="H10" s="42">
        <v>46295</v>
      </c>
      <c r="I10" s="41">
        <v>0.85</v>
      </c>
      <c r="J10" s="43"/>
      <c r="K10" s="43"/>
      <c r="L10" s="44">
        <v>58500</v>
      </c>
      <c r="M10" s="40"/>
      <c r="N10" s="45">
        <v>1</v>
      </c>
      <c r="O10" s="7"/>
      <c r="P10" s="5" t="s">
        <v>73</v>
      </c>
      <c r="Q10" s="40"/>
      <c r="R10" s="40"/>
      <c r="T10" s="46" t="str">
        <f t="shared" si="0"/>
        <v>BU-A|CT</v>
      </c>
    </row>
    <row r="11" spans="1:20" x14ac:dyDescent="0.25">
      <c r="A11" s="5" t="s">
        <v>62</v>
      </c>
      <c r="B11" s="5" t="s">
        <v>130</v>
      </c>
      <c r="C11" s="19">
        <v>0.65400000000000003</v>
      </c>
      <c r="D11" s="5" t="s">
        <v>126</v>
      </c>
      <c r="E11" s="40">
        <v>0.05</v>
      </c>
      <c r="F11" s="41">
        <v>0.85</v>
      </c>
      <c r="G11" s="41">
        <v>0.84</v>
      </c>
      <c r="H11" s="42">
        <v>46295</v>
      </c>
      <c r="I11" s="41">
        <v>0.85499999999999998</v>
      </c>
      <c r="J11" s="43"/>
      <c r="K11" s="43"/>
      <c r="L11" s="44">
        <v>40500</v>
      </c>
      <c r="M11" s="40"/>
      <c r="N11" s="45">
        <v>1</v>
      </c>
      <c r="O11" s="7"/>
      <c r="P11" s="5" t="s">
        <v>76</v>
      </c>
      <c r="Q11" s="40"/>
      <c r="R11" s="40"/>
      <c r="T11" s="46" t="str">
        <f t="shared" si="0"/>
        <v>BU-A|FL</v>
      </c>
    </row>
    <row r="12" spans="1:20" x14ac:dyDescent="0.25">
      <c r="A12" s="5" t="s">
        <v>62</v>
      </c>
      <c r="B12" s="5" t="s">
        <v>131</v>
      </c>
      <c r="C12" s="19">
        <v>0.63800000000000001</v>
      </c>
      <c r="D12" s="5" t="s">
        <v>126</v>
      </c>
      <c r="E12" s="40">
        <v>0.05</v>
      </c>
      <c r="F12" s="41">
        <v>0.85</v>
      </c>
      <c r="G12" s="41">
        <v>0.84</v>
      </c>
      <c r="H12" s="42">
        <v>46295</v>
      </c>
      <c r="I12" s="41">
        <v>0.83499999999999996</v>
      </c>
      <c r="J12" s="43">
        <v>0.83</v>
      </c>
      <c r="K12" s="43">
        <v>0.84</v>
      </c>
      <c r="L12" s="44">
        <v>99000</v>
      </c>
      <c r="M12" s="40"/>
      <c r="N12" s="45">
        <v>1</v>
      </c>
      <c r="O12" s="7"/>
      <c r="P12" s="5" t="s">
        <v>76</v>
      </c>
      <c r="Q12" s="40"/>
      <c r="R12" s="40"/>
      <c r="T12" s="46" t="str">
        <f t="shared" si="0"/>
        <v>BU-A|GA</v>
      </c>
    </row>
    <row r="13" spans="1:20" x14ac:dyDescent="0.25">
      <c r="A13" s="5" t="s">
        <v>62</v>
      </c>
      <c r="B13" s="5" t="s">
        <v>132</v>
      </c>
      <c r="C13" s="19">
        <v>0.66600000000000004</v>
      </c>
      <c r="D13" s="5" t="s">
        <v>126</v>
      </c>
      <c r="E13" s="40">
        <v>0.05</v>
      </c>
      <c r="F13" s="41">
        <v>0.85</v>
      </c>
      <c r="G13" s="41">
        <v>0.84</v>
      </c>
      <c r="H13" s="42">
        <v>46295</v>
      </c>
      <c r="I13" s="41">
        <v>0.85</v>
      </c>
      <c r="J13" s="43"/>
      <c r="K13" s="43"/>
      <c r="L13" s="44">
        <v>81000</v>
      </c>
      <c r="M13" s="40"/>
      <c r="N13" s="45">
        <v>1</v>
      </c>
      <c r="O13" s="7"/>
      <c r="P13" s="5" t="s">
        <v>76</v>
      </c>
      <c r="Q13" s="40"/>
      <c r="R13" s="40"/>
      <c r="T13" s="46" t="str">
        <f t="shared" si="0"/>
        <v>BU-A|IL</v>
      </c>
    </row>
    <row r="14" spans="1:20" x14ac:dyDescent="0.25">
      <c r="A14" s="5" t="s">
        <v>62</v>
      </c>
      <c r="B14" s="5" t="s">
        <v>133</v>
      </c>
      <c r="C14" s="19">
        <v>0.65</v>
      </c>
      <c r="D14" s="5" t="s">
        <v>126</v>
      </c>
      <c r="E14" s="40">
        <v>0.05</v>
      </c>
      <c r="F14" s="41">
        <v>0.85</v>
      </c>
      <c r="G14" s="41">
        <v>0.84</v>
      </c>
      <c r="H14" s="42">
        <v>46295</v>
      </c>
      <c r="I14" s="41">
        <v>0.83</v>
      </c>
      <c r="J14" s="43"/>
      <c r="K14" s="43"/>
      <c r="L14" s="44">
        <v>63000</v>
      </c>
      <c r="M14" s="40"/>
      <c r="N14" s="45">
        <v>1</v>
      </c>
      <c r="O14" s="7"/>
      <c r="P14" s="5" t="s">
        <v>76</v>
      </c>
      <c r="Q14" s="40"/>
      <c r="R14" s="40"/>
      <c r="T14" s="46" t="str">
        <f t="shared" si="0"/>
        <v>BU-A|IN</v>
      </c>
    </row>
    <row r="15" spans="1:20" x14ac:dyDescent="0.25">
      <c r="A15" s="5" t="s">
        <v>62</v>
      </c>
      <c r="B15" s="5" t="s">
        <v>134</v>
      </c>
      <c r="C15" s="19">
        <v>0.63400000000000001</v>
      </c>
      <c r="D15" s="5" t="s">
        <v>126</v>
      </c>
      <c r="E15" s="40">
        <v>0.05</v>
      </c>
      <c r="F15" s="41">
        <v>0.85</v>
      </c>
      <c r="G15" s="41">
        <v>0.84</v>
      </c>
      <c r="H15" s="42">
        <v>46295</v>
      </c>
      <c r="I15" s="41">
        <v>0.84499999999999997</v>
      </c>
      <c r="J15" s="43"/>
      <c r="K15" s="43"/>
      <c r="L15" s="44">
        <v>45000</v>
      </c>
      <c r="M15" s="40"/>
      <c r="N15" s="45">
        <v>1</v>
      </c>
      <c r="O15" s="7"/>
      <c r="P15" s="5" t="s">
        <v>76</v>
      </c>
      <c r="Q15" s="40"/>
      <c r="R15" s="40"/>
      <c r="T15" s="46" t="str">
        <f t="shared" si="0"/>
        <v>BU-A|IA</v>
      </c>
    </row>
    <row r="16" spans="1:20" x14ac:dyDescent="0.25">
      <c r="A16" s="5" t="s">
        <v>62</v>
      </c>
      <c r="B16" s="5" t="s">
        <v>135</v>
      </c>
      <c r="C16" s="19">
        <v>0.66200000000000003</v>
      </c>
      <c r="D16" s="5" t="s">
        <v>126</v>
      </c>
      <c r="E16" s="40">
        <v>0.05</v>
      </c>
      <c r="F16" s="41">
        <v>0.85</v>
      </c>
      <c r="G16" s="41">
        <v>0.84</v>
      </c>
      <c r="H16" s="42">
        <v>46295</v>
      </c>
      <c r="I16" s="41">
        <v>0.86</v>
      </c>
      <c r="J16" s="43"/>
      <c r="K16" s="43"/>
      <c r="L16" s="44">
        <v>103500</v>
      </c>
      <c r="M16" s="40"/>
      <c r="N16" s="45">
        <v>1</v>
      </c>
      <c r="O16" s="7"/>
      <c r="P16" s="5" t="s">
        <v>76</v>
      </c>
      <c r="Q16" s="40"/>
      <c r="R16" s="40"/>
      <c r="T16" s="46" t="str">
        <f t="shared" si="0"/>
        <v>BU-A|KY</v>
      </c>
    </row>
    <row r="17" spans="1:20" x14ac:dyDescent="0.25">
      <c r="A17" s="5" t="s">
        <v>62</v>
      </c>
      <c r="B17" s="5" t="s">
        <v>136</v>
      </c>
      <c r="C17" s="19">
        <v>0.64600000000000002</v>
      </c>
      <c r="D17" s="5" t="s">
        <v>126</v>
      </c>
      <c r="E17" s="40">
        <v>0.05</v>
      </c>
      <c r="F17" s="41">
        <v>0.85</v>
      </c>
      <c r="G17" s="41">
        <v>0.84</v>
      </c>
      <c r="H17" s="42">
        <v>46295</v>
      </c>
      <c r="I17" s="41">
        <v>0.84</v>
      </c>
      <c r="J17" s="43"/>
      <c r="K17" s="43"/>
      <c r="L17" s="44">
        <v>85500</v>
      </c>
      <c r="M17" s="40"/>
      <c r="N17" s="45">
        <v>1</v>
      </c>
      <c r="O17" s="7"/>
      <c r="P17" s="5" t="s">
        <v>76</v>
      </c>
      <c r="Q17" s="40"/>
      <c r="R17" s="40"/>
      <c r="T17" s="46" t="str">
        <f t="shared" si="0"/>
        <v>BU-A|MD</v>
      </c>
    </row>
    <row r="18" spans="1:20" x14ac:dyDescent="0.25">
      <c r="A18" s="5" t="s">
        <v>62</v>
      </c>
      <c r="B18" s="5" t="s">
        <v>137</v>
      </c>
      <c r="C18" s="19">
        <v>0.63</v>
      </c>
      <c r="D18" s="5" t="s">
        <v>126</v>
      </c>
      <c r="E18" s="40">
        <v>0.05</v>
      </c>
      <c r="F18" s="41">
        <v>0.85</v>
      </c>
      <c r="G18" s="41">
        <v>0.84</v>
      </c>
      <c r="H18" s="42">
        <v>46295</v>
      </c>
      <c r="I18" s="41">
        <v>0.85499999999999998</v>
      </c>
      <c r="J18" s="43"/>
      <c r="K18" s="43"/>
      <c r="L18" s="44">
        <v>67500</v>
      </c>
      <c r="M18" s="40"/>
      <c r="N18" s="45">
        <v>1</v>
      </c>
      <c r="O18" s="7"/>
      <c r="P18" s="5" t="s">
        <v>76</v>
      </c>
      <c r="Q18" s="40"/>
      <c r="R18" s="40"/>
      <c r="T18" s="46" t="str">
        <f t="shared" si="0"/>
        <v>BU-A|MI</v>
      </c>
    </row>
    <row r="19" spans="1:20" x14ac:dyDescent="0.25">
      <c r="A19" s="5" t="s">
        <v>62</v>
      </c>
      <c r="B19" s="5" t="s">
        <v>138</v>
      </c>
      <c r="C19" s="19">
        <v>0.65800000000000003</v>
      </c>
      <c r="D19" s="5" t="s">
        <v>126</v>
      </c>
      <c r="E19" s="40">
        <v>0.05</v>
      </c>
      <c r="F19" s="41">
        <v>0.85</v>
      </c>
      <c r="G19" s="41">
        <v>0.84</v>
      </c>
      <c r="H19" s="42">
        <v>46295</v>
      </c>
      <c r="I19" s="41">
        <v>0.83499999999999996</v>
      </c>
      <c r="J19" s="43"/>
      <c r="K19" s="43"/>
      <c r="L19" s="44">
        <v>49500</v>
      </c>
      <c r="M19" s="40"/>
      <c r="N19" s="45">
        <v>1</v>
      </c>
      <c r="O19" s="7"/>
      <c r="P19" s="5" t="s">
        <v>76</v>
      </c>
      <c r="Q19" s="40"/>
      <c r="R19" s="40"/>
      <c r="T19" s="46" t="str">
        <f t="shared" si="0"/>
        <v>BU-A|MN</v>
      </c>
    </row>
    <row r="20" spans="1:20" x14ac:dyDescent="0.25">
      <c r="A20" s="5" t="s">
        <v>62</v>
      </c>
      <c r="B20" s="5" t="s">
        <v>139</v>
      </c>
      <c r="C20" s="19">
        <v>0.64200000000000002</v>
      </c>
      <c r="D20" s="5" t="s">
        <v>126</v>
      </c>
      <c r="E20" s="40">
        <v>0.05</v>
      </c>
      <c r="F20" s="41">
        <v>0.85</v>
      </c>
      <c r="G20" s="41">
        <v>0.84</v>
      </c>
      <c r="H20" s="42">
        <v>46295</v>
      </c>
      <c r="I20" s="41">
        <v>0.85</v>
      </c>
      <c r="J20" s="43"/>
      <c r="K20" s="43"/>
      <c r="L20" s="44">
        <v>108000</v>
      </c>
      <c r="M20" s="40"/>
      <c r="N20" s="45">
        <v>1</v>
      </c>
      <c r="O20" s="7"/>
      <c r="P20" s="5" t="s">
        <v>76</v>
      </c>
      <c r="Q20" s="40"/>
      <c r="R20" s="40"/>
      <c r="T20" s="46" t="str">
        <f t="shared" si="0"/>
        <v>BU-A|MO</v>
      </c>
    </row>
    <row r="21" spans="1:20" x14ac:dyDescent="0.25">
      <c r="A21" s="5" t="s">
        <v>62</v>
      </c>
      <c r="B21" s="5" t="s">
        <v>140</v>
      </c>
      <c r="C21" s="19">
        <v>0.67</v>
      </c>
      <c r="D21" s="5" t="s">
        <v>126</v>
      </c>
      <c r="E21" s="40">
        <v>0.05</v>
      </c>
      <c r="F21" s="41">
        <v>0.85</v>
      </c>
      <c r="G21" s="41">
        <v>0.84</v>
      </c>
      <c r="H21" s="42">
        <v>46295</v>
      </c>
      <c r="I21" s="41">
        <v>0.83</v>
      </c>
      <c r="J21" s="43"/>
      <c r="K21" s="43"/>
      <c r="L21" s="44">
        <v>90000</v>
      </c>
      <c r="M21" s="40"/>
      <c r="N21" s="45">
        <v>1</v>
      </c>
      <c r="O21" s="7"/>
      <c r="P21" s="5" t="s">
        <v>76</v>
      </c>
      <c r="Q21" s="40"/>
      <c r="R21" s="40"/>
      <c r="T21" s="46" t="str">
        <f t="shared" si="0"/>
        <v>BU-A|NC</v>
      </c>
    </row>
    <row r="22" spans="1:20" x14ac:dyDescent="0.25">
      <c r="A22" s="5" t="s">
        <v>62</v>
      </c>
      <c r="B22" s="5" t="s">
        <v>141</v>
      </c>
      <c r="C22" s="19">
        <v>0.65400000000000003</v>
      </c>
      <c r="D22" s="5" t="s">
        <v>126</v>
      </c>
      <c r="E22" s="40">
        <v>0.05</v>
      </c>
      <c r="F22" s="41">
        <v>0.85</v>
      </c>
      <c r="G22" s="41">
        <v>0.84</v>
      </c>
      <c r="H22" s="42">
        <v>46295</v>
      </c>
      <c r="I22" s="41">
        <v>0.84499999999999997</v>
      </c>
      <c r="J22" s="43"/>
      <c r="K22" s="43"/>
      <c r="L22" s="44">
        <v>72000</v>
      </c>
      <c r="M22" s="40"/>
      <c r="N22" s="45">
        <v>1</v>
      </c>
      <c r="O22" s="7"/>
      <c r="P22" s="5" t="s">
        <v>76</v>
      </c>
      <c r="Q22" s="40"/>
      <c r="R22" s="40"/>
      <c r="T22" s="46" t="str">
        <f t="shared" si="0"/>
        <v>BU-A|NJ</v>
      </c>
    </row>
    <row r="23" spans="1:20" x14ac:dyDescent="0.25">
      <c r="A23" s="5" t="s">
        <v>62</v>
      </c>
      <c r="B23" s="5" t="s">
        <v>142</v>
      </c>
      <c r="C23" s="19">
        <v>0.63800000000000001</v>
      </c>
      <c r="D23" s="5" t="s">
        <v>126</v>
      </c>
      <c r="E23" s="40">
        <v>0.05</v>
      </c>
      <c r="F23" s="41">
        <v>0.85</v>
      </c>
      <c r="G23" s="41">
        <v>0.84</v>
      </c>
      <c r="H23" s="42">
        <v>46295</v>
      </c>
      <c r="I23" s="41">
        <v>0.86</v>
      </c>
      <c r="J23" s="43"/>
      <c r="K23" s="43"/>
      <c r="L23" s="44">
        <v>54000</v>
      </c>
      <c r="M23" s="40"/>
      <c r="N23" s="45">
        <v>1</v>
      </c>
      <c r="O23" s="7"/>
      <c r="P23" s="5" t="s">
        <v>76</v>
      </c>
      <c r="Q23" s="40"/>
      <c r="R23" s="40"/>
      <c r="T23" s="46" t="str">
        <f t="shared" si="0"/>
        <v>BU-A|NY</v>
      </c>
    </row>
    <row r="24" spans="1:20" x14ac:dyDescent="0.25">
      <c r="A24" s="5" t="s">
        <v>62</v>
      </c>
      <c r="B24" s="5" t="s">
        <v>143</v>
      </c>
      <c r="C24" s="19">
        <v>0.66600000000000004</v>
      </c>
      <c r="D24" s="5" t="s">
        <v>126</v>
      </c>
      <c r="E24" s="40">
        <v>0.05</v>
      </c>
      <c r="F24" s="41">
        <v>0.85</v>
      </c>
      <c r="G24" s="41">
        <v>0.84</v>
      </c>
      <c r="H24" s="42">
        <v>46295</v>
      </c>
      <c r="I24" s="41">
        <v>0.84</v>
      </c>
      <c r="J24" s="43"/>
      <c r="K24" s="43"/>
      <c r="L24" s="44">
        <v>36000</v>
      </c>
      <c r="M24" s="40"/>
      <c r="N24" s="45">
        <v>1</v>
      </c>
      <c r="O24" s="7"/>
      <c r="P24" s="5" t="s">
        <v>76</v>
      </c>
      <c r="Q24" s="40"/>
      <c r="R24" s="40"/>
      <c r="T24" s="46" t="str">
        <f t="shared" si="0"/>
        <v>BU-A|OH</v>
      </c>
    </row>
    <row r="25" spans="1:20" x14ac:dyDescent="0.25">
      <c r="A25" s="5" t="s">
        <v>62</v>
      </c>
      <c r="B25" s="5" t="s">
        <v>144</v>
      </c>
      <c r="C25" s="19">
        <v>0.65</v>
      </c>
      <c r="D25" s="5" t="s">
        <v>126</v>
      </c>
      <c r="E25" s="40">
        <v>0.05</v>
      </c>
      <c r="F25" s="41">
        <v>0.85</v>
      </c>
      <c r="G25" s="41">
        <v>0.84</v>
      </c>
      <c r="H25" s="42">
        <v>46295</v>
      </c>
      <c r="I25" s="41">
        <v>0.85499999999999998</v>
      </c>
      <c r="J25" s="43"/>
      <c r="K25" s="43"/>
      <c r="L25" s="44">
        <v>94500</v>
      </c>
      <c r="M25" s="40"/>
      <c r="N25" s="45">
        <v>1</v>
      </c>
      <c r="O25" s="7"/>
      <c r="P25" s="5" t="s">
        <v>76</v>
      </c>
      <c r="Q25" s="40"/>
      <c r="R25" s="40"/>
      <c r="T25" s="46" t="str">
        <f t="shared" si="0"/>
        <v>BU-A|PA</v>
      </c>
    </row>
    <row r="26" spans="1:20" x14ac:dyDescent="0.25">
      <c r="A26" s="5" t="s">
        <v>62</v>
      </c>
      <c r="B26" s="5" t="s">
        <v>145</v>
      </c>
      <c r="C26" s="19">
        <v>0.63400000000000001</v>
      </c>
      <c r="D26" s="5" t="s">
        <v>126</v>
      </c>
      <c r="E26" s="40">
        <v>0.05</v>
      </c>
      <c r="F26" s="41">
        <v>0.85</v>
      </c>
      <c r="G26" s="41">
        <v>0.84</v>
      </c>
      <c r="H26" s="42">
        <v>46295</v>
      </c>
      <c r="I26" s="41">
        <v>0.83499999999999996</v>
      </c>
      <c r="J26" s="43"/>
      <c r="K26" s="43"/>
      <c r="L26" s="44">
        <v>76500</v>
      </c>
      <c r="M26" s="40"/>
      <c r="N26" s="45">
        <v>1</v>
      </c>
      <c r="O26" s="7"/>
      <c r="P26" s="5" t="s">
        <v>76</v>
      </c>
      <c r="Q26" s="40"/>
      <c r="R26" s="40"/>
      <c r="T26" s="46" t="str">
        <f t="shared" si="0"/>
        <v>BU-A|TN</v>
      </c>
    </row>
    <row r="27" spans="1:20" x14ac:dyDescent="0.25">
      <c r="A27" s="5" t="s">
        <v>62</v>
      </c>
      <c r="B27" s="5" t="s">
        <v>146</v>
      </c>
      <c r="C27" s="19">
        <v>0.66200000000000003</v>
      </c>
      <c r="D27" s="5" t="s">
        <v>126</v>
      </c>
      <c r="E27" s="40">
        <v>0.05</v>
      </c>
      <c r="F27" s="41">
        <v>0.85</v>
      </c>
      <c r="G27" s="41">
        <v>0.84</v>
      </c>
      <c r="H27" s="42">
        <v>46295</v>
      </c>
      <c r="I27" s="41">
        <v>0.85</v>
      </c>
      <c r="J27" s="43"/>
      <c r="K27" s="43"/>
      <c r="L27" s="44">
        <v>58500</v>
      </c>
      <c r="M27" s="40"/>
      <c r="N27" s="45">
        <v>1</v>
      </c>
      <c r="O27" s="7"/>
      <c r="P27" s="5" t="s">
        <v>76</v>
      </c>
      <c r="Q27" s="40"/>
      <c r="R27" s="40"/>
      <c r="T27" s="46" t="str">
        <f t="shared" si="0"/>
        <v>BU-A|TX</v>
      </c>
    </row>
    <row r="28" spans="1:20" x14ac:dyDescent="0.25">
      <c r="A28" s="5" t="s">
        <v>147</v>
      </c>
      <c r="B28" s="5" t="s">
        <v>65</v>
      </c>
      <c r="C28" s="19">
        <v>0.64600000000000002</v>
      </c>
      <c r="D28" s="5" t="s">
        <v>126</v>
      </c>
      <c r="E28" s="40">
        <v>0.05</v>
      </c>
      <c r="F28" s="41">
        <v>0.85</v>
      </c>
      <c r="G28" s="41">
        <v>0.84</v>
      </c>
      <c r="H28" s="42">
        <v>46295</v>
      </c>
      <c r="I28" s="41">
        <v>0.83</v>
      </c>
      <c r="J28" s="43"/>
      <c r="K28" s="43"/>
      <c r="L28" s="44">
        <v>40500</v>
      </c>
      <c r="M28" s="40"/>
      <c r="N28" s="45">
        <v>1</v>
      </c>
      <c r="O28" s="7"/>
      <c r="P28" s="5" t="s">
        <v>76</v>
      </c>
      <c r="Q28" s="40"/>
      <c r="R28" s="40"/>
      <c r="T28" s="46" t="str">
        <f t="shared" si="0"/>
        <v>BU-B|AZ</v>
      </c>
    </row>
    <row r="29" spans="1:20" x14ac:dyDescent="0.25">
      <c r="A29" s="5" t="s">
        <v>147</v>
      </c>
      <c r="B29" s="5" t="s">
        <v>127</v>
      </c>
      <c r="C29" s="19">
        <v>0.63</v>
      </c>
      <c r="D29" s="5" t="s">
        <v>148</v>
      </c>
      <c r="E29" s="40">
        <v>0.08</v>
      </c>
      <c r="F29" s="41">
        <v>0.85</v>
      </c>
      <c r="G29" s="41">
        <v>0.84</v>
      </c>
      <c r="H29" s="42">
        <v>46295</v>
      </c>
      <c r="I29" s="41">
        <v>0.84499999999999997</v>
      </c>
      <c r="J29" s="43"/>
      <c r="K29" s="43"/>
      <c r="L29" s="44">
        <v>99000</v>
      </c>
      <c r="M29" s="40">
        <v>0.01</v>
      </c>
      <c r="N29" s="45">
        <v>1</v>
      </c>
      <c r="O29" s="7"/>
      <c r="P29" s="5" t="s">
        <v>76</v>
      </c>
      <c r="Q29" s="40"/>
      <c r="R29" s="40"/>
      <c r="T29" s="46" t="str">
        <f t="shared" si="0"/>
        <v>BU-B|CA</v>
      </c>
    </row>
    <row r="30" spans="1:20" x14ac:dyDescent="0.25">
      <c r="A30" s="5" t="s">
        <v>147</v>
      </c>
      <c r="B30" s="5" t="s">
        <v>128</v>
      </c>
      <c r="C30" s="19">
        <v>0.65800000000000003</v>
      </c>
      <c r="D30" s="5" t="s">
        <v>126</v>
      </c>
      <c r="E30" s="40">
        <v>0.05</v>
      </c>
      <c r="F30" s="41">
        <v>0.85</v>
      </c>
      <c r="G30" s="41">
        <v>0.84</v>
      </c>
      <c r="H30" s="42">
        <v>46295</v>
      </c>
      <c r="I30" s="41">
        <v>0.86</v>
      </c>
      <c r="J30" s="43"/>
      <c r="K30" s="43"/>
      <c r="L30" s="44">
        <v>81000</v>
      </c>
      <c r="M30" s="40"/>
      <c r="N30" s="45">
        <v>1.02</v>
      </c>
      <c r="O30" s="7" t="s">
        <v>149</v>
      </c>
      <c r="P30" s="5" t="s">
        <v>76</v>
      </c>
      <c r="Q30" s="40"/>
      <c r="R30" s="40"/>
      <c r="T30" s="46" t="str">
        <f t="shared" si="0"/>
        <v>BU-B|CO</v>
      </c>
    </row>
    <row r="31" spans="1:20" x14ac:dyDescent="0.25">
      <c r="A31" s="5" t="s">
        <v>147</v>
      </c>
      <c r="B31" s="5" t="s">
        <v>129</v>
      </c>
      <c r="C31" s="19">
        <v>0.64200000000000002</v>
      </c>
      <c r="D31" s="5" t="s">
        <v>126</v>
      </c>
      <c r="E31" s="40">
        <v>0.05</v>
      </c>
      <c r="F31" s="41">
        <v>0.85</v>
      </c>
      <c r="G31" s="41">
        <v>0.84</v>
      </c>
      <c r="H31" s="42">
        <v>46295</v>
      </c>
      <c r="I31" s="41">
        <v>0.84</v>
      </c>
      <c r="J31" s="43"/>
      <c r="K31" s="43"/>
      <c r="L31" s="44">
        <v>63000</v>
      </c>
      <c r="M31" s="40"/>
      <c r="N31" s="45">
        <v>1</v>
      </c>
      <c r="O31" s="7"/>
      <c r="P31" s="5" t="s">
        <v>76</v>
      </c>
      <c r="Q31" s="40"/>
      <c r="R31" s="40"/>
      <c r="T31" s="46" t="str">
        <f t="shared" si="0"/>
        <v>BU-B|CT</v>
      </c>
    </row>
    <row r="32" spans="1:20" x14ac:dyDescent="0.25">
      <c r="A32" s="5" t="s">
        <v>147</v>
      </c>
      <c r="B32" s="5" t="s">
        <v>130</v>
      </c>
      <c r="C32" s="19">
        <v>0.67</v>
      </c>
      <c r="D32" s="5" t="s">
        <v>126</v>
      </c>
      <c r="E32" s="40">
        <v>0.05</v>
      </c>
      <c r="F32" s="41">
        <v>0.85</v>
      </c>
      <c r="G32" s="41">
        <v>0.84</v>
      </c>
      <c r="H32" s="42">
        <v>46295</v>
      </c>
      <c r="I32" s="41">
        <v>0.85499999999999998</v>
      </c>
      <c r="J32" s="43"/>
      <c r="K32" s="43"/>
      <c r="L32" s="44">
        <v>45000</v>
      </c>
      <c r="M32" s="40"/>
      <c r="N32" s="45">
        <v>1</v>
      </c>
      <c r="O32" s="7"/>
      <c r="P32" s="5" t="s">
        <v>76</v>
      </c>
      <c r="Q32" s="40"/>
      <c r="R32" s="40"/>
      <c r="T32" s="46" t="str">
        <f t="shared" si="0"/>
        <v>BU-B|FL</v>
      </c>
    </row>
    <row r="33" spans="1:20" x14ac:dyDescent="0.25">
      <c r="A33" s="5" t="s">
        <v>147</v>
      </c>
      <c r="B33" s="5" t="s">
        <v>131</v>
      </c>
      <c r="C33" s="19">
        <v>0.65400000000000003</v>
      </c>
      <c r="D33" s="5" t="s">
        <v>126</v>
      </c>
      <c r="E33" s="40">
        <v>0.05</v>
      </c>
      <c r="F33" s="41">
        <v>0.85</v>
      </c>
      <c r="G33" s="41">
        <v>0.84</v>
      </c>
      <c r="H33" s="42">
        <v>46295</v>
      </c>
      <c r="I33" s="41">
        <v>0.83499999999999996</v>
      </c>
      <c r="J33" s="43"/>
      <c r="K33" s="43"/>
      <c r="L33" s="44">
        <v>103500</v>
      </c>
      <c r="M33" s="40"/>
      <c r="N33" s="45">
        <v>1</v>
      </c>
      <c r="O33" s="7"/>
      <c r="P33" s="5" t="s">
        <v>76</v>
      </c>
      <c r="Q33" s="40"/>
      <c r="R33" s="40"/>
      <c r="T33" s="46" t="str">
        <f t="shared" si="0"/>
        <v>BU-B|GA</v>
      </c>
    </row>
    <row r="34" spans="1:20" x14ac:dyDescent="0.25">
      <c r="A34" s="5" t="s">
        <v>147</v>
      </c>
      <c r="B34" s="5" t="s">
        <v>132</v>
      </c>
      <c r="C34" s="19">
        <v>0.63800000000000001</v>
      </c>
      <c r="D34" s="5" t="s">
        <v>126</v>
      </c>
      <c r="E34" s="40">
        <v>0.05</v>
      </c>
      <c r="F34" s="41">
        <v>0.85</v>
      </c>
      <c r="G34" s="41">
        <v>0.84</v>
      </c>
      <c r="H34" s="42">
        <v>46295</v>
      </c>
      <c r="I34" s="41">
        <v>0.85</v>
      </c>
      <c r="J34" s="43"/>
      <c r="K34" s="43"/>
      <c r="L34" s="44">
        <v>85500</v>
      </c>
      <c r="M34" s="40"/>
      <c r="N34" s="45">
        <v>1</v>
      </c>
      <c r="O34" s="7"/>
      <c r="P34" s="5" t="s">
        <v>76</v>
      </c>
      <c r="Q34" s="40"/>
      <c r="R34" s="40"/>
      <c r="T34" s="46" t="str">
        <f t="shared" si="0"/>
        <v>BU-B|IL</v>
      </c>
    </row>
    <row r="35" spans="1:20" x14ac:dyDescent="0.25">
      <c r="A35" s="5" t="s">
        <v>147</v>
      </c>
      <c r="B35" s="5" t="s">
        <v>133</v>
      </c>
      <c r="C35" s="19">
        <v>0.66600000000000004</v>
      </c>
      <c r="D35" s="5" t="s">
        <v>126</v>
      </c>
      <c r="E35" s="40">
        <v>0.05</v>
      </c>
      <c r="F35" s="41">
        <v>0.85</v>
      </c>
      <c r="G35" s="41">
        <v>0.84</v>
      </c>
      <c r="H35" s="42">
        <v>46295</v>
      </c>
      <c r="I35" s="41">
        <v>0.83</v>
      </c>
      <c r="J35" s="43"/>
      <c r="K35" s="43"/>
      <c r="L35" s="44">
        <v>67500</v>
      </c>
      <c r="M35" s="40"/>
      <c r="N35" s="45">
        <v>1</v>
      </c>
      <c r="O35" s="7"/>
      <c r="P35" s="5" t="s">
        <v>76</v>
      </c>
      <c r="Q35" s="40"/>
      <c r="R35" s="40"/>
      <c r="T35" s="46" t="str">
        <f t="shared" si="0"/>
        <v>BU-B|IN</v>
      </c>
    </row>
    <row r="36" spans="1:20" x14ac:dyDescent="0.25">
      <c r="A36" s="5" t="s">
        <v>147</v>
      </c>
      <c r="B36" s="5" t="s">
        <v>134</v>
      </c>
      <c r="C36" s="19">
        <v>0.65</v>
      </c>
      <c r="D36" s="5" t="s">
        <v>126</v>
      </c>
      <c r="E36" s="40">
        <v>0.05</v>
      </c>
      <c r="F36" s="41">
        <v>0.85</v>
      </c>
      <c r="G36" s="41">
        <v>0.84</v>
      </c>
      <c r="H36" s="42">
        <v>46295</v>
      </c>
      <c r="I36" s="41">
        <v>0.84499999999999997</v>
      </c>
      <c r="J36" s="43"/>
      <c r="K36" s="43"/>
      <c r="L36" s="44">
        <v>49500</v>
      </c>
      <c r="M36" s="40"/>
      <c r="N36" s="45">
        <v>1</v>
      </c>
      <c r="O36" s="7"/>
      <c r="P36" s="5" t="s">
        <v>76</v>
      </c>
      <c r="Q36" s="40"/>
      <c r="R36" s="40"/>
      <c r="T36" s="46" t="str">
        <f t="shared" si="0"/>
        <v>BU-B|IA</v>
      </c>
    </row>
    <row r="37" spans="1:20" x14ac:dyDescent="0.25">
      <c r="A37" s="5" t="s">
        <v>147</v>
      </c>
      <c r="B37" s="5" t="s">
        <v>135</v>
      </c>
      <c r="C37" s="19">
        <v>0.63400000000000001</v>
      </c>
      <c r="D37" s="5" t="s">
        <v>126</v>
      </c>
      <c r="E37" s="40">
        <v>0.05</v>
      </c>
      <c r="F37" s="41">
        <v>0.85</v>
      </c>
      <c r="G37" s="41">
        <v>0.84</v>
      </c>
      <c r="H37" s="42">
        <v>46295</v>
      </c>
      <c r="I37" s="41">
        <v>0.86</v>
      </c>
      <c r="J37" s="43"/>
      <c r="K37" s="43"/>
      <c r="L37" s="44">
        <v>108000</v>
      </c>
      <c r="M37" s="40"/>
      <c r="N37" s="45">
        <v>1</v>
      </c>
      <c r="O37" s="7"/>
      <c r="P37" s="5" t="s">
        <v>76</v>
      </c>
      <c r="Q37" s="40"/>
      <c r="R37" s="40"/>
      <c r="T37" s="46" t="str">
        <f t="shared" si="0"/>
        <v>BU-B|KY</v>
      </c>
    </row>
    <row r="38" spans="1:20" x14ac:dyDescent="0.25">
      <c r="A38" s="5" t="s">
        <v>147</v>
      </c>
      <c r="B38" s="5" t="s">
        <v>136</v>
      </c>
      <c r="C38" s="19">
        <v>0.66200000000000003</v>
      </c>
      <c r="D38" s="5" t="s">
        <v>126</v>
      </c>
      <c r="E38" s="40">
        <v>0.05</v>
      </c>
      <c r="F38" s="41">
        <v>0.85</v>
      </c>
      <c r="G38" s="41">
        <v>0.84</v>
      </c>
      <c r="H38" s="42">
        <v>46295</v>
      </c>
      <c r="I38" s="41">
        <v>0.84</v>
      </c>
      <c r="J38" s="43"/>
      <c r="K38" s="43"/>
      <c r="L38" s="44">
        <v>90000</v>
      </c>
      <c r="M38" s="40"/>
      <c r="N38" s="45">
        <v>1</v>
      </c>
      <c r="O38" s="7"/>
      <c r="P38" s="5" t="s">
        <v>76</v>
      </c>
      <c r="Q38" s="40"/>
      <c r="R38" s="40"/>
      <c r="T38" s="46" t="str">
        <f t="shared" si="0"/>
        <v>BU-B|MD</v>
      </c>
    </row>
    <row r="39" spans="1:20" x14ac:dyDescent="0.25">
      <c r="A39" s="5" t="s">
        <v>147</v>
      </c>
      <c r="B39" s="5" t="s">
        <v>137</v>
      </c>
      <c r="C39" s="19">
        <v>0.64600000000000002</v>
      </c>
      <c r="D39" s="5" t="s">
        <v>126</v>
      </c>
      <c r="E39" s="40">
        <v>0.05</v>
      </c>
      <c r="F39" s="41">
        <v>0.85</v>
      </c>
      <c r="G39" s="41">
        <v>0.84</v>
      </c>
      <c r="H39" s="42">
        <v>46295</v>
      </c>
      <c r="I39" s="41">
        <v>0.85499999999999998</v>
      </c>
      <c r="J39" s="43"/>
      <c r="K39" s="43"/>
      <c r="L39" s="44">
        <v>72000</v>
      </c>
      <c r="M39" s="40"/>
      <c r="N39" s="45">
        <v>1</v>
      </c>
      <c r="O39" s="7"/>
      <c r="P39" s="5" t="s">
        <v>76</v>
      </c>
      <c r="Q39" s="40"/>
      <c r="R39" s="40"/>
      <c r="T39" s="46" t="str">
        <f t="shared" ref="T39:T75" si="1">IF(OR($A39="",$B39=""),"",$A39&amp;"|"&amp;$B39)</f>
        <v>BU-B|MI</v>
      </c>
    </row>
    <row r="40" spans="1:20" x14ac:dyDescent="0.25">
      <c r="A40" s="5" t="s">
        <v>147</v>
      </c>
      <c r="B40" s="5" t="s">
        <v>138</v>
      </c>
      <c r="C40" s="19">
        <v>0.63</v>
      </c>
      <c r="D40" s="5" t="s">
        <v>126</v>
      </c>
      <c r="E40" s="40">
        <v>0.05</v>
      </c>
      <c r="F40" s="41">
        <v>0.85</v>
      </c>
      <c r="G40" s="41">
        <v>0.84</v>
      </c>
      <c r="H40" s="42">
        <v>46295</v>
      </c>
      <c r="I40" s="41">
        <v>0.83499999999999996</v>
      </c>
      <c r="J40" s="43"/>
      <c r="K40" s="43"/>
      <c r="L40" s="44">
        <v>54000</v>
      </c>
      <c r="M40" s="40"/>
      <c r="N40" s="45">
        <v>1</v>
      </c>
      <c r="O40" s="7"/>
      <c r="P40" s="5" t="s">
        <v>76</v>
      </c>
      <c r="Q40" s="40"/>
      <c r="R40" s="40"/>
      <c r="T40" s="46" t="str">
        <f t="shared" si="1"/>
        <v>BU-B|MN</v>
      </c>
    </row>
    <row r="41" spans="1:20" x14ac:dyDescent="0.25">
      <c r="A41" s="5" t="s">
        <v>147</v>
      </c>
      <c r="B41" s="5" t="s">
        <v>139</v>
      </c>
      <c r="C41" s="19">
        <v>0.65800000000000003</v>
      </c>
      <c r="D41" s="5" t="s">
        <v>126</v>
      </c>
      <c r="E41" s="40">
        <v>0.05</v>
      </c>
      <c r="F41" s="41">
        <v>0.85</v>
      </c>
      <c r="G41" s="41">
        <v>0.84</v>
      </c>
      <c r="H41" s="42">
        <v>46295</v>
      </c>
      <c r="I41" s="41">
        <v>0.85</v>
      </c>
      <c r="J41" s="43"/>
      <c r="K41" s="43"/>
      <c r="L41" s="44">
        <v>36000</v>
      </c>
      <c r="M41" s="40"/>
      <c r="N41" s="45">
        <v>1</v>
      </c>
      <c r="O41" s="7"/>
      <c r="P41" s="5" t="s">
        <v>76</v>
      </c>
      <c r="Q41" s="40"/>
      <c r="R41" s="40"/>
      <c r="T41" s="46" t="str">
        <f t="shared" si="1"/>
        <v>BU-B|MO</v>
      </c>
    </row>
    <row r="42" spans="1:20" x14ac:dyDescent="0.25">
      <c r="A42" s="5" t="s">
        <v>147</v>
      </c>
      <c r="B42" s="5" t="s">
        <v>140</v>
      </c>
      <c r="C42" s="19">
        <v>0.64200000000000002</v>
      </c>
      <c r="D42" s="5" t="s">
        <v>126</v>
      </c>
      <c r="E42" s="40">
        <v>0.05</v>
      </c>
      <c r="F42" s="41">
        <v>0.85</v>
      </c>
      <c r="G42" s="41">
        <v>0.84</v>
      </c>
      <c r="H42" s="42">
        <v>46295</v>
      </c>
      <c r="I42" s="41">
        <v>0.83</v>
      </c>
      <c r="J42" s="43"/>
      <c r="K42" s="43"/>
      <c r="L42" s="44">
        <v>94500</v>
      </c>
      <c r="M42" s="40"/>
      <c r="N42" s="45">
        <v>1</v>
      </c>
      <c r="O42" s="7"/>
      <c r="P42" s="5" t="s">
        <v>76</v>
      </c>
      <c r="Q42" s="40"/>
      <c r="R42" s="40"/>
      <c r="T42" s="46" t="str">
        <f t="shared" si="1"/>
        <v>BU-B|NC</v>
      </c>
    </row>
    <row r="43" spans="1:20" x14ac:dyDescent="0.25">
      <c r="A43" s="5" t="s">
        <v>147</v>
      </c>
      <c r="B43" s="5" t="s">
        <v>141</v>
      </c>
      <c r="C43" s="19">
        <v>0.67</v>
      </c>
      <c r="D43" s="5" t="s">
        <v>126</v>
      </c>
      <c r="E43" s="40">
        <v>0.05</v>
      </c>
      <c r="F43" s="41">
        <v>0.85</v>
      </c>
      <c r="G43" s="41">
        <v>0.84</v>
      </c>
      <c r="H43" s="42">
        <v>46295</v>
      </c>
      <c r="I43" s="41">
        <v>0.84499999999999997</v>
      </c>
      <c r="J43" s="43"/>
      <c r="K43" s="43"/>
      <c r="L43" s="44">
        <v>76500</v>
      </c>
      <c r="M43" s="40"/>
      <c r="N43" s="45">
        <v>1</v>
      </c>
      <c r="O43" s="7"/>
      <c r="P43" s="5" t="s">
        <v>76</v>
      </c>
      <c r="Q43" s="40"/>
      <c r="R43" s="40"/>
      <c r="T43" s="46" t="str">
        <f t="shared" si="1"/>
        <v>BU-B|NJ</v>
      </c>
    </row>
    <row r="44" spans="1:20" x14ac:dyDescent="0.25">
      <c r="A44" s="5" t="s">
        <v>147</v>
      </c>
      <c r="B44" s="5" t="s">
        <v>142</v>
      </c>
      <c r="C44" s="19">
        <v>0.65400000000000003</v>
      </c>
      <c r="D44" s="5" t="s">
        <v>126</v>
      </c>
      <c r="E44" s="40">
        <v>0.05</v>
      </c>
      <c r="F44" s="41">
        <v>0.85</v>
      </c>
      <c r="G44" s="41">
        <v>0.84</v>
      </c>
      <c r="H44" s="42">
        <v>46295</v>
      </c>
      <c r="I44" s="41">
        <v>0.86</v>
      </c>
      <c r="J44" s="43"/>
      <c r="K44" s="43"/>
      <c r="L44" s="44">
        <v>58500</v>
      </c>
      <c r="M44" s="40"/>
      <c r="N44" s="45">
        <v>1</v>
      </c>
      <c r="O44" s="7"/>
      <c r="P44" s="5" t="s">
        <v>76</v>
      </c>
      <c r="Q44" s="40"/>
      <c r="R44" s="40"/>
      <c r="T44" s="46" t="str">
        <f t="shared" si="1"/>
        <v>BU-B|NY</v>
      </c>
    </row>
    <row r="45" spans="1:20" x14ac:dyDescent="0.25">
      <c r="A45" s="5" t="s">
        <v>147</v>
      </c>
      <c r="B45" s="5" t="s">
        <v>143</v>
      </c>
      <c r="C45" s="19">
        <v>0.63800000000000001</v>
      </c>
      <c r="D45" s="5" t="s">
        <v>126</v>
      </c>
      <c r="E45" s="40">
        <v>0.05</v>
      </c>
      <c r="F45" s="41">
        <v>0.85</v>
      </c>
      <c r="G45" s="41">
        <v>0.84</v>
      </c>
      <c r="H45" s="42">
        <v>46295</v>
      </c>
      <c r="I45" s="41">
        <v>0.84</v>
      </c>
      <c r="J45" s="43"/>
      <c r="K45" s="43"/>
      <c r="L45" s="44">
        <v>40500</v>
      </c>
      <c r="M45" s="40"/>
      <c r="N45" s="45">
        <v>1</v>
      </c>
      <c r="O45" s="7"/>
      <c r="P45" s="5" t="s">
        <v>76</v>
      </c>
      <c r="Q45" s="40"/>
      <c r="R45" s="40"/>
      <c r="T45" s="46" t="str">
        <f t="shared" si="1"/>
        <v>BU-B|OH</v>
      </c>
    </row>
    <row r="46" spans="1:20" x14ac:dyDescent="0.25">
      <c r="A46" s="5" t="s">
        <v>147</v>
      </c>
      <c r="B46" s="5" t="s">
        <v>144</v>
      </c>
      <c r="C46" s="19">
        <v>0.66600000000000004</v>
      </c>
      <c r="D46" s="5" t="s">
        <v>126</v>
      </c>
      <c r="E46" s="40">
        <v>0.05</v>
      </c>
      <c r="F46" s="41">
        <v>0.85</v>
      </c>
      <c r="G46" s="41">
        <v>0.84</v>
      </c>
      <c r="H46" s="42">
        <v>46295</v>
      </c>
      <c r="I46" s="41">
        <v>0.85499999999999998</v>
      </c>
      <c r="J46" s="43"/>
      <c r="K46" s="43"/>
      <c r="L46" s="44">
        <v>99000</v>
      </c>
      <c r="M46" s="40"/>
      <c r="N46" s="45">
        <v>1</v>
      </c>
      <c r="O46" s="7"/>
      <c r="P46" s="5" t="s">
        <v>76</v>
      </c>
      <c r="Q46" s="40"/>
      <c r="R46" s="40"/>
      <c r="T46" s="46" t="str">
        <f t="shared" si="1"/>
        <v>BU-B|PA</v>
      </c>
    </row>
    <row r="47" spans="1:20" x14ac:dyDescent="0.25">
      <c r="A47" s="5" t="s">
        <v>147</v>
      </c>
      <c r="B47" s="5" t="s">
        <v>145</v>
      </c>
      <c r="C47" s="19">
        <v>0.65</v>
      </c>
      <c r="D47" s="5" t="s">
        <v>126</v>
      </c>
      <c r="E47" s="40">
        <v>0.05</v>
      </c>
      <c r="F47" s="41">
        <v>0.85</v>
      </c>
      <c r="G47" s="41">
        <v>0.84</v>
      </c>
      <c r="H47" s="42">
        <v>46295</v>
      </c>
      <c r="I47" s="41">
        <v>0.83499999999999996</v>
      </c>
      <c r="J47" s="43"/>
      <c r="K47" s="43"/>
      <c r="L47" s="44">
        <v>81000</v>
      </c>
      <c r="M47" s="40"/>
      <c r="N47" s="45">
        <v>1</v>
      </c>
      <c r="O47" s="7"/>
      <c r="P47" s="5" t="s">
        <v>76</v>
      </c>
      <c r="Q47" s="40"/>
      <c r="R47" s="40"/>
      <c r="T47" s="46" t="str">
        <f t="shared" si="1"/>
        <v>BU-B|TN</v>
      </c>
    </row>
    <row r="48" spans="1:20" x14ac:dyDescent="0.25">
      <c r="A48" s="5" t="s">
        <v>147</v>
      </c>
      <c r="B48" s="5" t="s">
        <v>146</v>
      </c>
      <c r="C48" s="19">
        <v>0.63400000000000001</v>
      </c>
      <c r="D48" s="5" t="s">
        <v>126</v>
      </c>
      <c r="E48" s="40">
        <v>0.05</v>
      </c>
      <c r="F48" s="41">
        <v>0.85</v>
      </c>
      <c r="G48" s="41">
        <v>0.84</v>
      </c>
      <c r="H48" s="42">
        <v>46295</v>
      </c>
      <c r="I48" s="41">
        <v>0.85</v>
      </c>
      <c r="J48" s="43"/>
      <c r="K48" s="43"/>
      <c r="L48" s="44">
        <v>63000</v>
      </c>
      <c r="M48" s="40"/>
      <c r="N48" s="45">
        <v>1</v>
      </c>
      <c r="O48" s="7"/>
      <c r="P48" s="5" t="s">
        <v>76</v>
      </c>
      <c r="Q48" s="40"/>
      <c r="R48" s="40"/>
      <c r="T48" s="46" t="str">
        <f t="shared" si="1"/>
        <v>BU-B|TX</v>
      </c>
    </row>
    <row r="49" spans="1:20" x14ac:dyDescent="0.25">
      <c r="A49" s="5" t="s">
        <v>150</v>
      </c>
      <c r="B49" s="5" t="s">
        <v>65</v>
      </c>
      <c r="C49" s="19">
        <v>0.66200000000000003</v>
      </c>
      <c r="D49" s="5" t="s">
        <v>126</v>
      </c>
      <c r="E49" s="40">
        <v>0.05</v>
      </c>
      <c r="F49" s="41">
        <v>0.85</v>
      </c>
      <c r="G49" s="41">
        <v>0.84</v>
      </c>
      <c r="H49" s="42">
        <v>46295</v>
      </c>
      <c r="I49" s="41">
        <v>0.83</v>
      </c>
      <c r="J49" s="43"/>
      <c r="K49" s="43"/>
      <c r="L49" s="44">
        <v>45000</v>
      </c>
      <c r="M49" s="40"/>
      <c r="N49" s="45">
        <v>1</v>
      </c>
      <c r="O49" s="7"/>
      <c r="P49" s="5" t="s">
        <v>76</v>
      </c>
      <c r="Q49" s="40"/>
      <c r="R49" s="40"/>
      <c r="T49" s="46" t="str">
        <f t="shared" si="1"/>
        <v>BU-C|AZ</v>
      </c>
    </row>
    <row r="50" spans="1:20" x14ac:dyDescent="0.25">
      <c r="A50" s="5" t="s">
        <v>150</v>
      </c>
      <c r="B50" s="5" t="s">
        <v>127</v>
      </c>
      <c r="C50" s="19">
        <v>0.64600000000000002</v>
      </c>
      <c r="D50" s="5" t="s">
        <v>126</v>
      </c>
      <c r="E50" s="40">
        <v>0.05</v>
      </c>
      <c r="F50" s="41">
        <v>0.85</v>
      </c>
      <c r="G50" s="41">
        <v>0.84</v>
      </c>
      <c r="H50" s="42">
        <v>46295</v>
      </c>
      <c r="I50" s="41">
        <v>0.84499999999999997</v>
      </c>
      <c r="J50" s="43"/>
      <c r="K50" s="43"/>
      <c r="L50" s="44">
        <v>103500</v>
      </c>
      <c r="M50" s="40"/>
      <c r="N50" s="45">
        <v>1</v>
      </c>
      <c r="O50" s="7"/>
      <c r="P50" s="5" t="s">
        <v>76</v>
      </c>
      <c r="Q50" s="40"/>
      <c r="R50" s="40"/>
      <c r="T50" s="46" t="str">
        <f t="shared" si="1"/>
        <v>BU-C|CA</v>
      </c>
    </row>
    <row r="51" spans="1:20" x14ac:dyDescent="0.25">
      <c r="A51" s="5" t="s">
        <v>150</v>
      </c>
      <c r="B51" s="5" t="s">
        <v>128</v>
      </c>
      <c r="C51" s="19">
        <v>0.63</v>
      </c>
      <c r="D51" s="5" t="s">
        <v>126</v>
      </c>
      <c r="E51" s="40">
        <v>0.05</v>
      </c>
      <c r="F51" s="41">
        <v>0.85</v>
      </c>
      <c r="G51" s="41">
        <v>0.84</v>
      </c>
      <c r="H51" s="42">
        <v>46295</v>
      </c>
      <c r="I51" s="41">
        <v>0.86</v>
      </c>
      <c r="J51" s="43"/>
      <c r="K51" s="43"/>
      <c r="L51" s="44">
        <v>85500</v>
      </c>
      <c r="M51" s="40"/>
      <c r="N51" s="45">
        <v>1</v>
      </c>
      <c r="O51" s="7"/>
      <c r="P51" s="5" t="s">
        <v>76</v>
      </c>
      <c r="Q51" s="40"/>
      <c r="R51" s="40"/>
      <c r="T51" s="46" t="str">
        <f t="shared" si="1"/>
        <v>BU-C|CO</v>
      </c>
    </row>
    <row r="52" spans="1:20" x14ac:dyDescent="0.25">
      <c r="A52" s="5" t="s">
        <v>150</v>
      </c>
      <c r="B52" s="5" t="s">
        <v>129</v>
      </c>
      <c r="C52" s="19">
        <v>0.65800000000000003</v>
      </c>
      <c r="D52" s="5" t="s">
        <v>126</v>
      </c>
      <c r="E52" s="40">
        <v>0.05</v>
      </c>
      <c r="F52" s="41">
        <v>0.85</v>
      </c>
      <c r="G52" s="41">
        <v>0.84</v>
      </c>
      <c r="H52" s="42">
        <v>46295</v>
      </c>
      <c r="I52" s="41">
        <v>0.84</v>
      </c>
      <c r="J52" s="43"/>
      <c r="K52" s="43"/>
      <c r="L52" s="44">
        <v>67500</v>
      </c>
      <c r="M52" s="40"/>
      <c r="N52" s="45">
        <v>1</v>
      </c>
      <c r="O52" s="7"/>
      <c r="P52" s="5" t="s">
        <v>76</v>
      </c>
      <c r="Q52" s="40"/>
      <c r="R52" s="40"/>
      <c r="T52" s="46" t="str">
        <f t="shared" si="1"/>
        <v>BU-C|CT</v>
      </c>
    </row>
    <row r="53" spans="1:20" x14ac:dyDescent="0.25">
      <c r="A53" s="5" t="s">
        <v>150</v>
      </c>
      <c r="B53" s="5" t="s">
        <v>130</v>
      </c>
      <c r="C53" s="19">
        <v>0.64200000000000002</v>
      </c>
      <c r="D53" s="5" t="s">
        <v>126</v>
      </c>
      <c r="E53" s="40">
        <v>0.05</v>
      </c>
      <c r="F53" s="41">
        <v>0.85</v>
      </c>
      <c r="G53" s="41">
        <v>0.84</v>
      </c>
      <c r="H53" s="42">
        <v>46295</v>
      </c>
      <c r="I53" s="41">
        <v>0.85499999999999998</v>
      </c>
      <c r="J53" s="43"/>
      <c r="K53" s="43"/>
      <c r="L53" s="44">
        <v>49500</v>
      </c>
      <c r="M53" s="40"/>
      <c r="N53" s="45">
        <v>1</v>
      </c>
      <c r="O53" s="7"/>
      <c r="P53" s="5" t="s">
        <v>76</v>
      </c>
      <c r="Q53" s="40"/>
      <c r="R53" s="40"/>
      <c r="T53" s="46" t="str">
        <f t="shared" si="1"/>
        <v>BU-C|FL</v>
      </c>
    </row>
    <row r="54" spans="1:20" x14ac:dyDescent="0.25">
      <c r="A54" s="5" t="s">
        <v>150</v>
      </c>
      <c r="B54" s="5" t="s">
        <v>131</v>
      </c>
      <c r="C54" s="19">
        <v>0.67</v>
      </c>
      <c r="D54" s="5" t="s">
        <v>126</v>
      </c>
      <c r="E54" s="40">
        <v>0.05</v>
      </c>
      <c r="F54" s="41">
        <v>0.85</v>
      </c>
      <c r="G54" s="41">
        <v>0.84</v>
      </c>
      <c r="H54" s="42">
        <v>46295</v>
      </c>
      <c r="I54" s="41">
        <v>0.83499999999999996</v>
      </c>
      <c r="J54" s="43"/>
      <c r="K54" s="43"/>
      <c r="L54" s="44">
        <v>108000</v>
      </c>
      <c r="M54" s="40"/>
      <c r="N54" s="45">
        <v>1</v>
      </c>
      <c r="O54" s="7"/>
      <c r="P54" s="5" t="s">
        <v>76</v>
      </c>
      <c r="Q54" s="40"/>
      <c r="R54" s="40"/>
      <c r="T54" s="46" t="str">
        <f t="shared" si="1"/>
        <v>BU-C|GA</v>
      </c>
    </row>
    <row r="55" spans="1:20" x14ac:dyDescent="0.25">
      <c r="A55" s="5" t="s">
        <v>150</v>
      </c>
      <c r="B55" s="5" t="s">
        <v>132</v>
      </c>
      <c r="C55" s="19">
        <v>0.65400000000000003</v>
      </c>
      <c r="D55" s="5" t="s">
        <v>126</v>
      </c>
      <c r="E55" s="40">
        <v>6.5000000000000002E-2</v>
      </c>
      <c r="F55" s="41">
        <v>0.85</v>
      </c>
      <c r="G55" s="41">
        <v>0.84</v>
      </c>
      <c r="H55" s="42">
        <v>46295</v>
      </c>
      <c r="I55" s="41">
        <v>0.85</v>
      </c>
      <c r="J55" s="43"/>
      <c r="K55" s="43"/>
      <c r="L55" s="44">
        <v>90000</v>
      </c>
      <c r="M55" s="40"/>
      <c r="N55" s="45">
        <v>1</v>
      </c>
      <c r="O55" s="7"/>
      <c r="P55" s="5" t="s">
        <v>76</v>
      </c>
      <c r="Q55" s="40"/>
      <c r="R55" s="40"/>
      <c r="T55" s="46" t="str">
        <f t="shared" si="1"/>
        <v>BU-C|IL</v>
      </c>
    </row>
    <row r="56" spans="1:20" x14ac:dyDescent="0.25">
      <c r="A56" s="5" t="s">
        <v>150</v>
      </c>
      <c r="B56" s="5" t="s">
        <v>133</v>
      </c>
      <c r="C56" s="19">
        <v>0.63800000000000001</v>
      </c>
      <c r="D56" s="5" t="s">
        <v>126</v>
      </c>
      <c r="E56" s="40">
        <v>0.05</v>
      </c>
      <c r="F56" s="41">
        <v>0.85</v>
      </c>
      <c r="G56" s="41">
        <v>0.84</v>
      </c>
      <c r="H56" s="42">
        <v>46295</v>
      </c>
      <c r="I56" s="41">
        <v>0.83</v>
      </c>
      <c r="J56" s="43"/>
      <c r="K56" s="43"/>
      <c r="L56" s="44">
        <v>72000</v>
      </c>
      <c r="M56" s="40"/>
      <c r="N56" s="45">
        <v>1</v>
      </c>
      <c r="O56" s="7"/>
      <c r="P56" s="5" t="s">
        <v>76</v>
      </c>
      <c r="Q56" s="40"/>
      <c r="R56" s="40"/>
      <c r="T56" s="46" t="str">
        <f t="shared" si="1"/>
        <v>BU-C|IN</v>
      </c>
    </row>
    <row r="57" spans="1:20" x14ac:dyDescent="0.25">
      <c r="A57" s="5" t="s">
        <v>150</v>
      </c>
      <c r="B57" s="5" t="s">
        <v>134</v>
      </c>
      <c r="C57" s="19">
        <v>0.66600000000000004</v>
      </c>
      <c r="D57" s="5" t="s">
        <v>126</v>
      </c>
      <c r="E57" s="40">
        <v>0.05</v>
      </c>
      <c r="F57" s="41">
        <v>0.85</v>
      </c>
      <c r="G57" s="41">
        <v>0.84</v>
      </c>
      <c r="H57" s="42">
        <v>46295</v>
      </c>
      <c r="I57" s="41">
        <v>0.84499999999999997</v>
      </c>
      <c r="J57" s="43"/>
      <c r="K57" s="43"/>
      <c r="L57" s="44">
        <v>54000</v>
      </c>
      <c r="M57" s="40"/>
      <c r="N57" s="45">
        <v>1</v>
      </c>
      <c r="O57" s="7"/>
      <c r="P57" s="5" t="s">
        <v>76</v>
      </c>
      <c r="Q57" s="40">
        <v>0.1</v>
      </c>
      <c r="R57" s="40"/>
      <c r="T57" s="46" t="str">
        <f t="shared" si="1"/>
        <v>BU-C|IA</v>
      </c>
    </row>
    <row r="58" spans="1:20" x14ac:dyDescent="0.25">
      <c r="A58" s="5" t="s">
        <v>150</v>
      </c>
      <c r="B58" s="5" t="s">
        <v>135</v>
      </c>
      <c r="C58" s="19">
        <v>0.65</v>
      </c>
      <c r="D58" s="5" t="s">
        <v>126</v>
      </c>
      <c r="E58" s="40">
        <v>0.05</v>
      </c>
      <c r="F58" s="41">
        <v>0.85</v>
      </c>
      <c r="G58" s="41">
        <v>0.84</v>
      </c>
      <c r="H58" s="42">
        <v>46295</v>
      </c>
      <c r="I58" s="41">
        <v>0.86</v>
      </c>
      <c r="J58" s="43"/>
      <c r="K58" s="43"/>
      <c r="L58" s="44">
        <v>36000</v>
      </c>
      <c r="M58" s="40"/>
      <c r="N58" s="45">
        <v>1</v>
      </c>
      <c r="O58" s="7"/>
      <c r="P58" s="5" t="s">
        <v>76</v>
      </c>
      <c r="Q58" s="40"/>
      <c r="R58" s="40"/>
      <c r="T58" s="46" t="str">
        <f t="shared" si="1"/>
        <v>BU-C|KY</v>
      </c>
    </row>
    <row r="59" spans="1:20" x14ac:dyDescent="0.25">
      <c r="A59" s="5" t="s">
        <v>150</v>
      </c>
      <c r="B59" s="5" t="s">
        <v>136</v>
      </c>
      <c r="C59" s="19">
        <v>0.63400000000000001</v>
      </c>
      <c r="D59" s="5" t="s">
        <v>126</v>
      </c>
      <c r="E59" s="40">
        <v>0.05</v>
      </c>
      <c r="F59" s="41">
        <v>0.85</v>
      </c>
      <c r="G59" s="41">
        <v>0.84</v>
      </c>
      <c r="H59" s="42">
        <v>46295</v>
      </c>
      <c r="I59" s="41">
        <v>0.84</v>
      </c>
      <c r="J59" s="43"/>
      <c r="K59" s="43"/>
      <c r="L59" s="44">
        <v>94500</v>
      </c>
      <c r="M59" s="40"/>
      <c r="N59" s="45">
        <v>1</v>
      </c>
      <c r="O59" s="7"/>
      <c r="P59" s="5" t="s">
        <v>76</v>
      </c>
      <c r="Q59" s="40"/>
      <c r="R59" s="40"/>
      <c r="T59" s="46" t="str">
        <f t="shared" si="1"/>
        <v>BU-C|MD</v>
      </c>
    </row>
    <row r="60" spans="1:20" x14ac:dyDescent="0.25">
      <c r="A60" s="5" t="s">
        <v>150</v>
      </c>
      <c r="B60" s="5" t="s">
        <v>137</v>
      </c>
      <c r="C60" s="19">
        <v>0.66200000000000003</v>
      </c>
      <c r="D60" s="5" t="s">
        <v>126</v>
      </c>
      <c r="E60" s="40">
        <v>0.05</v>
      </c>
      <c r="F60" s="41">
        <v>0.85</v>
      </c>
      <c r="G60" s="41">
        <v>0.84</v>
      </c>
      <c r="H60" s="42">
        <v>46295</v>
      </c>
      <c r="I60" s="41">
        <v>0.85499999999999998</v>
      </c>
      <c r="J60" s="43"/>
      <c r="K60" s="43"/>
      <c r="L60" s="44">
        <v>76500</v>
      </c>
      <c r="M60" s="40"/>
      <c r="N60" s="45">
        <v>1</v>
      </c>
      <c r="O60" s="7"/>
      <c r="P60" s="5" t="s">
        <v>76</v>
      </c>
      <c r="Q60" s="40"/>
      <c r="R60" s="40"/>
      <c r="T60" s="46" t="str">
        <f t="shared" si="1"/>
        <v>BU-C|MI</v>
      </c>
    </row>
    <row r="61" spans="1:20" x14ac:dyDescent="0.25">
      <c r="A61" s="5" t="s">
        <v>150</v>
      </c>
      <c r="B61" s="5" t="s">
        <v>138</v>
      </c>
      <c r="C61" s="19">
        <v>0.64600000000000002</v>
      </c>
      <c r="D61" s="5" t="s">
        <v>126</v>
      </c>
      <c r="E61" s="40">
        <v>0.05</v>
      </c>
      <c r="F61" s="41">
        <v>0.85</v>
      </c>
      <c r="G61" s="41">
        <v>0.84</v>
      </c>
      <c r="H61" s="42">
        <v>46295</v>
      </c>
      <c r="I61" s="41">
        <v>0.83499999999999996</v>
      </c>
      <c r="J61" s="43"/>
      <c r="K61" s="43"/>
      <c r="L61" s="44">
        <v>58500</v>
      </c>
      <c r="M61" s="40"/>
      <c r="N61" s="45">
        <v>1</v>
      </c>
      <c r="O61" s="7"/>
      <c r="P61" s="5" t="s">
        <v>76</v>
      </c>
      <c r="Q61" s="40"/>
      <c r="R61" s="40"/>
      <c r="T61" s="46" t="str">
        <f t="shared" si="1"/>
        <v>BU-C|MN</v>
      </c>
    </row>
    <row r="62" spans="1:20" x14ac:dyDescent="0.25">
      <c r="A62" s="5" t="s">
        <v>150</v>
      </c>
      <c r="B62" s="5" t="s">
        <v>139</v>
      </c>
      <c r="C62" s="19">
        <v>0.63</v>
      </c>
      <c r="D62" s="5" t="s">
        <v>126</v>
      </c>
      <c r="E62" s="40">
        <v>0.05</v>
      </c>
      <c r="F62" s="41">
        <v>0.85</v>
      </c>
      <c r="G62" s="41">
        <v>0.84</v>
      </c>
      <c r="H62" s="42">
        <v>46295</v>
      </c>
      <c r="I62" s="41">
        <v>0.85</v>
      </c>
      <c r="J62" s="43"/>
      <c r="K62" s="43"/>
      <c r="L62" s="44">
        <v>40500</v>
      </c>
      <c r="M62" s="40"/>
      <c r="N62" s="45">
        <v>1</v>
      </c>
      <c r="O62" s="7"/>
      <c r="P62" s="5" t="s">
        <v>76</v>
      </c>
      <c r="Q62" s="40"/>
      <c r="R62" s="40"/>
      <c r="T62" s="46" t="str">
        <f t="shared" si="1"/>
        <v>BU-C|MO</v>
      </c>
    </row>
    <row r="63" spans="1:20" x14ac:dyDescent="0.25">
      <c r="A63" s="5" t="s">
        <v>150</v>
      </c>
      <c r="B63" s="5" t="s">
        <v>140</v>
      </c>
      <c r="C63" s="19">
        <v>0.65800000000000003</v>
      </c>
      <c r="D63" s="5" t="s">
        <v>126</v>
      </c>
      <c r="E63" s="40">
        <v>0.05</v>
      </c>
      <c r="F63" s="41">
        <v>0.85</v>
      </c>
      <c r="G63" s="41">
        <v>0.84</v>
      </c>
      <c r="H63" s="42">
        <v>46295</v>
      </c>
      <c r="I63" s="41">
        <v>0.83</v>
      </c>
      <c r="J63" s="43"/>
      <c r="K63" s="43"/>
      <c r="L63" s="44">
        <v>99000</v>
      </c>
      <c r="M63" s="40"/>
      <c r="N63" s="45">
        <v>1</v>
      </c>
      <c r="O63" s="7"/>
      <c r="P63" s="5" t="s">
        <v>76</v>
      </c>
      <c r="Q63" s="40"/>
      <c r="R63" s="40"/>
      <c r="T63" s="46" t="str">
        <f t="shared" si="1"/>
        <v>BU-C|NC</v>
      </c>
    </row>
    <row r="64" spans="1:20" x14ac:dyDescent="0.25">
      <c r="A64" s="5" t="s">
        <v>150</v>
      </c>
      <c r="B64" s="5" t="s">
        <v>141</v>
      </c>
      <c r="C64" s="19">
        <v>0.64200000000000002</v>
      </c>
      <c r="D64" s="5" t="s">
        <v>126</v>
      </c>
      <c r="E64" s="40">
        <v>0.05</v>
      </c>
      <c r="F64" s="41">
        <v>0.85</v>
      </c>
      <c r="G64" s="41">
        <v>0.84</v>
      </c>
      <c r="H64" s="42">
        <v>46295</v>
      </c>
      <c r="I64" s="41">
        <v>0.84499999999999997</v>
      </c>
      <c r="J64" s="43"/>
      <c r="K64" s="43"/>
      <c r="L64" s="44">
        <v>81000</v>
      </c>
      <c r="M64" s="40"/>
      <c r="N64" s="45">
        <v>1</v>
      </c>
      <c r="O64" s="7"/>
      <c r="P64" s="5" t="s">
        <v>76</v>
      </c>
      <c r="Q64" s="40"/>
      <c r="R64" s="40"/>
      <c r="T64" s="46" t="str">
        <f t="shared" si="1"/>
        <v>BU-C|NJ</v>
      </c>
    </row>
    <row r="65" spans="1:20" x14ac:dyDescent="0.25">
      <c r="A65" s="5" t="s">
        <v>150</v>
      </c>
      <c r="B65" s="5" t="s">
        <v>142</v>
      </c>
      <c r="C65" s="19">
        <v>0.67</v>
      </c>
      <c r="D65" s="5" t="s">
        <v>126</v>
      </c>
      <c r="E65" s="40">
        <v>0.05</v>
      </c>
      <c r="F65" s="41">
        <v>0.85</v>
      </c>
      <c r="G65" s="41">
        <v>0.84</v>
      </c>
      <c r="H65" s="42">
        <v>46295</v>
      </c>
      <c r="I65" s="41">
        <v>0.86</v>
      </c>
      <c r="J65" s="43"/>
      <c r="K65" s="43"/>
      <c r="L65" s="44">
        <v>63000</v>
      </c>
      <c r="M65" s="40"/>
      <c r="N65" s="45">
        <v>1</v>
      </c>
      <c r="O65" s="7"/>
      <c r="P65" s="5" t="s">
        <v>76</v>
      </c>
      <c r="Q65" s="40"/>
      <c r="R65" s="40"/>
      <c r="T65" s="46" t="str">
        <f t="shared" si="1"/>
        <v>BU-C|NY</v>
      </c>
    </row>
    <row r="66" spans="1:20" x14ac:dyDescent="0.25">
      <c r="A66" s="5" t="s">
        <v>150</v>
      </c>
      <c r="B66" s="5" t="s">
        <v>143</v>
      </c>
      <c r="C66" s="19">
        <v>0.65400000000000003</v>
      </c>
      <c r="D66" s="5" t="s">
        <v>126</v>
      </c>
      <c r="E66" s="40">
        <v>0.05</v>
      </c>
      <c r="F66" s="41">
        <v>0.85</v>
      </c>
      <c r="G66" s="41">
        <v>0.84</v>
      </c>
      <c r="H66" s="42">
        <v>46295</v>
      </c>
      <c r="I66" s="41">
        <v>0.84</v>
      </c>
      <c r="J66" s="43"/>
      <c r="K66" s="43"/>
      <c r="L66" s="44">
        <v>45000</v>
      </c>
      <c r="M66" s="40"/>
      <c r="N66" s="45">
        <v>1</v>
      </c>
      <c r="O66" s="7"/>
      <c r="P66" s="5" t="s">
        <v>76</v>
      </c>
      <c r="Q66" s="40"/>
      <c r="R66" s="40"/>
      <c r="T66" s="46" t="str">
        <f t="shared" si="1"/>
        <v>BU-C|OH</v>
      </c>
    </row>
    <row r="67" spans="1:20" x14ac:dyDescent="0.25">
      <c r="A67" s="5" t="s">
        <v>150</v>
      </c>
      <c r="B67" s="5" t="s">
        <v>144</v>
      </c>
      <c r="C67" s="19">
        <v>0.63800000000000001</v>
      </c>
      <c r="D67" s="5" t="s">
        <v>126</v>
      </c>
      <c r="E67" s="40">
        <v>0.05</v>
      </c>
      <c r="F67" s="41">
        <v>0.85</v>
      </c>
      <c r="G67" s="41">
        <v>0.84</v>
      </c>
      <c r="H67" s="42">
        <v>46295</v>
      </c>
      <c r="I67" s="41">
        <v>0.85499999999999998</v>
      </c>
      <c r="J67" s="43"/>
      <c r="K67" s="43"/>
      <c r="L67" s="44">
        <v>103500</v>
      </c>
      <c r="M67" s="40"/>
      <c r="N67" s="45">
        <v>1</v>
      </c>
      <c r="O67" s="7"/>
      <c r="P67" s="5" t="s">
        <v>76</v>
      </c>
      <c r="Q67" s="40"/>
      <c r="R67" s="40"/>
      <c r="T67" s="46" t="str">
        <f t="shared" si="1"/>
        <v>BU-C|PA</v>
      </c>
    </row>
    <row r="68" spans="1:20" x14ac:dyDescent="0.25">
      <c r="A68" s="5" t="s">
        <v>150</v>
      </c>
      <c r="B68" s="5" t="s">
        <v>145</v>
      </c>
      <c r="C68" s="19">
        <v>0.66600000000000004</v>
      </c>
      <c r="D68" s="5" t="s">
        <v>126</v>
      </c>
      <c r="E68" s="40">
        <v>0.05</v>
      </c>
      <c r="F68" s="41">
        <v>0.85</v>
      </c>
      <c r="G68" s="41">
        <v>0.84</v>
      </c>
      <c r="H68" s="42">
        <v>46295</v>
      </c>
      <c r="I68" s="41">
        <v>0.83499999999999996</v>
      </c>
      <c r="J68" s="43"/>
      <c r="K68" s="43"/>
      <c r="L68" s="44">
        <v>85500</v>
      </c>
      <c r="M68" s="40"/>
      <c r="N68" s="45">
        <v>1</v>
      </c>
      <c r="O68" s="7"/>
      <c r="P68" s="5" t="s">
        <v>76</v>
      </c>
      <c r="Q68" s="40"/>
      <c r="R68" s="40"/>
      <c r="T68" s="46" t="str">
        <f t="shared" si="1"/>
        <v>BU-C|TN</v>
      </c>
    </row>
    <row r="69" spans="1:20" x14ac:dyDescent="0.25">
      <c r="A69" s="5" t="s">
        <v>150</v>
      </c>
      <c r="B69" s="5" t="s">
        <v>146</v>
      </c>
      <c r="C69" s="19">
        <v>0.65</v>
      </c>
      <c r="D69" s="5" t="s">
        <v>126</v>
      </c>
      <c r="E69" s="40">
        <v>0.05</v>
      </c>
      <c r="F69" s="41">
        <v>0.85</v>
      </c>
      <c r="G69" s="41">
        <v>0.84</v>
      </c>
      <c r="H69" s="42">
        <v>46295</v>
      </c>
      <c r="I69" s="41">
        <v>0.85</v>
      </c>
      <c r="J69" s="43"/>
      <c r="K69" s="43"/>
      <c r="L69" s="44">
        <v>67500</v>
      </c>
      <c r="M69" s="40"/>
      <c r="N69" s="45">
        <v>1</v>
      </c>
      <c r="O69" s="7"/>
      <c r="P69" s="5" t="s">
        <v>76</v>
      </c>
      <c r="Q69" s="40"/>
      <c r="R69" s="40"/>
      <c r="T69" s="46" t="str">
        <f t="shared" si="1"/>
        <v>BU-C|TX</v>
      </c>
    </row>
    <row r="70" spans="1:20" x14ac:dyDescent="0.25">
      <c r="A70" s="5"/>
      <c r="B70" s="5"/>
      <c r="C70" s="19"/>
      <c r="D70" s="5"/>
      <c r="E70" s="40"/>
      <c r="F70" s="41"/>
      <c r="G70" s="41"/>
      <c r="H70" s="42"/>
      <c r="I70" s="41"/>
      <c r="J70" s="43"/>
      <c r="K70" s="43"/>
      <c r="L70" s="44"/>
      <c r="M70" s="40"/>
      <c r="N70" s="45"/>
      <c r="O70" s="7"/>
      <c r="P70" s="5"/>
      <c r="Q70" s="40"/>
      <c r="R70" s="40"/>
      <c r="T70" s="46" t="str">
        <f t="shared" si="1"/>
        <v/>
      </c>
    </row>
    <row r="71" spans="1:20" x14ac:dyDescent="0.25">
      <c r="A71" s="5"/>
      <c r="B71" s="5"/>
      <c r="C71" s="19"/>
      <c r="D71" s="5"/>
      <c r="E71" s="40"/>
      <c r="F71" s="41"/>
      <c r="G71" s="41"/>
      <c r="H71" s="42"/>
      <c r="I71" s="41"/>
      <c r="J71" s="43"/>
      <c r="K71" s="43"/>
      <c r="L71" s="44"/>
      <c r="M71" s="40"/>
      <c r="N71" s="45"/>
      <c r="O71" s="7"/>
      <c r="P71" s="5"/>
      <c r="Q71" s="40"/>
      <c r="R71" s="40"/>
      <c r="T71" s="46" t="str">
        <f t="shared" si="1"/>
        <v/>
      </c>
    </row>
    <row r="72" spans="1:20" x14ac:dyDescent="0.25">
      <c r="A72" s="5"/>
      <c r="B72" s="5"/>
      <c r="C72" s="19"/>
      <c r="D72" s="5"/>
      <c r="E72" s="40"/>
      <c r="F72" s="41"/>
      <c r="G72" s="41"/>
      <c r="H72" s="42"/>
      <c r="I72" s="41"/>
      <c r="J72" s="43"/>
      <c r="K72" s="43"/>
      <c r="L72" s="44"/>
      <c r="M72" s="40"/>
      <c r="N72" s="45"/>
      <c r="O72" s="7"/>
      <c r="P72" s="5"/>
      <c r="Q72" s="40"/>
      <c r="R72" s="40"/>
      <c r="T72" s="46" t="str">
        <f t="shared" si="1"/>
        <v/>
      </c>
    </row>
    <row r="73" spans="1:20" x14ac:dyDescent="0.25">
      <c r="A73" s="5"/>
      <c r="B73" s="5"/>
      <c r="C73" s="19"/>
      <c r="D73" s="5"/>
      <c r="E73" s="40"/>
      <c r="F73" s="41"/>
      <c r="G73" s="41"/>
      <c r="H73" s="42"/>
      <c r="I73" s="41"/>
      <c r="J73" s="43"/>
      <c r="K73" s="43"/>
      <c r="L73" s="44"/>
      <c r="M73" s="40"/>
      <c r="N73" s="45"/>
      <c r="O73" s="7"/>
      <c r="P73" s="5"/>
      <c r="Q73" s="40"/>
      <c r="R73" s="40"/>
      <c r="T73" s="46" t="str">
        <f t="shared" si="1"/>
        <v/>
      </c>
    </row>
    <row r="74" spans="1:20" x14ac:dyDescent="0.25">
      <c r="A74" s="5"/>
      <c r="B74" s="5"/>
      <c r="C74" s="19"/>
      <c r="D74" s="5"/>
      <c r="E74" s="40"/>
      <c r="F74" s="41"/>
      <c r="G74" s="41"/>
      <c r="H74" s="42"/>
      <c r="I74" s="41"/>
      <c r="J74" s="43"/>
      <c r="K74" s="43"/>
      <c r="L74" s="44"/>
      <c r="M74" s="40"/>
      <c r="N74" s="45"/>
      <c r="O74" s="7"/>
      <c r="P74" s="5"/>
      <c r="Q74" s="40"/>
      <c r="R74" s="40"/>
      <c r="T74" s="46" t="str">
        <f t="shared" si="1"/>
        <v/>
      </c>
    </row>
    <row r="75" spans="1:20" x14ac:dyDescent="0.25">
      <c r="A75" s="5"/>
      <c r="B75" s="5"/>
      <c r="C75" s="19"/>
      <c r="D75" s="5"/>
      <c r="E75" s="40"/>
      <c r="F75" s="41"/>
      <c r="G75" s="41"/>
      <c r="H75" s="42"/>
      <c r="I75" s="41"/>
      <c r="J75" s="43"/>
      <c r="K75" s="43"/>
      <c r="L75" s="44"/>
      <c r="M75" s="40"/>
      <c r="N75" s="45"/>
      <c r="O75" s="7"/>
      <c r="P75" s="5"/>
      <c r="Q75" s="40"/>
      <c r="R75" s="40"/>
      <c r="T75" s="46" t="str">
        <f t="shared" si="1"/>
        <v/>
      </c>
    </row>
    <row r="78" spans="1:20" ht="15.75" x14ac:dyDescent="0.25">
      <c r="A78" s="3" t="s">
        <v>151</v>
      </c>
      <c r="J78" s="37" t="s">
        <v>152</v>
      </c>
    </row>
    <row r="79" spans="1:20" ht="45" x14ac:dyDescent="0.25">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25">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25">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25">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25">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25">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25">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25">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25">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25">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25">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25">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25">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25">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25">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25">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25">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25">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25">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25">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25">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25">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25">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25">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25">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25">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25">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25">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25">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25">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25">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25">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25">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25">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25">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25">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25">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25">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25">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25">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25">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25">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25">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25">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25">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25">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25">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25">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25">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25">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25">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25">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25">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25">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25">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25">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25">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25">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25">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25">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25">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25">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25">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25">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25">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25">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25">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25">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25">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25">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25">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25">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25">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25">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25">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25">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25">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25">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25">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25">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25">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25">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25">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25">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25">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25">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25">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25">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25">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25">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25">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25">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25">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25">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25">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25">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25">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25">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25">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25">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25">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25">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25">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25">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25">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25">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25">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25">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25">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25">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25">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25">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25">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25">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25">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25">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25">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25">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25">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25">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25">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25">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25">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25">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25">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25">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25">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25">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25">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25">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25">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25">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25">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25">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25">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25">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25">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25">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25">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25">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25">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25">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25">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25">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25">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25">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25">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25">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25">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25">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25">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25">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25">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25">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25">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25">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25">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25">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25">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25">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25">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25">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25">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25">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25">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25">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25">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25">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25">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25">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25">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25">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25">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25">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25">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25">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25">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25">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25">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25">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25">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25">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25">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25">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25">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25">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25">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25">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25">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25">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25">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25">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25">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25">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25">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25">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25">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25">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25">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25">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25">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25">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25">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25">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25">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25">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25">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25">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25">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25">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25">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25">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25">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25">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25">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25">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25">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25">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25">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25">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25">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25">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25">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25">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25">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25">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25">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25">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25">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25">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25">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25">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25">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25">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25">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25">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25">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25">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25">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25">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25">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75" x14ac:dyDescent="0.25">
      <c r="A322" s="3" t="s">
        <v>178</v>
      </c>
    </row>
    <row r="323" spans="1:14" x14ac:dyDescent="0.25">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25">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25">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25">
      <c r="A326" s="7"/>
      <c r="B326" s="53"/>
      <c r="C326" s="53"/>
      <c r="D326" s="53"/>
      <c r="E326" s="53"/>
      <c r="F326" s="53"/>
      <c r="G326" s="53"/>
      <c r="H326" s="53"/>
      <c r="I326" s="53"/>
      <c r="J326" s="53"/>
      <c r="K326" s="53"/>
      <c r="L326" s="53"/>
      <c r="M326" s="53"/>
      <c r="N326" s="54" t="str">
        <f t="shared" si="34"/>
        <v/>
      </c>
    </row>
    <row r="327" spans="1:14" x14ac:dyDescent="0.25">
      <c r="A327" s="7"/>
      <c r="B327" s="53"/>
      <c r="C327" s="53"/>
      <c r="D327" s="53"/>
      <c r="E327" s="53"/>
      <c r="F327" s="53"/>
      <c r="G327" s="53"/>
      <c r="H327" s="53"/>
      <c r="I327" s="53"/>
      <c r="J327" s="53"/>
      <c r="K327" s="53"/>
      <c r="L327" s="53"/>
      <c r="M327" s="53"/>
      <c r="N327" s="54" t="str">
        <f t="shared" si="34"/>
        <v/>
      </c>
    </row>
    <row r="328" spans="1:14" x14ac:dyDescent="0.25">
      <c r="A328" s="7"/>
      <c r="B328" s="53"/>
      <c r="C328" s="53"/>
      <c r="D328" s="53"/>
      <c r="E328" s="53"/>
      <c r="F328" s="53"/>
      <c r="G328" s="53"/>
      <c r="H328" s="53"/>
      <c r="I328" s="53"/>
      <c r="J328" s="53"/>
      <c r="K328" s="53"/>
      <c r="L328" s="53"/>
      <c r="M328" s="53"/>
      <c r="N328" s="54" t="str">
        <f t="shared" si="34"/>
        <v/>
      </c>
    </row>
    <row r="329" spans="1:14" x14ac:dyDescent="0.25">
      <c r="A329" s="7"/>
      <c r="B329" s="53"/>
      <c r="C329" s="53"/>
      <c r="D329" s="53"/>
      <c r="E329" s="53"/>
      <c r="F329" s="53"/>
      <c r="G329" s="53"/>
      <c r="H329" s="53"/>
      <c r="I329" s="53"/>
      <c r="J329" s="53"/>
      <c r="K329" s="53"/>
      <c r="L329" s="53"/>
      <c r="M329" s="53"/>
      <c r="N329" s="54" t="str">
        <f t="shared" si="34"/>
        <v/>
      </c>
    </row>
    <row r="330" spans="1:14" x14ac:dyDescent="0.25">
      <c r="A330" s="7"/>
      <c r="B330" s="53"/>
      <c r="C330" s="53"/>
      <c r="D330" s="53"/>
      <c r="E330" s="53"/>
      <c r="F330" s="53"/>
      <c r="G330" s="53"/>
      <c r="H330" s="53"/>
      <c r="I330" s="53"/>
      <c r="J330" s="53"/>
      <c r="K330" s="53"/>
      <c r="L330" s="53"/>
      <c r="M330" s="53"/>
      <c r="N330" s="54" t="str">
        <f t="shared" si="34"/>
        <v/>
      </c>
    </row>
    <row r="331" spans="1:14" x14ac:dyDescent="0.25">
      <c r="A331" s="7"/>
      <c r="B331" s="53"/>
      <c r="C331" s="53"/>
      <c r="D331" s="53"/>
      <c r="E331" s="53"/>
      <c r="F331" s="53"/>
      <c r="G331" s="53"/>
      <c r="H331" s="53"/>
      <c r="I331" s="53"/>
      <c r="J331" s="53"/>
      <c r="K331" s="53"/>
      <c r="L331" s="53"/>
      <c r="M331" s="53"/>
      <c r="N331" s="54" t="str">
        <f t="shared" si="34"/>
        <v/>
      </c>
    </row>
    <row r="332" spans="1:14" x14ac:dyDescent="0.25">
      <c r="A332" s="7"/>
      <c r="B332" s="53"/>
      <c r="C332" s="53"/>
      <c r="D332" s="53"/>
      <c r="E332" s="53"/>
      <c r="F332" s="53"/>
      <c r="G332" s="53"/>
      <c r="H332" s="53"/>
      <c r="I332" s="53"/>
      <c r="J332" s="53"/>
      <c r="K332" s="53"/>
      <c r="L332" s="53"/>
      <c r="M332" s="53"/>
      <c r="N332" s="54" t="str">
        <f t="shared" si="34"/>
        <v/>
      </c>
    </row>
    <row r="333" spans="1:14" x14ac:dyDescent="0.25">
      <c r="A333" s="7"/>
      <c r="B333" s="53"/>
      <c r="C333" s="53"/>
      <c r="D333" s="53"/>
      <c r="E333" s="53"/>
      <c r="F333" s="53"/>
      <c r="G333" s="53"/>
      <c r="H333" s="53"/>
      <c r="I333" s="53"/>
      <c r="J333" s="53"/>
      <c r="K333" s="53"/>
      <c r="L333" s="53"/>
      <c r="M333" s="53"/>
      <c r="N333" s="54" t="str">
        <f t="shared" si="34"/>
        <v/>
      </c>
    </row>
    <row r="334" spans="1:14" x14ac:dyDescent="0.25">
      <c r="A334" s="7"/>
      <c r="B334" s="53"/>
      <c r="C334" s="53"/>
      <c r="D334" s="53"/>
      <c r="E334" s="53"/>
      <c r="F334" s="53"/>
      <c r="G334" s="53"/>
      <c r="H334" s="53"/>
      <c r="I334" s="53"/>
      <c r="J334" s="53"/>
      <c r="K334" s="53"/>
      <c r="L334" s="53"/>
      <c r="M334" s="53"/>
      <c r="N334" s="54" t="str">
        <f t="shared" si="34"/>
        <v/>
      </c>
    </row>
    <row r="335" spans="1:14" x14ac:dyDescent="0.25">
      <c r="A335" s="7"/>
      <c r="B335" s="53"/>
      <c r="C335" s="53"/>
      <c r="D335" s="53"/>
      <c r="E335" s="53"/>
      <c r="F335" s="53"/>
      <c r="G335" s="53"/>
      <c r="H335" s="53"/>
      <c r="I335" s="53"/>
      <c r="J335" s="53"/>
      <c r="K335" s="53"/>
      <c r="L335" s="53"/>
      <c r="M335" s="53"/>
      <c r="N335" s="54" t="str">
        <f t="shared" si="34"/>
        <v/>
      </c>
    </row>
    <row r="336" spans="1:14" x14ac:dyDescent="0.25">
      <c r="A336" s="7"/>
      <c r="B336" s="53"/>
      <c r="C336" s="53"/>
      <c r="D336" s="53"/>
      <c r="E336" s="53"/>
      <c r="F336" s="53"/>
      <c r="G336" s="53"/>
      <c r="H336" s="53"/>
      <c r="I336" s="53"/>
      <c r="J336" s="53"/>
      <c r="K336" s="53"/>
      <c r="L336" s="53"/>
      <c r="M336" s="53"/>
      <c r="N336" s="54" t="str">
        <f t="shared" si="34"/>
        <v/>
      </c>
    </row>
    <row r="337" spans="1:14" x14ac:dyDescent="0.25">
      <c r="A337" s="7"/>
      <c r="B337" s="53"/>
      <c r="C337" s="53"/>
      <c r="D337" s="53"/>
      <c r="E337" s="53"/>
      <c r="F337" s="53"/>
      <c r="G337" s="53"/>
      <c r="H337" s="53"/>
      <c r="I337" s="53"/>
      <c r="J337" s="53"/>
      <c r="K337" s="53"/>
      <c r="L337" s="53"/>
      <c r="M337" s="53"/>
      <c r="N337" s="54" t="str">
        <f t="shared" si="34"/>
        <v/>
      </c>
    </row>
    <row r="338" spans="1:14" x14ac:dyDescent="0.25">
      <c r="A338" s="7"/>
      <c r="B338" s="53"/>
      <c r="C338" s="53"/>
      <c r="D338" s="53"/>
      <c r="E338" s="53"/>
      <c r="F338" s="53"/>
      <c r="G338" s="53"/>
      <c r="H338" s="53"/>
      <c r="I338" s="53"/>
      <c r="J338" s="53"/>
      <c r="K338" s="53"/>
      <c r="L338" s="53"/>
      <c r="M338" s="53"/>
      <c r="N338" s="54" t="str">
        <f t="shared" si="34"/>
        <v/>
      </c>
    </row>
    <row r="339" spans="1:14" x14ac:dyDescent="0.25">
      <c r="A339" s="7"/>
      <c r="B339" s="53"/>
      <c r="C339" s="53"/>
      <c r="D339" s="53"/>
      <c r="E339" s="53"/>
      <c r="F339" s="53"/>
      <c r="G339" s="53"/>
      <c r="H339" s="53"/>
      <c r="I339" s="53"/>
      <c r="J339" s="53"/>
      <c r="K339" s="53"/>
      <c r="L339" s="53"/>
      <c r="M339" s="53"/>
      <c r="N339" s="54" t="str">
        <f t="shared" si="34"/>
        <v/>
      </c>
    </row>
    <row r="340" spans="1:14" x14ac:dyDescent="0.25">
      <c r="A340" s="7"/>
      <c r="B340" s="53"/>
      <c r="C340" s="53"/>
      <c r="D340" s="53"/>
      <c r="E340" s="53"/>
      <c r="F340" s="53"/>
      <c r="G340" s="53"/>
      <c r="H340" s="53"/>
      <c r="I340" s="53"/>
      <c r="J340" s="53"/>
      <c r="K340" s="53"/>
      <c r="L340" s="53"/>
      <c r="M340" s="53"/>
      <c r="N340" s="54" t="str">
        <f t="shared" si="34"/>
        <v/>
      </c>
    </row>
    <row r="341" spans="1:14" x14ac:dyDescent="0.25">
      <c r="A341" s="7"/>
      <c r="B341" s="53"/>
      <c r="C341" s="53"/>
      <c r="D341" s="53"/>
      <c r="E341" s="53"/>
      <c r="F341" s="53"/>
      <c r="G341" s="53"/>
      <c r="H341" s="53"/>
      <c r="I341" s="53"/>
      <c r="J341" s="53"/>
      <c r="K341" s="53"/>
      <c r="L341" s="53"/>
      <c r="M341" s="53"/>
      <c r="N341" s="54" t="str">
        <f t="shared" si="34"/>
        <v/>
      </c>
    </row>
    <row r="342" spans="1:14" x14ac:dyDescent="0.25">
      <c r="A342" s="7"/>
      <c r="B342" s="53"/>
      <c r="C342" s="53"/>
      <c r="D342" s="53"/>
      <c r="E342" s="53"/>
      <c r="F342" s="53"/>
      <c r="G342" s="53"/>
      <c r="H342" s="53"/>
      <c r="I342" s="53"/>
      <c r="J342" s="53"/>
      <c r="K342" s="53"/>
      <c r="L342" s="53"/>
      <c r="M342" s="53"/>
      <c r="N342" s="54" t="str">
        <f t="shared" si="34"/>
        <v/>
      </c>
    </row>
    <row r="343" spans="1:14" x14ac:dyDescent="0.25">
      <c r="A343" s="7"/>
      <c r="B343" s="53"/>
      <c r="C343" s="53"/>
      <c r="D343" s="53"/>
      <c r="E343" s="53"/>
      <c r="F343" s="53"/>
      <c r="G343" s="53"/>
      <c r="H343" s="53"/>
      <c r="I343" s="53"/>
      <c r="J343" s="53"/>
      <c r="K343" s="53"/>
      <c r="L343" s="53"/>
      <c r="M343" s="53"/>
      <c r="N343" s="54" t="str">
        <f t="shared" si="34"/>
        <v/>
      </c>
    </row>
    <row r="344" spans="1:14" x14ac:dyDescent="0.25">
      <c r="A344" s="7"/>
      <c r="B344" s="53"/>
      <c r="C344" s="53"/>
      <c r="D344" s="53"/>
      <c r="E344" s="53"/>
      <c r="F344" s="53"/>
      <c r="G344" s="53"/>
      <c r="H344" s="53"/>
      <c r="I344" s="53"/>
      <c r="J344" s="53"/>
      <c r="K344" s="53"/>
      <c r="L344" s="53"/>
      <c r="M344" s="53"/>
      <c r="N344" s="54" t="str">
        <f t="shared" si="34"/>
        <v/>
      </c>
    </row>
    <row r="345" spans="1:14" x14ac:dyDescent="0.25">
      <c r="A345" s="7"/>
      <c r="B345" s="53"/>
      <c r="C345" s="53"/>
      <c r="D345" s="53"/>
      <c r="E345" s="53"/>
      <c r="F345" s="53"/>
      <c r="G345" s="53"/>
      <c r="H345" s="53"/>
      <c r="I345" s="53"/>
      <c r="J345" s="53"/>
      <c r="K345" s="53"/>
      <c r="L345" s="53"/>
      <c r="M345" s="53"/>
      <c r="N345" s="54" t="str">
        <f t="shared" si="34"/>
        <v/>
      </c>
    </row>
    <row r="346" spans="1:14" x14ac:dyDescent="0.25">
      <c r="A346" s="7"/>
      <c r="B346" s="53"/>
      <c r="C346" s="53"/>
      <c r="D346" s="53"/>
      <c r="E346" s="53"/>
      <c r="F346" s="53"/>
      <c r="G346" s="53"/>
      <c r="H346" s="53"/>
      <c r="I346" s="53"/>
      <c r="J346" s="53"/>
      <c r="K346" s="53"/>
      <c r="L346" s="53"/>
      <c r="M346" s="53"/>
      <c r="N346" s="54" t="str">
        <f t="shared" si="34"/>
        <v/>
      </c>
    </row>
    <row r="347" spans="1:14" x14ac:dyDescent="0.25">
      <c r="A347" s="7"/>
      <c r="B347" s="53"/>
      <c r="C347" s="53"/>
      <c r="D347" s="53"/>
      <c r="E347" s="53"/>
      <c r="F347" s="53"/>
      <c r="G347" s="53"/>
      <c r="H347" s="53"/>
      <c r="I347" s="53"/>
      <c r="J347" s="53"/>
      <c r="K347" s="53"/>
      <c r="L347" s="53"/>
      <c r="M347" s="53"/>
      <c r="N347" s="54" t="str">
        <f t="shared" si="34"/>
        <v/>
      </c>
    </row>
    <row r="350" spans="1:14" ht="15.75" x14ac:dyDescent="0.25">
      <c r="A350" s="3" t="s">
        <v>192</v>
      </c>
    </row>
    <row r="351" spans="1:14" x14ac:dyDescent="0.25">
      <c r="A351" s="12" t="s">
        <v>69</v>
      </c>
      <c r="B351" s="16" t="s">
        <v>70</v>
      </c>
    </row>
    <row r="352" spans="1:14" ht="132" x14ac:dyDescent="0.25">
      <c r="A352" s="12" t="s">
        <v>66</v>
      </c>
      <c r="B352" s="13">
        <v>12</v>
      </c>
      <c r="C352" s="17"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5" t="str">
        <f>nr_SelKey</f>
        <v>BU-A|AZ</v>
      </c>
      <c r="D3" s="17" t="s">
        <v>197</v>
      </c>
      <c r="H3" s="56" t="str">
        <f>IF(nr_NetMode,"NET RATE SELECTION ACTIVE: index, E_CY, and A_rate are the COMBINED rate x mod path from column U (A_mod = 1).","")</f>
        <v/>
      </c>
    </row>
    <row r="4" spans="1:58" ht="15.75" x14ac:dyDescent="0.25">
      <c r="A4" s="3" t="s">
        <v>198</v>
      </c>
    </row>
    <row r="5" spans="1:58" x14ac:dyDescent="0.25">
      <c r="A5" s="12" t="s">
        <v>199</v>
      </c>
      <c r="C5" s="57">
        <f>EXP(SUMPRODUCT((rl_key=nr_SelKey)*(rl_cons="Y")*rl_ln1p))</f>
        <v>1.1024</v>
      </c>
      <c r="E5" s="12" t="s">
        <v>200</v>
      </c>
      <c r="F5" s="58">
        <f>nr_TermMonths</f>
        <v>12</v>
      </c>
    </row>
    <row r="6" spans="1:58" x14ac:dyDescent="0.25">
      <c r="A6" s="12" t="s">
        <v>201</v>
      </c>
      <c r="C6" s="57">
        <f>SUMPRODUCT($H$17:$H$64,$P$17:$P$64,$U$17:$U$64)/SUMPRODUCT($H$17:$H$64,$P$17:$P$64)</f>
        <v>1.0428000000000002</v>
      </c>
      <c r="E6" s="12" t="s">
        <v>202</v>
      </c>
      <c r="F6" s="59">
        <f>IF(COUNTIF(se_state,nr_SelState)=0,0,MATCH(nr_SelState,se_state,0))</f>
        <v>0</v>
      </c>
    </row>
    <row r="7" spans="1:58" x14ac:dyDescent="0.25">
      <c r="A7" s="12" t="s">
        <v>203</v>
      </c>
      <c r="C7" s="60">
        <f>SUMPRODUCT($H$17:$H$64,$Q$17:$Q$64,$U$17:$U$64)/SUMPRODUCT($H$17:$H$64,$Q$17:$Q$64)</f>
        <v>1.1101025000000002</v>
      </c>
      <c r="E7" s="12" t="s">
        <v>204</v>
      </c>
      <c r="F7" s="61">
        <f>IF($F$6=0,0,INDEX(se_sum,$F$6))</f>
        <v>0</v>
      </c>
    </row>
    <row r="8" spans="1:58" x14ac:dyDescent="0.25">
      <c r="A8" s="12" t="s">
        <v>205</v>
      </c>
      <c r="C8" s="57">
        <f>SUMPRODUCT($H$17:$H$64,$R$17:$R$64,$U$17:$U$64)/SUMPRODUCT($H$17:$H$64,$R$17:$R$64)</f>
        <v>1.1557975</v>
      </c>
      <c r="E8" s="12" t="s">
        <v>206</v>
      </c>
      <c r="F8" s="62" t="b">
        <f>AND(nr_SeasonOn="ON",$F$6&gt;0,$F$7&gt;0)</f>
        <v>0</v>
      </c>
    </row>
    <row r="9" spans="1:58" x14ac:dyDescent="0.25">
      <c r="A9" s="12" t="s">
        <v>207</v>
      </c>
      <c r="C9" s="60">
        <f>nr_CRLind/nr_ECY_P</f>
        <v>0.99306145153262859</v>
      </c>
      <c r="E9" s="12" t="s">
        <v>208</v>
      </c>
      <c r="F9" s="59">
        <f>(nr_PlanYear-1)*12</f>
        <v>24312</v>
      </c>
      <c r="G9" s="63">
        <f>$F$9+11</f>
        <v>24323</v>
      </c>
    </row>
    <row r="10" spans="1:58" x14ac:dyDescent="0.25">
      <c r="A10" s="12" t="s">
        <v>209</v>
      </c>
      <c r="C10" s="57">
        <f>nr_CRLind/nr_ECY_P1</f>
        <v>0.95380029806259314</v>
      </c>
      <c r="E10" s="12" t="s">
        <v>210</v>
      </c>
      <c r="F10" s="59">
        <f>nr_PlanYear*12</f>
        <v>24324</v>
      </c>
      <c r="G10" s="63">
        <f>$F$10+11</f>
        <v>24335</v>
      </c>
    </row>
    <row r="11" spans="1:58" x14ac:dyDescent="0.25">
      <c r="A11" s="12" t="s">
        <v>211</v>
      </c>
      <c r="C11" s="64">
        <f>nr_ECY_P/nr_CRLind-1</f>
        <v>6.9870283018869106E-3</v>
      </c>
      <c r="E11" s="12" t="s">
        <v>212</v>
      </c>
      <c r="F11" s="59">
        <f>(nr_PlanYear+1)*12</f>
        <v>24336</v>
      </c>
      <c r="G11" s="63">
        <f>$F$11+11</f>
        <v>24347</v>
      </c>
    </row>
    <row r="12" spans="1:58" x14ac:dyDescent="0.25">
      <c r="A12" s="12" t="s">
        <v>213</v>
      </c>
      <c r="C12" s="64">
        <f>nr_ECY_P/nr_ECY_Pm1-1</f>
        <v>6.4540180283851223E-2</v>
      </c>
      <c r="E12" s="12" t="s">
        <v>214</v>
      </c>
      <c r="F12" s="57">
        <f>SUM(AH66:AS66)/SUM(AH67:AS67)</f>
        <v>1.1101024999999998</v>
      </c>
    </row>
    <row r="13" spans="1:58" x14ac:dyDescent="0.25">
      <c r="A13" s="12" t="s">
        <v>215</v>
      </c>
      <c r="C13" s="64">
        <f>nr_ECY_P1/nr_ECY_P-1</f>
        <v>4.1162865591240383E-2</v>
      </c>
    </row>
    <row r="14" spans="1:58" x14ac:dyDescent="0.25">
      <c r="V14" s="56" t="s">
        <v>216</v>
      </c>
    </row>
    <row r="15" spans="1:58" ht="15.75" x14ac:dyDescent="0.25">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25">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25">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25">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25">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25">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25">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25">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25">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25">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25">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25">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25">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25">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25">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25">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25">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25">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25">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25">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25">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25">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25">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25">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25">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25">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25">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25">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25">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25">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25">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25">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25">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25">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25">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25">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25">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25">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25">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25">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25">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25">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25">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25">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25">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25">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25">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25">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25">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25">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25">
      <c r="U66" s="77" t="s">
        <v>240</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25">
      <c r="U67" s="77" t="s">
        <v>241</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25">
      <c r="U68" s="77" t="s">
        <v>242</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25">
      <c r="U69" s="77" t="s">
        <v>243</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25">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25">
      <c r="U71" s="77" t="s">
        <v>245</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25">
      <c r="U72" s="77" t="s">
        <v>246</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row r="73" spans="21:57" x14ac:dyDescent="0.25">
      <c r="U73" s="77" t="s">
        <v>247</v>
      </c>
      <c r="V73" s="79">
        <f>SUMPRODUCT(V$17:V$64,$H$17:$H$64,'Mod Engine'!$E$17:$E$64)</f>
        <v>0.83104485776805237</v>
      </c>
      <c r="W73" s="79">
        <f>SUMPRODUCT(W$17:W$64,$H$17:$H$64,'Mod Engine'!$E$17:$E$64)</f>
        <v>0.83304157549234126</v>
      </c>
      <c r="X73" s="79">
        <f>SUMPRODUCT(X$17:X$64,$H$17:$H$64,'Mod Engine'!$E$17:$E$64)</f>
        <v>0.83503829321662992</v>
      </c>
      <c r="Y73" s="79">
        <f>SUMPRODUCT(Y$17:Y$64,$H$17:$H$64,'Mod Engine'!$E$17:$E$64)</f>
        <v>0.83703501094091881</v>
      </c>
      <c r="Z73" s="79">
        <f>SUMPRODUCT(Z$17:Z$64,$H$17:$H$64,'Mod Engine'!$E$17:$E$64)</f>
        <v>0.83903172866520781</v>
      </c>
      <c r="AA73" s="79">
        <f>SUMPRODUCT(AA$17:AA$64,$H$17:$H$64,'Mod Engine'!$E$17:$E$64)</f>
        <v>0.84102844638949659</v>
      </c>
      <c r="AB73" s="79">
        <f>SUMPRODUCT(AB$17:AB$64,$H$17:$H$64,'Mod Engine'!$E$17:$E$64)</f>
        <v>0.84302516411378559</v>
      </c>
      <c r="AC73" s="79">
        <f>SUMPRODUCT(AC$17:AC$64,$H$17:$H$64,'Mod Engine'!$E$17:$E$64)</f>
        <v>0.84502188183807447</v>
      </c>
      <c r="AD73" s="79">
        <f>SUMPRODUCT(AD$17:AD$64,$H$17:$H$64,'Mod Engine'!$E$17:$E$64)</f>
        <v>0.84701859956236325</v>
      </c>
      <c r="AE73" s="79">
        <f>SUMPRODUCT(AE$17:AE$64,$H$17:$H$64,'Mod Engine'!$E$17:$E$64)</f>
        <v>0.84901531728665214</v>
      </c>
      <c r="AF73" s="79">
        <f>SUMPRODUCT(AF$17:AF$64,$H$17:$H$64,'Mod Engine'!$E$17:$E$64)</f>
        <v>0.85101203501094091</v>
      </c>
      <c r="AG73" s="79">
        <f>SUMPRODUCT(AG$17:AG$64,$H$17:$H$64,'Mod Engine'!$E$17:$E$64)</f>
        <v>0.8530087527352298</v>
      </c>
      <c r="AH73" s="79">
        <f>SUMPRODUCT(AH$17:AH$64,$H$17:$H$64,'Mod Engine'!$E$17:$E$64)</f>
        <v>0.85500547045951869</v>
      </c>
      <c r="AI73" s="79">
        <f>SUMPRODUCT(AI$17:AI$64,$H$17:$H$64,'Mod Engine'!$E$17:$E$64)</f>
        <v>0.85700218818380736</v>
      </c>
      <c r="AJ73" s="79">
        <f>SUMPRODUCT(AJ$17:AJ$64,$H$17:$H$64,'Mod Engine'!$E$17:$E$64)</f>
        <v>0.85899890590809624</v>
      </c>
      <c r="AK73" s="79">
        <f>SUMPRODUCT(AK$17:AK$64,$H$17:$H$64,'Mod Engine'!$E$17:$E$64)</f>
        <v>0.86099562363238513</v>
      </c>
      <c r="AL73" s="79">
        <f>SUMPRODUCT(AL$17:AL$64,$H$17:$H$64,'Mod Engine'!$E$17:$E$64)</f>
        <v>0.86299234135667391</v>
      </c>
      <c r="AM73" s="79">
        <f>SUMPRODUCT(AM$17:AM$64,$H$17:$H$64,'Mod Engine'!$E$17:$E$64)</f>
        <v>0.86498905908096269</v>
      </c>
      <c r="AN73" s="79">
        <f>SUMPRODUCT(AN$17:AN$64,$H$17:$H$64,'Mod Engine'!$E$17:$E$64)</f>
        <v>0.86698577680525146</v>
      </c>
      <c r="AO73" s="79">
        <f>SUMPRODUCT(AO$17:AO$64,$H$17:$H$64,'Mod Engine'!$E$17:$E$64)</f>
        <v>0.86898249452954035</v>
      </c>
      <c r="AP73" s="79">
        <f>SUMPRODUCT(AP$17:AP$64,$H$17:$H$64,'Mod Engine'!$E$17:$E$64)</f>
        <v>0.87097921225382913</v>
      </c>
      <c r="AQ73" s="79">
        <f>SUMPRODUCT(AQ$17:AQ$64,$H$17:$H$64,'Mod Engine'!$E$17:$E$64)</f>
        <v>0.8729759299781179</v>
      </c>
      <c r="AR73" s="79">
        <f>SUMPRODUCT(AR$17:AR$64,$H$17:$H$64,'Mod Engine'!$E$17:$E$64)</f>
        <v>0.87497264770240668</v>
      </c>
      <c r="AS73" s="79">
        <f>SUMPRODUCT(AS$17:AS$64,$H$17:$H$64,'Mod Engine'!$E$17:$E$64)</f>
        <v>0.87696936542669579</v>
      </c>
      <c r="AT73" s="79">
        <f>SUMPRODUCT(AT$17:AT$64,$H$17:$H$64,'Mod Engine'!$E$17:$E$64)</f>
        <v>0.87892368708971547</v>
      </c>
      <c r="AU73" s="79">
        <f>SUMPRODUCT(AU$17:AU$64,$H$17:$H$64,'Mod Engine'!$E$17:$E$64)</f>
        <v>0.88075492341356676</v>
      </c>
      <c r="AV73" s="79">
        <f>SUMPRODUCT(AV$17:AV$64,$H$17:$H$64,'Mod Engine'!$E$17:$E$64)</f>
        <v>0.88242478118161949</v>
      </c>
      <c r="AW73" s="79">
        <f>SUMPRODUCT(AW$17:AW$64,$H$17:$H$64,'Mod Engine'!$E$17:$E$64)</f>
        <v>0.88393052516411386</v>
      </c>
      <c r="AX73" s="79">
        <f>SUMPRODUCT(AX$17:AX$64,$H$17:$H$64,'Mod Engine'!$E$17:$E$64)</f>
        <v>0.88526942013129117</v>
      </c>
      <c r="AY73" s="79">
        <f>SUMPRODUCT(AY$17:AY$64,$H$17:$H$64,'Mod Engine'!$E$17:$E$64)</f>
        <v>0.88644146608315122</v>
      </c>
      <c r="AZ73" s="79">
        <f>SUMPRODUCT(AZ$17:AZ$64,$H$17:$H$64,'Mod Engine'!$E$17:$E$64)</f>
        <v>0.88744666301969377</v>
      </c>
      <c r="BA73" s="79">
        <f>SUMPRODUCT(BA$17:BA$64,$H$17:$H$64,'Mod Engine'!$E$17:$E$64)</f>
        <v>0.88828364332603948</v>
      </c>
      <c r="BB73" s="79">
        <f>SUMPRODUCT(BB$17:BB$64,$H$17:$H$64,'Mod Engine'!$E$17:$E$64)</f>
        <v>0.88895240700218836</v>
      </c>
      <c r="BC73" s="79">
        <f>SUMPRODUCT(BC$17:BC$64,$H$17:$H$64,'Mod Engine'!$E$17:$E$64)</f>
        <v>0.88945432166301974</v>
      </c>
      <c r="BD73" s="79">
        <f>SUMPRODUCT(BD$17:BD$64,$H$17:$H$64,'Mod Engine'!$E$17:$E$64)</f>
        <v>0.88978938730853407</v>
      </c>
      <c r="BE73" s="79">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248</v>
      </c>
    </row>
    <row r="2" spans="1:12" x14ac:dyDescent="0.25">
      <c r="A2" s="2" t="s">
        <v>249</v>
      </c>
    </row>
    <row r="3" spans="1:12" x14ac:dyDescent="0.25">
      <c r="A3" s="12" t="s">
        <v>196</v>
      </c>
      <c r="B3" s="55" t="str">
        <f>nr_SelKey</f>
        <v>BU-A|AZ</v>
      </c>
    </row>
    <row r="4" spans="1:12" ht="15.75" x14ac:dyDescent="0.25">
      <c r="A4" s="3" t="s">
        <v>250</v>
      </c>
      <c r="E4" s="3" t="s">
        <v>251</v>
      </c>
      <c r="J4" s="3" t="s">
        <v>252</v>
      </c>
    </row>
    <row r="5" spans="1:12" ht="30" x14ac:dyDescent="0.25">
      <c r="A5" s="12" t="s">
        <v>253</v>
      </c>
      <c r="C5" s="80">
        <f>nr_MInd</f>
        <v>0.85</v>
      </c>
      <c r="E5" s="38" t="s">
        <v>254</v>
      </c>
      <c r="F5" s="38" t="s">
        <v>255</v>
      </c>
      <c r="G5" s="38" t="s">
        <v>256</v>
      </c>
      <c r="H5" s="38" t="s">
        <v>257</v>
      </c>
      <c r="J5" s="12" t="s">
        <v>258</v>
      </c>
      <c r="L5" s="81">
        <f>SUMPRODUCT($D$17:$D$64,$F$17:$F$64,$E$17:$E$64)/SUMPRODUCT($D$17:$D$64,$F$17:$F$64)</f>
        <v>0.84202680525164109</v>
      </c>
    </row>
    <row r="6" spans="1:12" x14ac:dyDescent="0.25">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0.8659874179431073</v>
      </c>
    </row>
    <row r="7" spans="1:12" x14ac:dyDescent="0.25">
      <c r="A7" s="12" t="s">
        <v>114</v>
      </c>
      <c r="C7" s="84">
        <f>nr_M0Asof</f>
        <v>46295</v>
      </c>
      <c r="E7" s="12" t="s">
        <v>262</v>
      </c>
      <c r="F7" s="59">
        <f>nr_M0Asof+1</f>
        <v>46296</v>
      </c>
      <c r="G7" s="81">
        <f>nr_M0</f>
        <v>0.86</v>
      </c>
      <c r="H7" s="82">
        <f>($G$8-$G$7)/($F$8-$F$7)</f>
        <v>6.5645514223194813E-5</v>
      </c>
      <c r="J7" s="12" t="s">
        <v>263</v>
      </c>
      <c r="L7" s="81">
        <f>SUMPRODUCT($D$17:$D$64,$H$17:$H$64,$E$17:$E$64)/SUMPRODUCT($D$17:$D$64,$H$17:$H$64)</f>
        <v>0.88596906911013884</v>
      </c>
    </row>
    <row r="8" spans="1:12" x14ac:dyDescent="0.25">
      <c r="A8" s="12" t="s">
        <v>264</v>
      </c>
      <c r="C8" s="80">
        <f>nr_M1</f>
        <v>0.89</v>
      </c>
      <c r="E8" s="12" t="s">
        <v>265</v>
      </c>
      <c r="F8" s="59">
        <f>DATE(nr_PlanYear,12,31)+1</f>
        <v>46753</v>
      </c>
      <c r="G8" s="81">
        <f>nr_M1</f>
        <v>0.89</v>
      </c>
      <c r="H8" s="82">
        <f>($G$9-$G$8)/($F$9-$F$8)</f>
        <v>0</v>
      </c>
      <c r="J8" s="12" t="s">
        <v>266</v>
      </c>
      <c r="L8" s="60">
        <f>IF(nr_NetMode,1,IF(AND(nr_ModAdjMaster="ON",nr_ModAdjRow="ON"),nr_MInd/nr_MEarned_P,1))</f>
        <v>0.98153851013092008</v>
      </c>
    </row>
    <row r="9" spans="1:12" x14ac:dyDescent="0.25">
      <c r="A9" s="12" t="s">
        <v>267</v>
      </c>
      <c r="C9" s="80">
        <f>nr_MPrior</f>
        <v>0</v>
      </c>
      <c r="E9" s="12" t="s">
        <v>268</v>
      </c>
      <c r="F9" s="59">
        <f>DATE(nr_PlanYear+1,12,31)+1</f>
        <v>47119</v>
      </c>
      <c r="G9" s="81">
        <f>IF(N(nr_M2)=0,nr_M1,nr_M2)</f>
        <v>0.89</v>
      </c>
      <c r="J9" s="12" t="s">
        <v>269</v>
      </c>
      <c r="L9" s="57">
        <f>IF(nr_NetMode,1,IF(AND(nr_ModAdjMaster="ON",nr_ModAdjRow="ON"),nr_MInd/nr_MEarned_P1,1))</f>
        <v>0.95940143921021315</v>
      </c>
    </row>
    <row r="10" spans="1:12" ht="192" x14ac:dyDescent="0.25">
      <c r="A10" s="12" t="s">
        <v>270</v>
      </c>
      <c r="C10" s="80">
        <f>nr_M2</f>
        <v>0</v>
      </c>
      <c r="E10" s="17" t="s">
        <v>271</v>
      </c>
    </row>
    <row r="11" spans="1:12" x14ac:dyDescent="0.25">
      <c r="J11" s="12" t="s">
        <v>272</v>
      </c>
      <c r="K11" s="52">
        <f>DATE(nr_PlanYear,1,1)</f>
        <v>46388</v>
      </c>
      <c r="L11" s="81">
        <f>IF($K$11&lt;$F$7,$G$6+$H$6*($K$11-$F$6),IF($K$11&lt;$F$8,$G$7+$H$7*($K$11-$F$7),$G$8+$H$8*($K$11-$F$8)))</f>
        <v>0.86603938730853391</v>
      </c>
    </row>
    <row r="12" spans="1:12" x14ac:dyDescent="0.25">
      <c r="J12" s="12" t="s">
        <v>273</v>
      </c>
      <c r="L12" s="62" t="b">
        <f>AND(N(nr_MPrior)=0,nr_TermMonths=12,NOT(re_season_active))</f>
        <v>1</v>
      </c>
    </row>
    <row r="15" spans="1:12" ht="15.75" x14ac:dyDescent="0.25">
      <c r="A15" s="3" t="s">
        <v>274</v>
      </c>
    </row>
    <row r="16" spans="1:12" x14ac:dyDescent="0.25">
      <c r="A16" s="47" t="s">
        <v>218</v>
      </c>
      <c r="B16" s="47" t="s">
        <v>219</v>
      </c>
      <c r="C16" s="47" t="s">
        <v>223</v>
      </c>
      <c r="D16" s="47" t="s">
        <v>225</v>
      </c>
      <c r="E16" s="47" t="s">
        <v>232</v>
      </c>
      <c r="F16" s="47" t="s">
        <v>233</v>
      </c>
      <c r="G16" s="47" t="s">
        <v>234</v>
      </c>
      <c r="H16" s="47" t="s">
        <v>235</v>
      </c>
    </row>
    <row r="17" spans="1:8" x14ac:dyDescent="0.25">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25">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25">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25">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25">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25">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25">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25">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25">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25">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25">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25">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25">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25">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25">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25">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25">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25">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25">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25">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25">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25">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25">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25">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25">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25">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25">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25">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25">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25">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25">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25">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25">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25">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25">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25">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25">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25">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25">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25">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25">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25">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25">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25">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25">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25">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25">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25">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275</v>
      </c>
    </row>
    <row r="3" spans="2:6" x14ac:dyDescent="0.25">
      <c r="B3" s="2" t="s">
        <v>276</v>
      </c>
    </row>
    <row r="5" spans="2:6" ht="15.75" x14ac:dyDescent="0.25">
      <c r="B5" s="3" t="s">
        <v>277</v>
      </c>
      <c r="E5" s="12" t="s">
        <v>278</v>
      </c>
      <c r="F5" s="52">
        <f>IF(nr_SelOK,MATCH(nr_SelKey,lr_key,0),0)</f>
        <v>1</v>
      </c>
    </row>
    <row r="6" spans="2:6" x14ac:dyDescent="0.25">
      <c r="B6" s="12" t="s">
        <v>61</v>
      </c>
      <c r="C6" s="9" t="str">
        <f>nr_SelBU</f>
        <v>BU-A</v>
      </c>
    </row>
    <row r="7" spans="2:6" x14ac:dyDescent="0.25">
      <c r="B7" s="12" t="s">
        <v>64</v>
      </c>
      <c r="C7" s="9" t="str">
        <f>nr_SelState</f>
        <v>AZ</v>
      </c>
    </row>
    <row r="8" spans="2:6" x14ac:dyDescent="0.25">
      <c r="B8" s="12" t="s">
        <v>279</v>
      </c>
      <c r="C8" s="90">
        <f>IF($F$5=0,0,N(INDEX(lr_lrproj,$F$5)))</f>
        <v>0.65</v>
      </c>
    </row>
    <row r="9" spans="2:6" x14ac:dyDescent="0.25">
      <c r="B9" s="12" t="s">
        <v>110</v>
      </c>
      <c r="C9" s="62" t="str">
        <f>IF($F$5=0,"current",INDEX(lr_basis,$F$5)&amp;"")</f>
        <v>current</v>
      </c>
    </row>
    <row r="10" spans="2:6" x14ac:dyDescent="0.25">
      <c r="B10" s="12" t="s">
        <v>280</v>
      </c>
      <c r="C10" s="90">
        <f>IF($F$5=0,0,N(INDEX(lr_s,$F$5)))</f>
        <v>0.05</v>
      </c>
    </row>
    <row r="11" spans="2:6" x14ac:dyDescent="0.25">
      <c r="B11" s="12" t="s">
        <v>281</v>
      </c>
      <c r="C11" s="90">
        <f>IF(nr_Basis="proposed",nr_LRproj*(1+nr_SelS),nr_LRproj)</f>
        <v>0.65</v>
      </c>
    </row>
    <row r="12" spans="2:6" x14ac:dyDescent="0.25">
      <c r="B12" s="12" t="s">
        <v>112</v>
      </c>
      <c r="C12" s="81">
        <f>IF($F$5=0,1,IF(N(INDEX(lr_mind,$F$5))=0,1,INDEX(lr_mind,$F$5)))</f>
        <v>0.85</v>
      </c>
    </row>
    <row r="13" spans="2:6" x14ac:dyDescent="0.25">
      <c r="B13" s="12" t="s">
        <v>282</v>
      </c>
      <c r="C13" s="81">
        <f>IF($F$5=0,1,IF(N(INDEX(lr_m0,$F$5))=0,1,INDEX(lr_m0,$F$5)))</f>
        <v>0.86</v>
      </c>
    </row>
    <row r="14" spans="2:6" x14ac:dyDescent="0.25">
      <c r="B14" s="12" t="s">
        <v>283</v>
      </c>
      <c r="C14" s="91">
        <f>IF($F$5=0,DATE(nr_PlanYear-1,10,1),IF(N(INDEX(lr_m0asof,$F$5))=0,DATE(nr_PlanYear-1,10,1),INDEX(lr_m0asof,$F$5)))</f>
        <v>46295</v>
      </c>
    </row>
    <row r="15" spans="2:6" x14ac:dyDescent="0.25">
      <c r="B15" s="12" t="s">
        <v>264</v>
      </c>
      <c r="C15" s="81">
        <f>IF($F$5=0,1,IF(N(INDEX(lr_m1,$F$5))=0,1,INDEX(lr_m1,$F$5)))</f>
        <v>0.89</v>
      </c>
    </row>
    <row r="16" spans="2:6" x14ac:dyDescent="0.25">
      <c r="B16" s="12" t="s">
        <v>284</v>
      </c>
      <c r="C16" s="81">
        <f>IF($F$5=0,0,N(INDEX(lr_mprior,$F$5)))</f>
        <v>0</v>
      </c>
    </row>
    <row r="17" spans="2:8" x14ac:dyDescent="0.25">
      <c r="B17" s="12" t="s">
        <v>285</v>
      </c>
      <c r="C17" s="81">
        <f>IF($F$5=0,0,N(INDEX(lr_m2,$F$5)))</f>
        <v>0</v>
      </c>
    </row>
    <row r="18" spans="2:8" x14ac:dyDescent="0.25">
      <c r="B18" s="12" t="s">
        <v>286</v>
      </c>
      <c r="C18" s="90">
        <f>IF($F$5=0,N(nr_TrendDefault),IF(ISBLANK(INDEX(lr_trend,$F$5)),N(nr_TrendDefault),INDEX(lr_trend,$F$5)))</f>
        <v>0</v>
      </c>
    </row>
    <row r="19" spans="2:8" x14ac:dyDescent="0.25">
      <c r="B19" s="12" t="s">
        <v>120</v>
      </c>
      <c r="C19" s="57">
        <f>IF($F$5=0,1,IF(N(INDEX(lr_aother,$F$5))=0,1,INDEX(lr_aother,$F$5)))</f>
        <v>1</v>
      </c>
      <c r="D19" s="92" t="str">
        <f>IF(AND(nr_AOther&lt;&gt;1,nr_AOtherLbl=""),"WARNING: A_other &lt;&gt; 1 requires a label","")</f>
        <v/>
      </c>
    </row>
    <row r="20" spans="2:8" x14ac:dyDescent="0.25">
      <c r="B20" s="12" t="s">
        <v>121</v>
      </c>
      <c r="C20" s="62" t="str">
        <f>IF($F$5=0,"",INDEX(lr_aotherlbl,$F$5)&amp;"")</f>
        <v/>
      </c>
    </row>
    <row r="21" spans="2:8" x14ac:dyDescent="0.25">
      <c r="B21" s="12" t="s">
        <v>287</v>
      </c>
      <c r="C21" s="62" t="str">
        <f>IF($F$5=0,"ON",IF(INDEX(lr_modadj,$F$5)="OFF","OFF","ON"))</f>
        <v>ON</v>
      </c>
    </row>
    <row r="22" spans="2:8" x14ac:dyDescent="0.25">
      <c r="B22" s="12" t="s">
        <v>288</v>
      </c>
      <c r="C22" s="62" t="str">
        <f>IF(AND(nr_ModAdjMaster="ON",nr_ModAdjRow="ON"),"ON","OFF")</f>
        <v>ON</v>
      </c>
    </row>
    <row r="23" spans="2:8" x14ac:dyDescent="0.25">
      <c r="B23" s="12" t="s">
        <v>289</v>
      </c>
      <c r="C23" s="62" t="b">
        <f>IF($F$5=0,FALSE,NOT(ISBLANK(INDEX(lr_netp,$F$5))))</f>
        <v>0</v>
      </c>
    </row>
    <row r="24" spans="2:8" x14ac:dyDescent="0.25">
      <c r="B24" s="12" t="s">
        <v>290</v>
      </c>
      <c r="C24" s="90">
        <f>IF($F$5=0,0,N(INDEX(lr_netp,$F$5)))</f>
        <v>0</v>
      </c>
    </row>
    <row r="25" spans="2:8" x14ac:dyDescent="0.25">
      <c r="B25" s="12" t="s">
        <v>291</v>
      </c>
      <c r="C25" s="90">
        <f>IF($F$5=0,0,IF(ISBLANK(INDEX(lr_netp1,$F$5)),N(INDEX(lr_netp,$F$5)),N(INDEX(lr_netp1,$F$5))))</f>
        <v>0</v>
      </c>
    </row>
    <row r="28" spans="2:8" ht="15.75" x14ac:dyDescent="0.25">
      <c r="B28" s="3" t="s">
        <v>292</v>
      </c>
    </row>
    <row r="29" spans="2:8" ht="30" x14ac:dyDescent="0.25">
      <c r="B29" s="38" t="s">
        <v>293</v>
      </c>
      <c r="C29" s="38" t="s">
        <v>294</v>
      </c>
      <c r="D29" s="38" t="s">
        <v>295</v>
      </c>
      <c r="E29" s="38" t="s">
        <v>296</v>
      </c>
      <c r="F29" s="38" t="s">
        <v>297</v>
      </c>
      <c r="G29" s="38" t="s">
        <v>298</v>
      </c>
      <c r="H29" s="38" t="s">
        <v>299</v>
      </c>
    </row>
    <row r="30" spans="2:8" x14ac:dyDescent="0.25">
      <c r="B30" s="12" t="s">
        <v>279</v>
      </c>
      <c r="D30" s="93">
        <f>nr_LRproj</f>
        <v>0.65</v>
      </c>
      <c r="G30" s="93">
        <f>nr_LRproj</f>
        <v>0.65</v>
      </c>
    </row>
    <row r="31" spans="2:8" x14ac:dyDescent="0.25">
      <c r="B31" s="12" t="s">
        <v>300</v>
      </c>
      <c r="C31" s="94">
        <f>IF(nr_Basis="proposed",1+nr_SelS,1)</f>
        <v>1</v>
      </c>
      <c r="D31" s="93">
        <f>$D30*$C31</f>
        <v>0.65</v>
      </c>
      <c r="E31" s="95">
        <f>($D31-$D30)*100</f>
        <v>0</v>
      </c>
      <c r="F31" s="94">
        <f>IF(nr_Basis="proposed",1+nr_SelS,1)</f>
        <v>1</v>
      </c>
      <c r="G31" s="93">
        <f>$G30*$F31</f>
        <v>0.65</v>
      </c>
      <c r="H31" s="95">
        <f>($G31-$G30)*100</f>
        <v>0</v>
      </c>
    </row>
    <row r="32" spans="2:8" x14ac:dyDescent="0.25">
      <c r="B32" s="12" t="s">
        <v>301</v>
      </c>
      <c r="C32" s="94">
        <f>1</f>
        <v>1</v>
      </c>
      <c r="D32" s="93">
        <f>$D31*$C32</f>
        <v>0.65</v>
      </c>
      <c r="E32" s="95">
        <f>($D32-$D31)*100</f>
        <v>0</v>
      </c>
      <c r="F32" s="94">
        <f>1+nr_Trend</f>
        <v>1</v>
      </c>
      <c r="G32" s="93">
        <f>$G31*$F32</f>
        <v>0.65</v>
      </c>
      <c r="H32" s="95">
        <f>($G32-$G31)*100</f>
        <v>0</v>
      </c>
    </row>
    <row r="33" spans="2:8" x14ac:dyDescent="0.25">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25">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25">
      <c r="B35" s="12" t="s">
        <v>302</v>
      </c>
      <c r="C35" s="94">
        <f>nr_AOther</f>
        <v>1</v>
      </c>
      <c r="D35" s="93">
        <f>$D34*$C35</f>
        <v>0.63357323744376037</v>
      </c>
      <c r="E35" s="95">
        <f>($D35-$D34)*100</f>
        <v>0</v>
      </c>
      <c r="F35" s="94">
        <f>nr_AOther</f>
        <v>1</v>
      </c>
      <c r="G35" s="93">
        <f>$G34*$F35</f>
        <v>0.59480029614224839</v>
      </c>
      <c r="H35" s="95">
        <f>($G35-$G34)*100</f>
        <v>0</v>
      </c>
    </row>
    <row r="36" spans="2:8" x14ac:dyDescent="0.25">
      <c r="B36" s="96" t="s">
        <v>96</v>
      </c>
      <c r="D36" s="97">
        <f>$D35</f>
        <v>0.63357323744376037</v>
      </c>
      <c r="E36" s="98">
        <f>($D36-$D30)*100</f>
        <v>-1.6426762556239649</v>
      </c>
      <c r="G36" s="97">
        <f>$G35</f>
        <v>0.59480029614224839</v>
      </c>
      <c r="H36" s="98">
        <f>($G36-$G30)*100</f>
        <v>-5.5199703857751636</v>
      </c>
    </row>
    <row r="38" spans="2:8" ht="48" x14ac:dyDescent="0.25">
      <c r="B38" s="17" t="s">
        <v>303</v>
      </c>
    </row>
    <row r="40" spans="2:8" ht="15.75" x14ac:dyDescent="0.25">
      <c r="B40" s="3" t="s">
        <v>304</v>
      </c>
    </row>
    <row r="41" spans="2:8" x14ac:dyDescent="0.25">
      <c r="B41" s="12" t="s">
        <v>305</v>
      </c>
      <c r="D41" s="99">
        <f>nr_EChgVsInd</f>
        <v>6.9870283018869106E-3</v>
      </c>
    </row>
    <row r="42" spans="2:8" x14ac:dyDescent="0.25">
      <c r="B42" s="12" t="s">
        <v>306</v>
      </c>
      <c r="D42" s="99">
        <f>nr_YoY_P</f>
        <v>6.4540180283851223E-2</v>
      </c>
    </row>
    <row r="43" spans="2:8" x14ac:dyDescent="0.25">
      <c r="B43" s="12" t="s">
        <v>307</v>
      </c>
      <c r="D43" s="99">
        <f>nr_YoY_P1</f>
        <v>4.1162865591240383E-2</v>
      </c>
    </row>
    <row r="57" spans="2:6" x14ac:dyDescent="0.25">
      <c r="B57" s="37" t="s">
        <v>308</v>
      </c>
    </row>
    <row r="58" spans="2:6" x14ac:dyDescent="0.25">
      <c r="B58" s="77" t="s">
        <v>293</v>
      </c>
      <c r="C58" s="77" t="s">
        <v>309</v>
      </c>
      <c r="D58" s="77" t="s">
        <v>310</v>
      </c>
      <c r="E58" s="77" t="s">
        <v>311</v>
      </c>
      <c r="F58" s="77" t="s">
        <v>312</v>
      </c>
    </row>
    <row r="59" spans="2:6" x14ac:dyDescent="0.25">
      <c r="B59" s="77" t="s">
        <v>109</v>
      </c>
      <c r="C59" s="49">
        <f>0</f>
        <v>0</v>
      </c>
      <c r="D59" s="49">
        <f>0</f>
        <v>0</v>
      </c>
      <c r="E59" s="49">
        <f>0</f>
        <v>0</v>
      </c>
      <c r="F59" s="49">
        <f>$D$30</f>
        <v>0.65</v>
      </c>
    </row>
    <row r="60" spans="2:6" x14ac:dyDescent="0.25">
      <c r="B60" s="77" t="s">
        <v>313</v>
      </c>
      <c r="C60" s="49">
        <f>MIN($D$30,$D$31)</f>
        <v>0.65</v>
      </c>
      <c r="D60" s="49">
        <f>MAX(0,$D$31-$D$30)</f>
        <v>0</v>
      </c>
      <c r="E60" s="49">
        <f>MAX(0,$D$30-$D$31)</f>
        <v>0</v>
      </c>
      <c r="F60" s="49">
        <f>0</f>
        <v>0</v>
      </c>
    </row>
    <row r="61" spans="2:6" x14ac:dyDescent="0.25">
      <c r="B61" s="77" t="s">
        <v>314</v>
      </c>
      <c r="C61" s="49">
        <f>MIN($D$32,$D$33)</f>
        <v>0.64548994349620858</v>
      </c>
      <c r="D61" s="49">
        <f>MAX(0,$D$33-$D$32)</f>
        <v>0</v>
      </c>
      <c r="E61" s="49">
        <f>MAX(0,$D$32-$D$33)</f>
        <v>4.5100565037914375E-3</v>
      </c>
      <c r="F61" s="49">
        <f>0</f>
        <v>0</v>
      </c>
    </row>
    <row r="62" spans="2:6" x14ac:dyDescent="0.25">
      <c r="B62" s="77" t="s">
        <v>315</v>
      </c>
      <c r="C62" s="49">
        <f>MIN($D$33,$D$34)</f>
        <v>0.63357323744376037</v>
      </c>
      <c r="D62" s="49">
        <f>MAX(0,$D$34-$D$33)</f>
        <v>0</v>
      </c>
      <c r="E62" s="49">
        <f>MAX(0,$D$33-$D$34)</f>
        <v>1.1916706052448212E-2</v>
      </c>
      <c r="F62" s="49">
        <f>0</f>
        <v>0</v>
      </c>
    </row>
    <row r="63" spans="2:6" x14ac:dyDescent="0.25">
      <c r="B63" s="77" t="s">
        <v>316</v>
      </c>
      <c r="C63" s="49">
        <f>MIN($D$34,$D$35)</f>
        <v>0.63357323744376037</v>
      </c>
      <c r="D63" s="49">
        <f>MAX(0,$D$35-$D$34)</f>
        <v>0</v>
      </c>
      <c r="E63" s="49">
        <f>MAX(0,$D$34-$D$35)</f>
        <v>0</v>
      </c>
      <c r="F63" s="49">
        <f>0</f>
        <v>0</v>
      </c>
    </row>
    <row r="64" spans="2:6" x14ac:dyDescent="0.25">
      <c r="B64" s="77" t="s">
        <v>317</v>
      </c>
      <c r="C64" s="49">
        <f>0</f>
        <v>0</v>
      </c>
      <c r="D64" s="49">
        <f>0</f>
        <v>0</v>
      </c>
      <c r="E64" s="49">
        <f>0</f>
        <v>0</v>
      </c>
      <c r="F64" s="49">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318</v>
      </c>
      <c r="J2" s="55" t="str">
        <f>nr_SelKey</f>
        <v>BU-A|AZ</v>
      </c>
    </row>
    <row r="3" spans="2:10" x14ac:dyDescent="0.25">
      <c r="B3" s="2" t="s">
        <v>319</v>
      </c>
    </row>
    <row r="47" spans="2:10" ht="15.75" x14ac:dyDescent="0.25">
      <c r="B47" s="3" t="s">
        <v>320</v>
      </c>
    </row>
    <row r="48" spans="2:10" ht="30" x14ac:dyDescent="0.25">
      <c r="B48" s="38" t="s">
        <v>321</v>
      </c>
      <c r="C48" s="38" t="s">
        <v>322</v>
      </c>
      <c r="D48" s="38" t="s">
        <v>323</v>
      </c>
      <c r="E48" s="38" t="s">
        <v>324</v>
      </c>
      <c r="F48" s="38" t="s">
        <v>325</v>
      </c>
      <c r="G48" s="38" t="s">
        <v>326</v>
      </c>
      <c r="H48" s="38" t="s">
        <v>327</v>
      </c>
      <c r="I48" s="38" t="s">
        <v>328</v>
      </c>
      <c r="J48" s="38" t="s">
        <v>329</v>
      </c>
    </row>
    <row r="49" spans="2:10" x14ac:dyDescent="0.25">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c r="H49" s="94">
        <f>IF(nr_NetMode,$C49,$C49*SUM('Rate Engine'!AH$73:AJ$73)/SUM('Rate Engine'!AH$67:AJ$67)/nr_MInd)</f>
        <v>1.087888660059209</v>
      </c>
      <c r="I49" s="102">
        <f>IF(nr_NetMode,$D49,$D49*SUM('Rate Engine'!V$73:X$73)/SUM('Rate Engine'!V$67:X$67)/nr_MInd)</f>
        <v>1.0045501351525283</v>
      </c>
      <c r="J49" s="101">
        <f t="shared" ref="J49:J56" si="2">$H49/$I49-1</f>
        <v>8.2961040957927779E-2</v>
      </c>
    </row>
    <row r="50" spans="2:10" x14ac:dyDescent="0.25">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c r="H50" s="94">
        <f>IF(nr_NetMode,$C50,$C50*SUM('Rate Engine'!AK$73:AM$73)/SUM('Rate Engine'!AK$67:AM$67)/nr_MInd)</f>
        <v>1.1183263930364262</v>
      </c>
      <c r="I50" s="102">
        <f>IF(nr_NetMode,$D50,$D50*SUM('Rate Engine'!Y$73:AA$73)/SUM('Rate Engine'!Y$67:AA$67)/nr_MInd)</f>
        <v>1.0216445166688115</v>
      </c>
      <c r="J50" s="101">
        <f t="shared" si="2"/>
        <v>9.4633578304572197E-2</v>
      </c>
    </row>
    <row r="51" spans="2:10" x14ac:dyDescent="0.25">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c r="H51" s="94">
        <f>IF(nr_NetMode,$C51,$C51*SUM('Rate Engine'!AN$73:AP$73)/SUM('Rate Engine'!AN$67:AP$67)/nr_MInd)</f>
        <v>1.148150788389753</v>
      </c>
      <c r="I51" s="102">
        <f>IF(nr_NetMode,$D51,$D51*SUM('Rate Engine'!AB$73:AD$73)/SUM('Rate Engine'!AB$67:AD$67)/nr_MInd)</f>
        <v>1.0416634444587458</v>
      </c>
      <c r="J51" s="101">
        <f t="shared" si="2"/>
        <v>0.10222816639815813</v>
      </c>
    </row>
    <row r="52" spans="2:10" x14ac:dyDescent="0.25">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c r="H52" s="94">
        <f>IF(nr_NetMode,$C52,$C52*SUM('Rate Engine'!AQ$73:AS$73)/SUM('Rate Engine'!AQ$67:AS$67)/nr_MInd)</f>
        <v>1.1702501818123299</v>
      </c>
      <c r="I52" s="102">
        <f>IF(nr_NetMode,$D52,$D52*SUM('Rate Engine'!AE$73:AG$73)/SUM('Rate Engine'!AE$67:AG$67)/nr_MInd)</f>
        <v>1.0646661153301578</v>
      </c>
      <c r="J52" s="101">
        <f t="shared" si="2"/>
        <v>9.9171059322602728E-2</v>
      </c>
    </row>
    <row r="53" spans="2:10" x14ac:dyDescent="0.25">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c r="H53" s="94">
        <f>IF(nr_NetMode,$C53,$C53*SUM('Rate Engine'!AT$73:AV$73)/SUM('Rate Engine'!AT$67:AV$67)/nr_MInd)</f>
        <v>1.1921895786566263</v>
      </c>
      <c r="I53" s="102">
        <f>IF(nr_NetMode,$D53,$D53*SUM('Rate Engine'!AH$73:AJ$73)/SUM('Rate Engine'!AH$67:AJ$67)/nr_MInd)</f>
        <v>1.087888660059209</v>
      </c>
      <c r="J53" s="101">
        <f t="shared" si="2"/>
        <v>9.5874626169686117E-2</v>
      </c>
    </row>
    <row r="54" spans="2:10" x14ac:dyDescent="0.25">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c r="H54" s="94">
        <f>IF(nr_NetMode,$C54,$C54*SUM('Rate Engine'!AW$73:AY$73)/SUM('Rate Engine'!AW$67:AY$67)/nr_MInd)</f>
        <v>1.2054737437250609</v>
      </c>
      <c r="I54" s="102">
        <f>IF(nr_NetMode,$D54,$D54*SUM('Rate Engine'!AK$73:AM$73)/SUM('Rate Engine'!AK$67:AM$67)/nr_MInd)</f>
        <v>1.1183263930364262</v>
      </c>
      <c r="J54" s="101">
        <f t="shared" si="2"/>
        <v>7.792657960259386E-2</v>
      </c>
    </row>
    <row r="55" spans="2:10" x14ac:dyDescent="0.25">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c r="H55" s="94">
        <f>IF(nr_NetMode,$C55,$C55*SUM('Rate Engine'!AZ$73:BB$73)/SUM('Rate Engine'!AZ$67:BB$67)/nr_MInd)</f>
        <v>1.209577856609602</v>
      </c>
      <c r="I55" s="102">
        <f>IF(nr_NetMode,$D55,$D55*SUM('Rate Engine'!AN$73:AP$73)/SUM('Rate Engine'!AN$67:AP$67)/nr_MInd)</f>
        <v>1.148150788389753</v>
      </c>
      <c r="J55" s="101">
        <f t="shared" si="2"/>
        <v>5.3500871872411926E-2</v>
      </c>
    </row>
    <row r="56" spans="2:10" x14ac:dyDescent="0.25">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c r="H56" s="94">
        <f>IF(nr_NetMode,$C56,$C56*SUM('Rate Engine'!BC$73:BE$73)/SUM('Rate Engine'!BC$67:BE$67)/nr_MInd)</f>
        <v>1.2116289818509456</v>
      </c>
      <c r="I56" s="102">
        <f>IF(nr_NetMode,$D56,$D56*SUM('Rate Engine'!AQ$73:AS$73)/SUM('Rate Engine'!AQ$67:AS$67)/nr_MInd)</f>
        <v>1.1702501818123299</v>
      </c>
      <c r="J56" s="101">
        <f t="shared" si="2"/>
        <v>3.5358934936915443E-2</v>
      </c>
    </row>
    <row r="58" spans="2:10" ht="396" x14ac:dyDescent="0.25">
      <c r="B58" s="17" t="s">
        <v>330</v>
      </c>
    </row>
    <row r="62" spans="2:10" x14ac:dyDescent="0.25">
      <c r="B62" s="37" t="s">
        <v>331</v>
      </c>
    </row>
    <row r="63" spans="2:10" x14ac:dyDescent="0.25">
      <c r="B63" s="77" t="s">
        <v>332</v>
      </c>
      <c r="C63" s="77" t="s">
        <v>333</v>
      </c>
      <c r="D63" s="77" t="s">
        <v>334</v>
      </c>
      <c r="E63" s="77" t="s">
        <v>335</v>
      </c>
      <c r="F63" s="77" t="s">
        <v>336</v>
      </c>
      <c r="G63" s="77" t="s">
        <v>337</v>
      </c>
      <c r="H63" s="77" t="s">
        <v>338</v>
      </c>
      <c r="I63" s="77" t="s">
        <v>339</v>
      </c>
    </row>
    <row r="64" spans="2:10" x14ac:dyDescent="0.25">
      <c r="B64" s="103">
        <f>'Rate Engine'!V$16</f>
        <v>46023</v>
      </c>
      <c r="C64" s="79">
        <f>'Rate Engine'!$U$29</f>
        <v>1.04</v>
      </c>
      <c r="D64" s="79">
        <f>'Rate Engine'!V$68</f>
        <v>1.0216666666666663</v>
      </c>
      <c r="E64" s="75">
        <f>'Mod Engine'!$E$29</f>
        <v>0.84309628008752735</v>
      </c>
      <c r="F64" s="75">
        <f>'Rate Engine'!V$72</f>
        <v>0.83104485776805215</v>
      </c>
      <c r="G64" s="79">
        <f t="shared" ref="G64:G99" si="3">IF(nr_NetMode,$C64,$C64*($E64/nr_MInd))</f>
        <v>1.031553095636504</v>
      </c>
      <c r="H64" s="79">
        <f t="shared" ref="H64:H99" si="4">IF(OR($D64="",$F64=""),"",IF(nr_NetMode,$D64,$D64*($F64/nr_MInd)))</f>
        <v>0.99888332904277599</v>
      </c>
      <c r="I64" s="65">
        <f t="shared" ref="I64:I99" si="5">IF(YEAR($B64)=nr_PlanYear,1,0)</f>
        <v>0</v>
      </c>
    </row>
    <row r="65" spans="2:9" x14ac:dyDescent="0.25">
      <c r="B65" s="103">
        <f>'Rate Engine'!W$16</f>
        <v>46054</v>
      </c>
      <c r="C65" s="79">
        <f>'Rate Engine'!$U$30</f>
        <v>1.04</v>
      </c>
      <c r="D65" s="79">
        <f>'Rate Engine'!W$68</f>
        <v>1.0249999999999997</v>
      </c>
      <c r="E65" s="75">
        <f>'Mod Engine'!$E$30</f>
        <v>0.84503282275711156</v>
      </c>
      <c r="F65" s="75">
        <f>'Rate Engine'!W$72</f>
        <v>0.83304157549234104</v>
      </c>
      <c r="G65" s="79">
        <f t="shared" si="3"/>
        <v>1.0339225125498777</v>
      </c>
      <c r="H65" s="79">
        <f t="shared" si="4"/>
        <v>1.0045501351525286</v>
      </c>
      <c r="I65" s="65">
        <f t="shared" si="5"/>
        <v>0</v>
      </c>
    </row>
    <row r="66" spans="2:9" x14ac:dyDescent="0.25">
      <c r="B66" s="103">
        <f>'Rate Engine'!X$16</f>
        <v>46082</v>
      </c>
      <c r="C66" s="79">
        <f>'Rate Engine'!$U$31</f>
        <v>1.04</v>
      </c>
      <c r="D66" s="79">
        <f>'Rate Engine'!X$68</f>
        <v>1.0283333333333331</v>
      </c>
      <c r="E66" s="75">
        <f>'Mod Engine'!$E$31</f>
        <v>0.84696936542669587</v>
      </c>
      <c r="F66" s="75">
        <f>'Rate Engine'!X$72</f>
        <v>0.8350382932166297</v>
      </c>
      <c r="G66" s="79">
        <f t="shared" si="3"/>
        <v>1.0362919294632515</v>
      </c>
      <c r="H66" s="79">
        <f t="shared" si="4"/>
        <v>1.0102326017934518</v>
      </c>
      <c r="I66" s="65">
        <f t="shared" si="5"/>
        <v>0</v>
      </c>
    </row>
    <row r="67" spans="2:9" x14ac:dyDescent="0.25">
      <c r="B67" s="103">
        <f>'Rate Engine'!Y$16</f>
        <v>46113</v>
      </c>
      <c r="C67" s="79">
        <f>'Rate Engine'!$U$32</f>
        <v>1.04</v>
      </c>
      <c r="D67" s="79">
        <f>'Rate Engine'!Y$68</f>
        <v>1.0316666666666665</v>
      </c>
      <c r="E67" s="75">
        <f>'Mod Engine'!$E$32</f>
        <v>0.84897155361050325</v>
      </c>
      <c r="F67" s="75">
        <f>'Rate Engine'!Y$72</f>
        <v>0.83703501094091859</v>
      </c>
      <c r="G67" s="79">
        <f t="shared" si="3"/>
        <v>1.0387416655940276</v>
      </c>
      <c r="H67" s="79">
        <f t="shared" si="4"/>
        <v>1.0159307289655461</v>
      </c>
      <c r="I67" s="65">
        <f t="shared" si="5"/>
        <v>0</v>
      </c>
    </row>
    <row r="68" spans="2:9" x14ac:dyDescent="0.25">
      <c r="B68" s="103">
        <f>'Rate Engine'!Z$16</f>
        <v>46143</v>
      </c>
      <c r="C68" s="79">
        <f>'Rate Engine'!$U$33</f>
        <v>1.04</v>
      </c>
      <c r="D68" s="79">
        <f>'Rate Engine'!Z$68</f>
        <v>1.0349999999999999</v>
      </c>
      <c r="E68" s="75">
        <f>'Mod Engine'!$E$33</f>
        <v>0.85097374179431073</v>
      </c>
      <c r="F68" s="75">
        <f>'Rate Engine'!Z$72</f>
        <v>0.83903172866520759</v>
      </c>
      <c r="G68" s="79">
        <f t="shared" si="3"/>
        <v>1.0411914017248036</v>
      </c>
      <c r="H68" s="79">
        <f t="shared" si="4"/>
        <v>1.0216445166688115</v>
      </c>
      <c r="I68" s="65">
        <f t="shared" si="5"/>
        <v>0</v>
      </c>
    </row>
    <row r="69" spans="2:9" x14ac:dyDescent="0.25">
      <c r="B69" s="103">
        <f>'Rate Engine'!AA$16</f>
        <v>46174</v>
      </c>
      <c r="C69" s="79">
        <f>'Rate Engine'!$U$34</f>
        <v>1.04</v>
      </c>
      <c r="D69" s="79">
        <f>'Rate Engine'!AA$68</f>
        <v>1.0383333333333331</v>
      </c>
      <c r="E69" s="75">
        <f>'Mod Engine'!$E$34</f>
        <v>0.85297592997811811</v>
      </c>
      <c r="F69" s="75">
        <f>'Rate Engine'!AA$72</f>
        <v>0.84102844638949636</v>
      </c>
      <c r="G69" s="79">
        <f t="shared" si="3"/>
        <v>1.0436411378555797</v>
      </c>
      <c r="H69" s="79">
        <f t="shared" si="4"/>
        <v>1.0273739649032474</v>
      </c>
      <c r="I69" s="65">
        <f t="shared" si="5"/>
        <v>0</v>
      </c>
    </row>
    <row r="70" spans="2:9" x14ac:dyDescent="0.25">
      <c r="B70" s="103">
        <f>'Rate Engine'!AB$16</f>
        <v>46204</v>
      </c>
      <c r="C70" s="79">
        <f>'Rate Engine'!$U$35</f>
        <v>1.1024</v>
      </c>
      <c r="D70" s="79">
        <f>'Rate Engine'!AB$68</f>
        <v>1.0425999999999997</v>
      </c>
      <c r="E70" s="75">
        <f>'Mod Engine'!$E$35</f>
        <v>0.85497811816192559</v>
      </c>
      <c r="F70" s="75">
        <f>'Rate Engine'!AB$72</f>
        <v>0.84302516411378536</v>
      </c>
      <c r="G70" s="79">
        <f t="shared" si="3"/>
        <v>1.1088563264255376</v>
      </c>
      <c r="H70" s="79">
        <f t="shared" si="4"/>
        <v>1.0340447483588617</v>
      </c>
      <c r="I70" s="65">
        <f t="shared" si="5"/>
        <v>0</v>
      </c>
    </row>
    <row r="71" spans="2:9" x14ac:dyDescent="0.25">
      <c r="B71" s="103">
        <f>'Rate Engine'!AC$16</f>
        <v>46235</v>
      </c>
      <c r="C71" s="79">
        <f>'Rate Engine'!$U$36</f>
        <v>1.1024</v>
      </c>
      <c r="D71" s="79">
        <f>'Rate Engine'!AC$68</f>
        <v>1.0477999999999998</v>
      </c>
      <c r="E71" s="75">
        <f>'Mod Engine'!$E$36</f>
        <v>0.85701312910284466</v>
      </c>
      <c r="F71" s="75">
        <f>'Rate Engine'!AC$72</f>
        <v>0.84502188183807425</v>
      </c>
      <c r="G71" s="79">
        <f t="shared" si="3"/>
        <v>1.1114956159093834</v>
      </c>
      <c r="H71" s="79">
        <f t="shared" si="4"/>
        <v>1.041663444458746</v>
      </c>
      <c r="I71" s="65">
        <f t="shared" si="5"/>
        <v>0</v>
      </c>
    </row>
    <row r="72" spans="2:9" x14ac:dyDescent="0.25">
      <c r="B72" s="103">
        <f>'Rate Engine'!AD$16</f>
        <v>46266</v>
      </c>
      <c r="C72" s="79">
        <f>'Rate Engine'!$U$37</f>
        <v>1.1024</v>
      </c>
      <c r="D72" s="79">
        <f>'Rate Engine'!AD$68</f>
        <v>1.0529999999999999</v>
      </c>
      <c r="E72" s="75">
        <f>'Mod Engine'!$E$37</f>
        <v>0.85901531728665204</v>
      </c>
      <c r="F72" s="75">
        <f>'Rate Engine'!AD$72</f>
        <v>0.84701859956236303</v>
      </c>
      <c r="G72" s="79">
        <f t="shared" si="3"/>
        <v>1.1140923362080062</v>
      </c>
      <c r="H72" s="79">
        <f t="shared" si="4"/>
        <v>1.0493065709872567</v>
      </c>
      <c r="I72" s="65">
        <f t="shared" si="5"/>
        <v>0</v>
      </c>
    </row>
    <row r="73" spans="2:9" x14ac:dyDescent="0.25">
      <c r="B73" s="103">
        <f>'Rate Engine'!AE$16</f>
        <v>46296</v>
      </c>
      <c r="C73" s="79">
        <f>'Rate Engine'!$U$38</f>
        <v>1.1024</v>
      </c>
      <c r="D73" s="79">
        <f>'Rate Engine'!AE$68</f>
        <v>1.0581999999999998</v>
      </c>
      <c r="E73" s="75">
        <f>'Mod Engine'!$E$38</f>
        <v>0.86101750547045952</v>
      </c>
      <c r="F73" s="75">
        <f>'Rate Engine'!AE$72</f>
        <v>0.84901531728665192</v>
      </c>
      <c r="G73" s="79">
        <f t="shared" si="3"/>
        <v>1.116689056506629</v>
      </c>
      <c r="H73" s="79">
        <f t="shared" si="4"/>
        <v>1.056974127944394</v>
      </c>
      <c r="I73" s="65">
        <f t="shared" si="5"/>
        <v>0</v>
      </c>
    </row>
    <row r="74" spans="2:9" x14ac:dyDescent="0.25">
      <c r="B74" s="103">
        <f>'Rate Engine'!AF$16</f>
        <v>46327</v>
      </c>
      <c r="C74" s="79">
        <f>'Rate Engine'!$U$39</f>
        <v>1.1024</v>
      </c>
      <c r="D74" s="79">
        <f>'Rate Engine'!AF$68</f>
        <v>1.0633999999999999</v>
      </c>
      <c r="E74" s="75">
        <f>'Mod Engine'!$E$39</f>
        <v>0.8630196936542669</v>
      </c>
      <c r="F74" s="75">
        <f>'Rate Engine'!AF$72</f>
        <v>0.85101203501094069</v>
      </c>
      <c r="G74" s="79">
        <f t="shared" si="3"/>
        <v>1.1192857768052518</v>
      </c>
      <c r="H74" s="79">
        <f t="shared" si="4"/>
        <v>1.064666115330158</v>
      </c>
      <c r="I74" s="65">
        <f t="shared" si="5"/>
        <v>0</v>
      </c>
    </row>
    <row r="75" spans="2:9" x14ac:dyDescent="0.25">
      <c r="B75" s="103">
        <f>'Rate Engine'!AG$16</f>
        <v>46357</v>
      </c>
      <c r="C75" s="79">
        <f>'Rate Engine'!$U$40</f>
        <v>1.1024</v>
      </c>
      <c r="D75" s="79">
        <f>'Rate Engine'!AG$68</f>
        <v>1.0685999999999998</v>
      </c>
      <c r="E75" s="75">
        <f>'Mod Engine'!$E$40</f>
        <v>0.86502188183807438</v>
      </c>
      <c r="F75" s="75">
        <f>'Rate Engine'!AG$72</f>
        <v>0.85300875273522958</v>
      </c>
      <c r="G75" s="79">
        <f t="shared" si="3"/>
        <v>1.1218824971038743</v>
      </c>
      <c r="H75" s="79">
        <f t="shared" si="4"/>
        <v>1.0723825331445482</v>
      </c>
      <c r="I75" s="65">
        <f t="shared" si="5"/>
        <v>0</v>
      </c>
    </row>
    <row r="76" spans="2:9" x14ac:dyDescent="0.25">
      <c r="B76" s="103">
        <f>'Rate Engine'!AH$16</f>
        <v>46388</v>
      </c>
      <c r="C76" s="79">
        <f>'Rate Engine'!$U$41</f>
        <v>1.1024</v>
      </c>
      <c r="D76" s="79">
        <f>'Rate Engine'!AH$68</f>
        <v>1.0737999999999999</v>
      </c>
      <c r="E76" s="75">
        <f>'Mod Engine'!$E$41</f>
        <v>0.86705689277899345</v>
      </c>
      <c r="F76" s="75">
        <f>'Rate Engine'!AH$72</f>
        <v>0.85500547045951847</v>
      </c>
      <c r="G76" s="79">
        <f t="shared" si="3"/>
        <v>1.1245217865877206</v>
      </c>
      <c r="H76" s="79">
        <f t="shared" si="4"/>
        <v>1.0801233813875657</v>
      </c>
      <c r="I76" s="65">
        <f t="shared" si="5"/>
        <v>1</v>
      </c>
    </row>
    <row r="77" spans="2:9" x14ac:dyDescent="0.25">
      <c r="B77" s="103">
        <f>'Rate Engine'!AI$16</f>
        <v>46419</v>
      </c>
      <c r="C77" s="79">
        <f>'Rate Engine'!$U$42</f>
        <v>1.1024</v>
      </c>
      <c r="D77" s="79">
        <f>'Rate Engine'!AI$68</f>
        <v>1.0789999999999997</v>
      </c>
      <c r="E77" s="75">
        <f>'Mod Engine'!$E$42</f>
        <v>0.86899343544857766</v>
      </c>
      <c r="F77" s="75">
        <f>'Rate Engine'!AI$72</f>
        <v>0.85700218818380713</v>
      </c>
      <c r="G77" s="79">
        <f t="shared" si="3"/>
        <v>1.1270333685158964</v>
      </c>
      <c r="H77" s="79">
        <f t="shared" si="4"/>
        <v>1.087888660059209</v>
      </c>
      <c r="I77" s="65">
        <f t="shared" si="5"/>
        <v>1</v>
      </c>
    </row>
    <row r="78" spans="2:9" x14ac:dyDescent="0.25">
      <c r="B78" s="103">
        <f>'Rate Engine'!AJ$16</f>
        <v>46447</v>
      </c>
      <c r="C78" s="79">
        <f>'Rate Engine'!$U$43</f>
        <v>1.1024</v>
      </c>
      <c r="D78" s="79">
        <f>'Rate Engine'!AJ$68</f>
        <v>1.0841999999999998</v>
      </c>
      <c r="E78" s="75">
        <f>'Mod Engine'!$E$43</f>
        <v>0.87092997811816197</v>
      </c>
      <c r="F78" s="75">
        <f>'Rate Engine'!AJ$72</f>
        <v>0.85899890590809602</v>
      </c>
      <c r="G78" s="79">
        <f t="shared" si="3"/>
        <v>1.1295449504440729</v>
      </c>
      <c r="H78" s="79">
        <f t="shared" si="4"/>
        <v>1.0956783691594796</v>
      </c>
      <c r="I78" s="65">
        <f t="shared" si="5"/>
        <v>1</v>
      </c>
    </row>
    <row r="79" spans="2:9" x14ac:dyDescent="0.25">
      <c r="B79" s="103">
        <f>'Rate Engine'!AK$16</f>
        <v>46478</v>
      </c>
      <c r="C79" s="79">
        <f>'Rate Engine'!$U$44</f>
        <v>1.1575200000000001</v>
      </c>
      <c r="D79" s="79">
        <f>'Rate Engine'!AK$68</f>
        <v>1.0916966666666663</v>
      </c>
      <c r="E79" s="75">
        <f>'Mod Engine'!$E$44</f>
        <v>0.87293216630196935</v>
      </c>
      <c r="F79" s="75">
        <f>'Rate Engine'!AK$72</f>
        <v>0.86099562363238491</v>
      </c>
      <c r="G79" s="79">
        <f t="shared" si="3"/>
        <v>1.1887487542798303</v>
      </c>
      <c r="H79" s="79">
        <f t="shared" si="4"/>
        <v>1.1058188850988968</v>
      </c>
      <c r="I79" s="65">
        <f t="shared" si="5"/>
        <v>1</v>
      </c>
    </row>
    <row r="80" spans="2:9" x14ac:dyDescent="0.25">
      <c r="B80" s="103">
        <f>'Rate Engine'!AL$16</f>
        <v>46508</v>
      </c>
      <c r="C80" s="79">
        <f>'Rate Engine'!$U$45</f>
        <v>1.1575200000000001</v>
      </c>
      <c r="D80" s="79">
        <f>'Rate Engine'!AL$68</f>
        <v>1.1014899999999996</v>
      </c>
      <c r="E80" s="75">
        <f>'Mod Engine'!$E$45</f>
        <v>0.87493435448577683</v>
      </c>
      <c r="F80" s="75">
        <f>'Rate Engine'!AL$72</f>
        <v>0.86299234135667369</v>
      </c>
      <c r="G80" s="79">
        <f t="shared" si="3"/>
        <v>1.191475310593384</v>
      </c>
      <c r="H80" s="79">
        <f t="shared" si="4"/>
        <v>1.1183263930364262</v>
      </c>
      <c r="I80" s="65">
        <f t="shared" si="5"/>
        <v>1</v>
      </c>
    </row>
    <row r="81" spans="2:9" x14ac:dyDescent="0.25">
      <c r="B81" s="103">
        <f>'Rate Engine'!AM$16</f>
        <v>46539</v>
      </c>
      <c r="C81" s="79">
        <f>'Rate Engine'!$U$46</f>
        <v>1.1575200000000001</v>
      </c>
      <c r="D81" s="79">
        <f>'Rate Engine'!AM$68</f>
        <v>1.111283333333333</v>
      </c>
      <c r="E81" s="75">
        <f>'Mod Engine'!$E$46</f>
        <v>0.87693654266958421</v>
      </c>
      <c r="F81" s="75">
        <f>'Rate Engine'!AM$72</f>
        <v>0.86498905908096246</v>
      </c>
      <c r="G81" s="79">
        <f t="shared" si="3"/>
        <v>1.1942018669069379</v>
      </c>
      <c r="H81" s="79">
        <f t="shared" si="4"/>
        <v>1.1308799116145356</v>
      </c>
      <c r="I81" s="65">
        <f t="shared" si="5"/>
        <v>1</v>
      </c>
    </row>
    <row r="82" spans="2:9" x14ac:dyDescent="0.25">
      <c r="B82" s="103">
        <f>'Rate Engine'!AN$16</f>
        <v>46569</v>
      </c>
      <c r="C82" s="79">
        <f>'Rate Engine'!$U$47</f>
        <v>1.1575200000000001</v>
      </c>
      <c r="D82" s="79">
        <f>'Rate Engine'!AN$68</f>
        <v>1.1184766666666663</v>
      </c>
      <c r="E82" s="75">
        <f>'Mod Engine'!$E$47</f>
        <v>0.87893873085339169</v>
      </c>
      <c r="F82" s="75">
        <f>'Rate Engine'!AN$72</f>
        <v>0.86698577680525124</v>
      </c>
      <c r="G82" s="79">
        <f t="shared" si="3"/>
        <v>1.1969284232204918</v>
      </c>
      <c r="H82" s="79">
        <f t="shared" si="4"/>
        <v>1.1408274843394679</v>
      </c>
      <c r="I82" s="65">
        <f t="shared" si="5"/>
        <v>1</v>
      </c>
    </row>
    <row r="83" spans="2:9" x14ac:dyDescent="0.25">
      <c r="B83" s="103">
        <f>'Rate Engine'!AO$16</f>
        <v>46600</v>
      </c>
      <c r="C83" s="79">
        <f>'Rate Engine'!$U$48</f>
        <v>1.1575200000000001</v>
      </c>
      <c r="D83" s="79">
        <f>'Rate Engine'!AO$68</f>
        <v>1.1230699999999998</v>
      </c>
      <c r="E83" s="75">
        <f>'Mod Engine'!$E$48</f>
        <v>0.88097374179431076</v>
      </c>
      <c r="F83" s="75">
        <f>'Rate Engine'!AO$72</f>
        <v>0.86898249452954013</v>
      </c>
      <c r="G83" s="79">
        <f t="shared" si="3"/>
        <v>1.1996996771785302</v>
      </c>
      <c r="H83" s="79">
        <f t="shared" si="4"/>
        <v>1.1481507883897535</v>
      </c>
      <c r="I83" s="65">
        <f t="shared" si="5"/>
        <v>1</v>
      </c>
    </row>
    <row r="84" spans="2:9" x14ac:dyDescent="0.25">
      <c r="B84" s="103">
        <f>'Rate Engine'!AP$16</f>
        <v>46631</v>
      </c>
      <c r="C84" s="79">
        <f>'Rate Engine'!$U$49</f>
        <v>1.1575200000000001</v>
      </c>
      <c r="D84" s="79">
        <f>'Rate Engine'!AP$68</f>
        <v>1.127663333333333</v>
      </c>
      <c r="E84" s="75">
        <f>'Mod Engine'!$E$49</f>
        <v>0.88297592997811813</v>
      </c>
      <c r="F84" s="75">
        <f>'Rate Engine'!AP$72</f>
        <v>0.8709792122538289</v>
      </c>
      <c r="G84" s="79">
        <f t="shared" si="3"/>
        <v>1.2024262334920839</v>
      </c>
      <c r="H84" s="79">
        <f t="shared" si="4"/>
        <v>1.155495672651992</v>
      </c>
      <c r="I84" s="65">
        <f t="shared" si="5"/>
        <v>1</v>
      </c>
    </row>
    <row r="85" spans="2:9" x14ac:dyDescent="0.25">
      <c r="B85" s="103">
        <f>'Rate Engine'!AQ$16</f>
        <v>46661</v>
      </c>
      <c r="C85" s="79">
        <f>'Rate Engine'!$U$50</f>
        <v>1.1575200000000001</v>
      </c>
      <c r="D85" s="79">
        <f>'Rate Engine'!AQ$68</f>
        <v>1.1322566666666665</v>
      </c>
      <c r="E85" s="75">
        <f>'Mod Engine'!$E$50</f>
        <v>0.88497811816192562</v>
      </c>
      <c r="F85" s="75">
        <f>'Rate Engine'!AQ$72</f>
        <v>0.87297592997811768</v>
      </c>
      <c r="G85" s="79">
        <f t="shared" si="3"/>
        <v>1.205152789805638</v>
      </c>
      <c r="H85" s="79">
        <f t="shared" si="4"/>
        <v>1.1628621371261845</v>
      </c>
      <c r="I85" s="65">
        <f t="shared" si="5"/>
        <v>1</v>
      </c>
    </row>
    <row r="86" spans="2:9" x14ac:dyDescent="0.25">
      <c r="B86" s="103">
        <f>'Rate Engine'!AR$16</f>
        <v>46692</v>
      </c>
      <c r="C86" s="79">
        <f>'Rate Engine'!$U$51</f>
        <v>1.1575200000000001</v>
      </c>
      <c r="D86" s="79">
        <f>'Rate Engine'!AR$68</f>
        <v>1.1368499999999997</v>
      </c>
      <c r="E86" s="75">
        <f>'Mod Engine'!$E$51</f>
        <v>0.8869803063457331</v>
      </c>
      <c r="F86" s="75">
        <f>'Rate Engine'!AR$72</f>
        <v>0.87497264770240646</v>
      </c>
      <c r="G86" s="79">
        <f t="shared" si="3"/>
        <v>1.2078793461191919</v>
      </c>
      <c r="H86" s="79">
        <f t="shared" si="4"/>
        <v>1.1702501818123301</v>
      </c>
      <c r="I86" s="65">
        <f t="shared" si="5"/>
        <v>1</v>
      </c>
    </row>
    <row r="87" spans="2:9" x14ac:dyDescent="0.25">
      <c r="B87" s="103">
        <f>'Rate Engine'!AS$16</f>
        <v>46722</v>
      </c>
      <c r="C87" s="79">
        <f>'Rate Engine'!$U$52</f>
        <v>1.1575200000000001</v>
      </c>
      <c r="D87" s="79">
        <f>'Rate Engine'!AS$68</f>
        <v>1.1414433333333331</v>
      </c>
      <c r="E87" s="75">
        <f>'Mod Engine'!$E$52</f>
        <v>0.88898249452954048</v>
      </c>
      <c r="F87" s="75">
        <f>'Rate Engine'!AS$72</f>
        <v>0.87696936542669557</v>
      </c>
      <c r="G87" s="79">
        <f t="shared" si="3"/>
        <v>1.2106059024327456</v>
      </c>
      <c r="H87" s="79">
        <f t="shared" si="4"/>
        <v>1.1776598067104298</v>
      </c>
      <c r="I87" s="65">
        <f t="shared" si="5"/>
        <v>1</v>
      </c>
    </row>
    <row r="88" spans="2:9" x14ac:dyDescent="0.25">
      <c r="B88" s="103">
        <f>'Rate Engine'!AT$16</f>
        <v>46753</v>
      </c>
      <c r="C88" s="79">
        <f>'Rate Engine'!$U$53</f>
        <v>1.1575200000000001</v>
      </c>
      <c r="D88" s="79">
        <f>'Rate Engine'!AT$68</f>
        <v>1.1460366666666664</v>
      </c>
      <c r="E88" s="75">
        <f>'Mod Engine'!$E$53</f>
        <v>0.89</v>
      </c>
      <c r="F88" s="75">
        <f>'Rate Engine'!AT$72</f>
        <v>0.87892368708971524</v>
      </c>
      <c r="G88" s="79">
        <f t="shared" si="3"/>
        <v>1.2119915294117649</v>
      </c>
      <c r="H88" s="79">
        <f t="shared" si="4"/>
        <v>1.1850338501254982</v>
      </c>
      <c r="I88" s="65">
        <f t="shared" si="5"/>
        <v>0</v>
      </c>
    </row>
    <row r="89" spans="2:9" x14ac:dyDescent="0.25">
      <c r="B89" s="103">
        <f>'Rate Engine'!AU$16</f>
        <v>46784</v>
      </c>
      <c r="C89" s="79">
        <f>'Rate Engine'!$U$54</f>
        <v>1.1575200000000001</v>
      </c>
      <c r="D89" s="79">
        <f>'Rate Engine'!AU$68</f>
        <v>1.1506299999999998</v>
      </c>
      <c r="E89" s="75">
        <f>'Mod Engine'!$E$54</f>
        <v>0.89</v>
      </c>
      <c r="F89" s="75">
        <f>'Rate Engine'!AU$72</f>
        <v>0.88075492341356654</v>
      </c>
      <c r="G89" s="79">
        <f t="shared" si="3"/>
        <v>1.2119915294117649</v>
      </c>
      <c r="H89" s="79">
        <f t="shared" si="4"/>
        <v>1.1922623970910022</v>
      </c>
      <c r="I89" s="65">
        <f t="shared" si="5"/>
        <v>0</v>
      </c>
    </row>
    <row r="90" spans="2:9" x14ac:dyDescent="0.25">
      <c r="B90" s="103">
        <f>'Rate Engine'!AV$16</f>
        <v>46813</v>
      </c>
      <c r="C90" s="79">
        <f>'Rate Engine'!$U$55</f>
        <v>1.1575200000000001</v>
      </c>
      <c r="D90" s="79">
        <f>'Rate Engine'!AV$68</f>
        <v>1.155223333333333</v>
      </c>
      <c r="E90" s="75">
        <f>'Mod Engine'!$E$55</f>
        <v>0.89</v>
      </c>
      <c r="F90" s="75">
        <f>'Rate Engine'!AV$72</f>
        <v>0.88242478118161927</v>
      </c>
      <c r="G90" s="79">
        <f t="shared" si="3"/>
        <v>1.2119915294117649</v>
      </c>
      <c r="H90" s="79">
        <f t="shared" si="4"/>
        <v>1.1992914083912556</v>
      </c>
      <c r="I90" s="65">
        <f t="shared" si="5"/>
        <v>0</v>
      </c>
    </row>
    <row r="91" spans="2:9" x14ac:dyDescent="0.25">
      <c r="B91" s="103">
        <f>'Rate Engine'!AW$16</f>
        <v>46844</v>
      </c>
      <c r="C91" s="79">
        <f>'Rate Engine'!$U$56</f>
        <v>1.1575200000000001</v>
      </c>
      <c r="D91" s="79">
        <f>'Rate Engine'!AW$68</f>
        <v>1.1575199999999999</v>
      </c>
      <c r="E91" s="75">
        <f>'Mod Engine'!$E$56</f>
        <v>0.89</v>
      </c>
      <c r="F91" s="75">
        <f>'Rate Engine'!AW$72</f>
        <v>0.88393052516411363</v>
      </c>
      <c r="G91" s="79">
        <f t="shared" si="3"/>
        <v>1.2119915294117649</v>
      </c>
      <c r="H91" s="79">
        <f t="shared" si="4"/>
        <v>1.2037261899858409</v>
      </c>
      <c r="I91" s="65">
        <f t="shared" si="5"/>
        <v>0</v>
      </c>
    </row>
    <row r="92" spans="2:9" x14ac:dyDescent="0.25">
      <c r="B92" s="103">
        <f>'Rate Engine'!AX$16</f>
        <v>46874</v>
      </c>
      <c r="C92" s="79">
        <f>'Rate Engine'!$U$57</f>
        <v>1.1575200000000001</v>
      </c>
      <c r="D92" s="79">
        <f>'Rate Engine'!AX$68</f>
        <v>1.1575199999999999</v>
      </c>
      <c r="E92" s="75">
        <f>'Mod Engine'!$E$57</f>
        <v>0.89</v>
      </c>
      <c r="F92" s="75">
        <f>'Rate Engine'!AX$72</f>
        <v>0.88526942013129095</v>
      </c>
      <c r="G92" s="79">
        <f t="shared" si="3"/>
        <v>1.2119915294117649</v>
      </c>
      <c r="H92" s="79">
        <f t="shared" si="4"/>
        <v>1.2055494814004375</v>
      </c>
      <c r="I92" s="65">
        <f t="shared" si="5"/>
        <v>0</v>
      </c>
    </row>
    <row r="93" spans="2:9" x14ac:dyDescent="0.25">
      <c r="B93" s="103">
        <f>'Rate Engine'!AY$16</f>
        <v>46905</v>
      </c>
      <c r="C93" s="79">
        <f>'Rate Engine'!$U$58</f>
        <v>1.1575200000000001</v>
      </c>
      <c r="D93" s="79">
        <f>'Rate Engine'!AY$68</f>
        <v>1.1575199999999999</v>
      </c>
      <c r="E93" s="75">
        <f>'Mod Engine'!$E$58</f>
        <v>0.89</v>
      </c>
      <c r="F93" s="75">
        <f>'Rate Engine'!AY$72</f>
        <v>0.886441466083151</v>
      </c>
      <c r="G93" s="79">
        <f t="shared" si="3"/>
        <v>1.2119915294117649</v>
      </c>
      <c r="H93" s="79">
        <f t="shared" si="4"/>
        <v>1.2071455597889045</v>
      </c>
      <c r="I93" s="65">
        <f t="shared" si="5"/>
        <v>0</v>
      </c>
    </row>
    <row r="94" spans="2:9" x14ac:dyDescent="0.25">
      <c r="B94" s="103">
        <f>'Rate Engine'!AZ$16</f>
        <v>46935</v>
      </c>
      <c r="C94" s="79">
        <f>'Rate Engine'!$U$59</f>
        <v>1.1575200000000001</v>
      </c>
      <c r="D94" s="79">
        <f>'Rate Engine'!AZ$68</f>
        <v>1.1575199999999999</v>
      </c>
      <c r="E94" s="75">
        <f>'Mod Engine'!$E$59</f>
        <v>0.89</v>
      </c>
      <c r="F94" s="75">
        <f>'Rate Engine'!AZ$72</f>
        <v>0.88744666301969355</v>
      </c>
      <c r="G94" s="79">
        <f t="shared" si="3"/>
        <v>1.2119915294117649</v>
      </c>
      <c r="H94" s="79">
        <f t="shared" si="4"/>
        <v>1.2085144251512419</v>
      </c>
      <c r="I94" s="65">
        <f t="shared" si="5"/>
        <v>0</v>
      </c>
    </row>
    <row r="95" spans="2:9" x14ac:dyDescent="0.25">
      <c r="B95" s="103">
        <f>'Rate Engine'!BA$16</f>
        <v>46966</v>
      </c>
      <c r="C95" s="79">
        <f>'Rate Engine'!$U$60</f>
        <v>1.1575200000000001</v>
      </c>
      <c r="D95" s="79">
        <f>'Rate Engine'!BA$68</f>
        <v>1.1575199999999999</v>
      </c>
      <c r="E95" s="75">
        <f>'Mod Engine'!$E$60</f>
        <v>0.89</v>
      </c>
      <c r="F95" s="75">
        <f>'Rate Engine'!BA$72</f>
        <v>0.88828364332603926</v>
      </c>
      <c r="G95" s="79">
        <f t="shared" si="3"/>
        <v>1.2119915294117649</v>
      </c>
      <c r="H95" s="79">
        <f t="shared" si="4"/>
        <v>1.2096542150855965</v>
      </c>
      <c r="I95" s="65">
        <f t="shared" si="5"/>
        <v>0</v>
      </c>
    </row>
    <row r="96" spans="2:9" x14ac:dyDescent="0.25">
      <c r="B96" s="103">
        <f>'Rate Engine'!BB$16</f>
        <v>46997</v>
      </c>
      <c r="C96" s="79">
        <f>'Rate Engine'!$U$61</f>
        <v>1.1575200000000001</v>
      </c>
      <c r="D96" s="79">
        <f>'Rate Engine'!BB$68</f>
        <v>1.1575199999999999</v>
      </c>
      <c r="E96" s="75">
        <f>'Mod Engine'!$E$61</f>
        <v>0.89</v>
      </c>
      <c r="F96" s="75">
        <f>'Rate Engine'!BB$72</f>
        <v>0.88895240700218814</v>
      </c>
      <c r="G96" s="79">
        <f t="shared" si="3"/>
        <v>1.2119915294117649</v>
      </c>
      <c r="H96" s="79">
        <f t="shared" si="4"/>
        <v>1.2105649295919678</v>
      </c>
      <c r="I96" s="65">
        <f t="shared" si="5"/>
        <v>0</v>
      </c>
    </row>
    <row r="97" spans="2:9" x14ac:dyDescent="0.25">
      <c r="B97" s="103">
        <f>'Rate Engine'!BC$16</f>
        <v>47027</v>
      </c>
      <c r="C97" s="79">
        <f>'Rate Engine'!$U$62</f>
        <v>1.1575200000000001</v>
      </c>
      <c r="D97" s="79">
        <f>'Rate Engine'!BC$68</f>
        <v>1.1575199999999999</v>
      </c>
      <c r="E97" s="75">
        <f>'Mod Engine'!$E$62</f>
        <v>0.89</v>
      </c>
      <c r="F97" s="75">
        <f>'Rate Engine'!BC$72</f>
        <v>0.88945432166301952</v>
      </c>
      <c r="G97" s="79">
        <f t="shared" si="3"/>
        <v>1.2119915294117649</v>
      </c>
      <c r="H97" s="79">
        <f t="shared" si="4"/>
        <v>1.2112484310722098</v>
      </c>
      <c r="I97" s="65">
        <f t="shared" si="5"/>
        <v>0</v>
      </c>
    </row>
    <row r="98" spans="2:9" x14ac:dyDescent="0.25">
      <c r="B98" s="103">
        <f>'Rate Engine'!BD$16</f>
        <v>47058</v>
      </c>
      <c r="C98" s="79">
        <f>'Rate Engine'!$U$63</f>
        <v>1.1575200000000001</v>
      </c>
      <c r="D98" s="79">
        <f>'Rate Engine'!BD$68</f>
        <v>1.1575199999999999</v>
      </c>
      <c r="E98" s="75">
        <f>'Mod Engine'!$E$63</f>
        <v>0.89</v>
      </c>
      <c r="F98" s="75">
        <f>'Rate Engine'!BD$72</f>
        <v>0.88978938730853385</v>
      </c>
      <c r="G98" s="79">
        <f t="shared" si="3"/>
        <v>1.2119915294117649</v>
      </c>
      <c r="H98" s="79">
        <f t="shared" si="4"/>
        <v>1.2117047195263224</v>
      </c>
      <c r="I98" s="65">
        <f t="shared" si="5"/>
        <v>0</v>
      </c>
    </row>
    <row r="99" spans="2:9" x14ac:dyDescent="0.25">
      <c r="B99" s="103">
        <f>'Rate Engine'!BE$16</f>
        <v>47088</v>
      </c>
      <c r="C99" s="79">
        <f>'Rate Engine'!$U$64</f>
        <v>1.1575200000000001</v>
      </c>
      <c r="D99" s="79">
        <f>'Rate Engine'!BE$68</f>
        <v>1.1575199999999999</v>
      </c>
      <c r="E99" s="75">
        <f>'Mod Engine'!$E$64</f>
        <v>0.89</v>
      </c>
      <c r="F99" s="75">
        <f>'Rate Engine'!BE$72</f>
        <v>0.88995760393873069</v>
      </c>
      <c r="G99" s="79">
        <f t="shared" si="3"/>
        <v>1.2119915294117649</v>
      </c>
      <c r="H99" s="79">
        <f t="shared" si="4"/>
        <v>1.2119337949543052</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25">
      <c r="A1" s="1" t="s">
        <v>340</v>
      </c>
    </row>
    <row r="2" spans="1:15" x14ac:dyDescent="0.25">
      <c r="A2" s="2" t="s">
        <v>341</v>
      </c>
    </row>
    <row r="5" spans="1:15" ht="30" x14ac:dyDescent="0.25">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25">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0.63357323744376037</v>
      </c>
      <c r="H6" s="108">
        <f>(INDEX(calc_cylr_p,1)-INDEX(calc_lrcur,1))*100</f>
        <v>-1.6426762556239649</v>
      </c>
      <c r="I6" s="109">
        <f>IF($C6="",0,INDEX(calc_arate_p,1))</f>
        <v>0.99306145153262859</v>
      </c>
      <c r="J6" s="109">
        <f>IF($C6="",0,INDEX(calc_amod_p,1))</f>
        <v>0.98153851013092008</v>
      </c>
      <c r="K6" s="99">
        <f>IF($C6="",0,INDEX(calc_echg,1))</f>
        <v>6.9870283018869106E-3</v>
      </c>
      <c r="L6" s="99">
        <f>IF($C6="",0,INDEX(calc_carry,1))</f>
        <v>4.1162865591240383E-2</v>
      </c>
      <c r="M6" s="106">
        <f>INDEX(calc_cylr_p1,1)</f>
        <v>0.59480029614224839</v>
      </c>
      <c r="N6" s="110">
        <f>N(INDEX(lr_ep,1))</f>
        <v>36000</v>
      </c>
      <c r="O6" s="111">
        <f t="shared" ref="O6:O37" si="0">IF(SUM($N$6:$N$74)=0,0,$N6/SUM($N$6:$N$74))</f>
        <v>7.9601990049751239E-3</v>
      </c>
    </row>
    <row r="7" spans="1:15" x14ac:dyDescent="0.25">
      <c r="A7" s="104" t="str">
        <f>IF(INDEX(lr_key,2)="","",INDEX(lr_bu,2))</f>
        <v>BU-A</v>
      </c>
      <c r="B7" s="104" t="str">
        <f>IF(INDEX(lr_key,2)="","",INDEX(lr_state,2))</f>
        <v>CA</v>
      </c>
      <c r="C7" s="105" t="str">
        <f>INDEX(lr_key,2)</f>
        <v>BU-A|CA</v>
      </c>
      <c r="D7" s="106">
        <f>N(INDEX(lr_lrproj,2))</f>
        <v>0.65800000000000003</v>
      </c>
      <c r="E7" s="34" t="str">
        <f>IF($C7="","",INDEX(lr_basis,2)&amp;"")</f>
        <v>current</v>
      </c>
      <c r="F7" s="106">
        <f>INDEX(calc_lrcur,2)</f>
        <v>0.65800000000000003</v>
      </c>
      <c r="G7" s="107">
        <f>INDEX(calc_cylr_p,2)</f>
        <v>0.65411663451991164</v>
      </c>
      <c r="H7" s="108">
        <f>(INDEX(calc_cylr_p,2)-INDEX(calc_lrcur,2))*100</f>
        <v>-0.38833654800883854</v>
      </c>
      <c r="I7" s="109">
        <f>IF($C7="",0,INDEX(calc_arate_p,2))</f>
        <v>0.98357003029225942</v>
      </c>
      <c r="J7" s="109">
        <f>IF($C7="",0,INDEX(calc_amod_p,2))</f>
        <v>1.0107040659405588</v>
      </c>
      <c r="K7" s="99">
        <f>IF($C7="",0,INDEX(calc_echg,2))</f>
        <v>1.6704422869471269E-2</v>
      </c>
      <c r="L7" s="99">
        <f>IF($C7="",0,INDEX(calc_carry,2))</f>
        <v>2.2776224555298263E-2</v>
      </c>
      <c r="M7" s="106">
        <f>INDEX(calc_cylr_p1,2)</f>
        <v>0.63702752681730224</v>
      </c>
      <c r="N7" s="110">
        <f>N(INDEX(lr_ep,2))</f>
        <v>94500</v>
      </c>
      <c r="O7" s="111">
        <f t="shared" si="0"/>
        <v>2.0895522388059702E-2</v>
      </c>
    </row>
    <row r="8" spans="1:15" x14ac:dyDescent="0.25">
      <c r="A8" s="104" t="str">
        <f>IF(INDEX(lr_key,3)="","",INDEX(lr_bu,3))</f>
        <v>BU-A</v>
      </c>
      <c r="B8" s="104" t="str">
        <f>IF(INDEX(lr_key,3)="","",INDEX(lr_state,3))</f>
        <v>CO</v>
      </c>
      <c r="C8" s="105" t="str">
        <f>INDEX(lr_key,3)</f>
        <v>BU-A|CO</v>
      </c>
      <c r="D8" s="106">
        <f>N(INDEX(lr_lrproj,3))</f>
        <v>0.64200000000000002</v>
      </c>
      <c r="E8" s="34" t="str">
        <f>IF($C8="","",INDEX(lr_basis,3)&amp;"")</f>
        <v>current</v>
      </c>
      <c r="F8" s="106">
        <f>INDEX(calc_lrcur,3)</f>
        <v>0.64200000000000002</v>
      </c>
      <c r="G8" s="107">
        <f>INDEX(calc_cylr_p,3)</f>
        <v>0.64657040693968815</v>
      </c>
      <c r="H8" s="108">
        <f>(INDEX(calc_cylr_p,3)-INDEX(calc_lrcur,3))*100</f>
        <v>0.45704069396881319</v>
      </c>
      <c r="I8" s="109">
        <f>IF($C8="",0,INDEX(calc_arate_p,3))</f>
        <v>1</v>
      </c>
      <c r="J8" s="109">
        <f>IF($C8="",0,INDEX(calc_amod_p,3))</f>
        <v>1.0071190139247479</v>
      </c>
      <c r="K8" s="99">
        <f>IF($C8="",0,INDEX(calc_echg,3))</f>
        <v>0</v>
      </c>
      <c r="L8" s="99">
        <f>IF($C8="",0,INDEX(calc_carry,3))</f>
        <v>0</v>
      </c>
      <c r="M8" s="106">
        <f>INDEX(calc_cylr_p1,3)</f>
        <v>0.636523863335545</v>
      </c>
      <c r="N8" s="110">
        <f>N(INDEX(lr_ep,3))</f>
        <v>76500</v>
      </c>
      <c r="O8" s="111">
        <f t="shared" si="0"/>
        <v>1.6915422885572139E-2</v>
      </c>
    </row>
    <row r="9" spans="1:15" x14ac:dyDescent="0.25">
      <c r="A9" s="104" t="str">
        <f>IF(INDEX(lr_key,4)="","",INDEX(lr_bu,4))</f>
        <v>BU-A</v>
      </c>
      <c r="B9" s="104" t="str">
        <f>IF(INDEX(lr_key,4)="","",INDEX(lr_state,4))</f>
        <v>CT</v>
      </c>
      <c r="C9" s="105" t="str">
        <f>INDEX(lr_key,4)</f>
        <v>BU-A|CT</v>
      </c>
      <c r="D9" s="106">
        <f>N(INDEX(lr_lrproj,4))</f>
        <v>0.67</v>
      </c>
      <c r="E9" s="34" t="str">
        <f>IF($C9="","",INDEX(lr_basis,4)&amp;"")</f>
        <v>current</v>
      </c>
      <c r="F9" s="106">
        <f>INDEX(calc_lrcur,4)</f>
        <v>0.67</v>
      </c>
      <c r="G9" s="107">
        <f>INDEX(calc_cylr_p,4)</f>
        <v>0.67099850968703434</v>
      </c>
      <c r="H9" s="108">
        <f>(INDEX(calc_cylr_p,4)-INDEX(calc_lrcur,4))*100</f>
        <v>9.985096870342991E-2</v>
      </c>
      <c r="I9" s="109">
        <f>IF($C9="",0,INDEX(calc_arate_p,4))</f>
        <v>1.0014903129657229</v>
      </c>
      <c r="J9" s="109">
        <f>IF($C9="",0,INDEX(calc_amod_p,4))</f>
        <v>1</v>
      </c>
      <c r="K9" s="99">
        <f>IF($C9="",0,INDEX(calc_echg,4))</f>
        <v>-1.4880952380953438E-3</v>
      </c>
      <c r="L9" s="99">
        <f>IF($C9="",0,INDEX(calc_carry,4))</f>
        <v>1.4903129657228842E-3</v>
      </c>
      <c r="M9" s="106">
        <f>INDEX(calc_cylr_p1,4)</f>
        <v>0.67</v>
      </c>
      <c r="N9" s="110">
        <f>N(INDEX(lr_ep,4))</f>
        <v>58500</v>
      </c>
      <c r="O9" s="111">
        <f t="shared" si="0"/>
        <v>1.2935323383084577E-2</v>
      </c>
    </row>
    <row r="10" spans="1:15" x14ac:dyDescent="0.25">
      <c r="A10" s="104" t="str">
        <f>IF(INDEX(lr_key,5)="","",INDEX(lr_bu,5))</f>
        <v>BU-A</v>
      </c>
      <c r="B10" s="104" t="str">
        <f>IF(INDEX(lr_key,5)="","",INDEX(lr_state,5))</f>
        <v>FL</v>
      </c>
      <c r="C10" s="105" t="str">
        <f>INDEX(lr_key,5)</f>
        <v>BU-A|FL</v>
      </c>
      <c r="D10" s="106">
        <f>N(INDEX(lr_lrproj,5))</f>
        <v>0.65400000000000003</v>
      </c>
      <c r="E10" s="34" t="str">
        <f>IF($C10="","",INDEX(lr_basis,5)&amp;"")</f>
        <v>current</v>
      </c>
      <c r="F10" s="106">
        <f>INDEX(calc_lrcur,5)</f>
        <v>0.65400000000000003</v>
      </c>
      <c r="G10" s="107">
        <f>INDEX(calc_cylr_p,5)</f>
        <v>0.6615157643828512</v>
      </c>
      <c r="H10" s="108">
        <f>(INDEX(calc_cylr_p,5)-INDEX(calc_lrcur,5))*100</f>
        <v>0.75157643828511755</v>
      </c>
      <c r="I10" s="109">
        <f>IF($C10="",0,INDEX(calc_arate_p,5))</f>
        <v>1.0031545741324919</v>
      </c>
      <c r="J10" s="109">
        <f>IF($C10="",0,INDEX(calc_amod_p,5))</f>
        <v>1.0083112020337539</v>
      </c>
      <c r="K10" s="99">
        <f>IF($C10="",0,INDEX(calc_echg,5))</f>
        <v>-3.1446540880502027E-3</v>
      </c>
      <c r="L10" s="99">
        <f>IF($C10="",0,INDEX(calc_carry,5))</f>
        <v>3.154574132492094E-3</v>
      </c>
      <c r="M10" s="106">
        <f>INDEX(calc_cylr_p1,5)</f>
        <v>0.65171169872378332</v>
      </c>
      <c r="N10" s="110">
        <f>N(INDEX(lr_ep,5))</f>
        <v>40500</v>
      </c>
      <c r="O10" s="111">
        <f t="shared" si="0"/>
        <v>8.9552238805970154E-3</v>
      </c>
    </row>
    <row r="11" spans="1:15" x14ac:dyDescent="0.25">
      <c r="A11" s="104" t="str">
        <f>IF(INDEX(lr_key,6)="","",INDEX(lr_bu,6))</f>
        <v>BU-A</v>
      </c>
      <c r="B11" s="104" t="str">
        <f>IF(INDEX(lr_key,6)="","",INDEX(lr_state,6))</f>
        <v>GA</v>
      </c>
      <c r="C11" s="105" t="str">
        <f>INDEX(lr_key,6)</f>
        <v>BU-A|GA</v>
      </c>
      <c r="D11" s="106">
        <f>N(INDEX(lr_lrproj,6))</f>
        <v>0.63800000000000001</v>
      </c>
      <c r="E11" s="34" t="str">
        <f>IF($C11="","",INDEX(lr_basis,6)&amp;"")</f>
        <v>current</v>
      </c>
      <c r="F11" s="106">
        <f>INDEX(calc_lrcur,6)</f>
        <v>0.63800000000000001</v>
      </c>
      <c r="G11" s="107">
        <f>INDEX(calc_cylr_p,6)</f>
        <v>0.64514969602643479</v>
      </c>
      <c r="H11" s="108">
        <f>(INDEX(calc_cylr_p,6)-INDEX(calc_lrcur,6))*100</f>
        <v>0.7149696026434782</v>
      </c>
      <c r="I11" s="109">
        <f>IF($C11="",0,INDEX(calc_arate_p,6))</f>
        <v>0.99694186360817705</v>
      </c>
      <c r="J11" s="109">
        <f>IF($C11="",0,INDEX(calc_amod_p,6))</f>
        <v>1.0143083132694677</v>
      </c>
      <c r="K11" s="99">
        <f>IF($C11="",0,INDEX(calc_echg,6))</f>
        <v>3.0675172780434412E-3</v>
      </c>
      <c r="L11" s="99">
        <f>IF($C11="",0,INDEX(calc_carry,6))</f>
        <v>3.3357934459420369E-2</v>
      </c>
      <c r="M11" s="106">
        <f>INDEX(calc_cylr_p1,6)</f>
        <v>0.62544634962153212</v>
      </c>
      <c r="N11" s="110">
        <f>N(INDEX(lr_ep,6))</f>
        <v>99000</v>
      </c>
      <c r="O11" s="111">
        <f t="shared" si="0"/>
        <v>2.1890547263681594E-2</v>
      </c>
    </row>
    <row r="12" spans="1:15" x14ac:dyDescent="0.25">
      <c r="A12" s="104" t="str">
        <f>IF(INDEX(lr_key,7)="","",INDEX(lr_bu,7))</f>
        <v>BU-A</v>
      </c>
      <c r="B12" s="104" t="str">
        <f>IF(INDEX(lr_key,7)="","",INDEX(lr_state,7))</f>
        <v>IL</v>
      </c>
      <c r="C12" s="105" t="str">
        <f>INDEX(lr_key,7)</f>
        <v>BU-A|IL</v>
      </c>
      <c r="D12" s="106">
        <f>N(INDEX(lr_lrproj,7))</f>
        <v>0.66600000000000004</v>
      </c>
      <c r="E12" s="34" t="str">
        <f>IF($C12="","",INDEX(lr_basis,7)&amp;"")</f>
        <v>current</v>
      </c>
      <c r="F12" s="106">
        <f>INDEX(calc_lrcur,7)</f>
        <v>0.66600000000000004</v>
      </c>
      <c r="G12" s="107">
        <f>INDEX(calc_cylr_p,7)</f>
        <v>0.67478789190245081</v>
      </c>
      <c r="H12" s="108">
        <f>(INDEX(calc_cylr_p,7)-INDEX(calc_lrcur,7))*100</f>
        <v>0.87878919024507729</v>
      </c>
      <c r="I12" s="109">
        <f>IF($C12="",0,INDEX(calc_arate_p,7))</f>
        <v>1.0036540803897682</v>
      </c>
      <c r="J12" s="109">
        <f>IF($C12="",0,INDEX(calc_amod_p,7))</f>
        <v>1.0095062160192576</v>
      </c>
      <c r="K12" s="99">
        <f>IF($C12="",0,INDEX(calc_echg,7))</f>
        <v>-3.640776699028847E-3</v>
      </c>
      <c r="L12" s="99">
        <f>IF($C12="",0,INDEX(calc_carry,7))</f>
        <v>3.6540803897684437E-3</v>
      </c>
      <c r="M12" s="106">
        <f>INDEX(calc_cylr_p1,7)</f>
        <v>0.66705445113423401</v>
      </c>
      <c r="N12" s="110">
        <f>N(INDEX(lr_ep,7))</f>
        <v>81000</v>
      </c>
      <c r="O12" s="111">
        <f t="shared" si="0"/>
        <v>1.7910447761194031E-2</v>
      </c>
    </row>
    <row r="13" spans="1:15" x14ac:dyDescent="0.25">
      <c r="A13" s="104" t="str">
        <f>IF(INDEX(lr_key,8)="","",INDEX(lr_bu,8))</f>
        <v>BU-A</v>
      </c>
      <c r="B13" s="104" t="str">
        <f>IF(INDEX(lr_key,8)="","",INDEX(lr_state,8))</f>
        <v>IN</v>
      </c>
      <c r="C13" s="105" t="str">
        <f>INDEX(lr_key,8)</f>
        <v>BU-A|IN</v>
      </c>
      <c r="D13" s="106">
        <f>N(INDEX(lr_lrproj,8))</f>
        <v>0.65</v>
      </c>
      <c r="E13" s="34" t="str">
        <f>IF($C13="","",INDEX(lr_basis,8)&amp;"")</f>
        <v>current</v>
      </c>
      <c r="F13" s="106">
        <f>INDEX(calc_lrcur,8)</f>
        <v>0.65</v>
      </c>
      <c r="G13" s="107">
        <f>INDEX(calc_cylr_p,8)</f>
        <v>0.66364735403435804</v>
      </c>
      <c r="H13" s="108">
        <f>(INDEX(calc_cylr_p,8)-INDEX(calc_lrcur,8))*100</f>
        <v>1.3647354034358017</v>
      </c>
      <c r="I13" s="109">
        <f>IF($C13="",0,INDEX(calc_arate_p,8))</f>
        <v>1.0065869068423174</v>
      </c>
      <c r="J13" s="109">
        <f>IF($C13="",0,INDEX(calc_amod_p,8))</f>
        <v>1.0143147326309971</v>
      </c>
      <c r="K13" s="99">
        <f>IF($C13="",0,INDEX(calc_echg,8))</f>
        <v>-6.54380341880334E-3</v>
      </c>
      <c r="L13" s="99">
        <f>IF($C13="",0,INDEX(calc_carry,8))</f>
        <v>6.5869068423176635E-3</v>
      </c>
      <c r="M13" s="106">
        <f>INDEX(calc_cylr_p1,8)</f>
        <v>0.6645867857816059</v>
      </c>
      <c r="N13" s="110">
        <f>N(INDEX(lr_ep,8))</f>
        <v>63000</v>
      </c>
      <c r="O13" s="111">
        <f t="shared" si="0"/>
        <v>1.3930348258706468E-2</v>
      </c>
    </row>
    <row r="14" spans="1:15" x14ac:dyDescent="0.25">
      <c r="A14" s="104" t="str">
        <f>IF(INDEX(lr_key,9)="","",INDEX(lr_bu,9))</f>
        <v>BU-A</v>
      </c>
      <c r="B14" s="104" t="str">
        <f>IF(INDEX(lr_key,9)="","",INDEX(lr_state,9))</f>
        <v>IA</v>
      </c>
      <c r="C14" s="105" t="str">
        <f>INDEX(lr_key,9)</f>
        <v>BU-A|IA</v>
      </c>
      <c r="D14" s="106">
        <f>N(INDEX(lr_lrproj,9))</f>
        <v>0.63400000000000001</v>
      </c>
      <c r="E14" s="34" t="str">
        <f>IF($C14="","",INDEX(lr_basis,9)&amp;"")</f>
        <v>current</v>
      </c>
      <c r="F14" s="106">
        <f>INDEX(calc_lrcur,9)</f>
        <v>0.63400000000000001</v>
      </c>
      <c r="G14" s="107">
        <f>INDEX(calc_cylr_p,9)</f>
        <v>0.64078637780631431</v>
      </c>
      <c r="H14" s="108">
        <f>(INDEX(calc_cylr_p,9)-INDEX(calc_lrcur,9))*100</f>
        <v>0.67863778063143032</v>
      </c>
      <c r="I14" s="109">
        <f>IF($C14="",0,INDEX(calc_arate_p,9))</f>
        <v>1</v>
      </c>
      <c r="J14" s="109">
        <f>IF($C14="",0,INDEX(calc_amod_p,9))</f>
        <v>1.0107040659405588</v>
      </c>
      <c r="K14" s="99">
        <f>IF($C14="",0,INDEX(calc_echg,9))</f>
        <v>0</v>
      </c>
      <c r="L14" s="99">
        <f>IF($C14="",0,INDEX(calc_carry,9))</f>
        <v>0</v>
      </c>
      <c r="M14" s="106">
        <f>INDEX(calc_cylr_p1,9)</f>
        <v>0.63825893050072702</v>
      </c>
      <c r="N14" s="110">
        <f>N(INDEX(lr_ep,9))</f>
        <v>45000</v>
      </c>
      <c r="O14" s="111">
        <f t="shared" si="0"/>
        <v>9.9502487562189053E-3</v>
      </c>
    </row>
    <row r="15" spans="1:15" x14ac:dyDescent="0.25">
      <c r="A15" s="104" t="str">
        <f>IF(INDEX(lr_key,10)="","",INDEX(lr_bu,10))</f>
        <v>BU-A</v>
      </c>
      <c r="B15" s="104" t="str">
        <f>IF(INDEX(lr_key,10)="","",INDEX(lr_state,10))</f>
        <v>KY</v>
      </c>
      <c r="C15" s="105" t="str">
        <f>INDEX(lr_key,10)</f>
        <v>BU-A|KY</v>
      </c>
      <c r="D15" s="106">
        <f>N(INDEX(lr_lrproj,10))</f>
        <v>0.66200000000000003</v>
      </c>
      <c r="E15" s="34" t="str">
        <f>IF($C15="","",INDEX(lr_basis,10)&amp;"")</f>
        <v>current</v>
      </c>
      <c r="F15" s="106">
        <f>INDEX(calc_lrcur,10)</f>
        <v>0.66200000000000003</v>
      </c>
      <c r="G15" s="107">
        <f>INDEX(calc_cylr_p,10)</f>
        <v>0.67663895299083165</v>
      </c>
      <c r="H15" s="108">
        <f>(INDEX(calc_cylr_p,10)-INDEX(calc_lrcur,10))*100</f>
        <v>1.4638952990831622</v>
      </c>
      <c r="I15" s="109">
        <f>IF($C15="",0,INDEX(calc_arate_p,10))</f>
        <v>1.0148882186796879</v>
      </c>
      <c r="J15" s="109">
        <f>IF($C15="",0,INDEX(calc_amod_p,10))</f>
        <v>1.0071190139247479</v>
      </c>
      <c r="K15" s="99">
        <f>IF($C15="",0,INDEX(calc_echg,10))</f>
        <v>-1.4669811320754622E-2</v>
      </c>
      <c r="L15" s="99">
        <f>IF($C15="",0,INDEX(calc_carry,10))</f>
        <v>4.4066254966729002E-2</v>
      </c>
      <c r="M15" s="106">
        <f>INDEX(calc_cylr_p1,10)</f>
        <v>0.63801046627244096</v>
      </c>
      <c r="N15" s="110">
        <f>N(INDEX(lr_ep,10))</f>
        <v>103500</v>
      </c>
      <c r="O15" s="111">
        <f t="shared" si="0"/>
        <v>2.2885572139303482E-2</v>
      </c>
    </row>
    <row r="16" spans="1:15" x14ac:dyDescent="0.25">
      <c r="A16" s="104" t="str">
        <f>IF(INDEX(lr_key,11)="","",INDEX(lr_bu,11))</f>
        <v>BU-A</v>
      </c>
      <c r="B16" s="104" t="str">
        <f>IF(INDEX(lr_key,11)="","",INDEX(lr_state,11))</f>
        <v>MD</v>
      </c>
      <c r="C16" s="105" t="str">
        <f>INDEX(lr_key,11)</f>
        <v>BU-A|MD</v>
      </c>
      <c r="D16" s="106">
        <f>N(INDEX(lr_lrproj,11))</f>
        <v>0.64600000000000002</v>
      </c>
      <c r="E16" s="34" t="str">
        <f>IF($C16="","",INDEX(lr_basis,11)&amp;"")</f>
        <v>current</v>
      </c>
      <c r="F16" s="106">
        <f>INDEX(calc_lrcur,11)</f>
        <v>0.64600000000000002</v>
      </c>
      <c r="G16" s="107">
        <f>INDEX(calc_cylr_p,11)</f>
        <v>0.65817149124525043</v>
      </c>
      <c r="H16" s="108">
        <f>(INDEX(calc_cylr_p,11)-INDEX(calc_lrcur,11))*100</f>
        <v>1.217149124525041</v>
      </c>
      <c r="I16" s="109">
        <f>IF($C16="",0,INDEX(calc_arate_p,11))</f>
        <v>1.0068549492733754</v>
      </c>
      <c r="J16" s="109">
        <f>IF($C16="",0,INDEX(calc_amod_p,11))</f>
        <v>1.0119047619047619</v>
      </c>
      <c r="K16" s="99">
        <f>IF($C16="",0,INDEX(calc_echg,11))</f>
        <v>-6.8082788671023353E-3</v>
      </c>
      <c r="L16" s="99">
        <f>IF($C16="",0,INDEX(calc_carry,11))</f>
        <v>6.8549492733751549E-3</v>
      </c>
      <c r="M16" s="106">
        <f>INDEX(calc_cylr_p1,11)</f>
        <v>0.65369047619047627</v>
      </c>
      <c r="N16" s="110">
        <f>N(INDEX(lr_ep,11))</f>
        <v>85500</v>
      </c>
      <c r="O16" s="111">
        <f t="shared" si="0"/>
        <v>1.8905472636815919E-2</v>
      </c>
    </row>
    <row r="17" spans="1:15" x14ac:dyDescent="0.25">
      <c r="A17" s="104" t="str">
        <f>IF(INDEX(lr_key,12)="","",INDEX(lr_bu,12))</f>
        <v>BU-A</v>
      </c>
      <c r="B17" s="104" t="str">
        <f>IF(INDEX(lr_key,12)="","",INDEX(lr_state,12))</f>
        <v>MI</v>
      </c>
      <c r="C17" s="105" t="str">
        <f>INDEX(lr_key,12)</f>
        <v>BU-A|MI</v>
      </c>
      <c r="D17" s="106">
        <f>N(INDEX(lr_lrproj,12))</f>
        <v>0.63</v>
      </c>
      <c r="E17" s="34" t="str">
        <f>IF($C17="","",INDEX(lr_basis,12)&amp;"")</f>
        <v>current</v>
      </c>
      <c r="F17" s="106">
        <f>INDEX(calc_lrcur,12)</f>
        <v>0.63</v>
      </c>
      <c r="G17" s="107">
        <f>INDEX(calc_cylr_p,12)</f>
        <v>0.63523605728126498</v>
      </c>
      <c r="H17" s="108">
        <f>(INDEX(calc_cylr_p,12)-INDEX(calc_lrcur,12))*100</f>
        <v>0.52360572812649719</v>
      </c>
      <c r="I17" s="109">
        <f>IF($C17="",0,INDEX(calc_arate_p,12))</f>
        <v>1</v>
      </c>
      <c r="J17" s="109">
        <f>IF($C17="",0,INDEX(calc_amod_p,12))</f>
        <v>1.0083112020337539</v>
      </c>
      <c r="K17" s="99">
        <f>IF($C17="",0,INDEX(calc_echg,12))</f>
        <v>0</v>
      </c>
      <c r="L17" s="99">
        <f>IF($C17="",0,INDEX(calc_carry,12))</f>
        <v>0</v>
      </c>
      <c r="M17" s="106">
        <f>INDEX(calc_cylr_p1,12)</f>
        <v>0.62779567308254369</v>
      </c>
      <c r="N17" s="110">
        <f>N(INDEX(lr_ep,12))</f>
        <v>67500</v>
      </c>
      <c r="O17" s="111">
        <f t="shared" si="0"/>
        <v>1.4925373134328358E-2</v>
      </c>
    </row>
    <row r="18" spans="1:15" x14ac:dyDescent="0.25">
      <c r="A18" s="104" t="str">
        <f>IF(INDEX(lr_key,13)="","",INDEX(lr_bu,13))</f>
        <v>BU-A</v>
      </c>
      <c r="B18" s="104" t="str">
        <f>IF(INDEX(lr_key,13)="","",INDEX(lr_state,13))</f>
        <v>MN</v>
      </c>
      <c r="C18" s="105" t="str">
        <f>INDEX(lr_key,13)</f>
        <v>BU-A|MN</v>
      </c>
      <c r="D18" s="106">
        <f>N(INDEX(lr_lrproj,13))</f>
        <v>0.65800000000000003</v>
      </c>
      <c r="E18" s="34" t="str">
        <f>IF($C18="","",INDEX(lr_basis,13)&amp;"")</f>
        <v>current</v>
      </c>
      <c r="F18" s="106">
        <f>INDEX(calc_lrcur,13)</f>
        <v>0.65800000000000003</v>
      </c>
      <c r="G18" s="107">
        <f>INDEX(calc_cylr_p,13)</f>
        <v>0.66662527065612187</v>
      </c>
      <c r="H18" s="108">
        <f>(INDEX(calc_cylr_p,13)-INDEX(calc_lrcur,13))*100</f>
        <v>0.86252706561218417</v>
      </c>
      <c r="I18" s="109">
        <f>IF($C18="",0,INDEX(calc_arate_p,13))</f>
        <v>0.99999999999999978</v>
      </c>
      <c r="J18" s="109">
        <f>IF($C18="",0,INDEX(calc_amod_p,13))</f>
        <v>1.0131083140670547</v>
      </c>
      <c r="K18" s="99">
        <f>IF($C18="",0,INDEX(calc_echg,13))</f>
        <v>0</v>
      </c>
      <c r="L18" s="99">
        <f>IF($C18="",0,INDEX(calc_carry,13))</f>
        <v>0</v>
      </c>
      <c r="M18" s="106">
        <f>INDEX(calc_cylr_p1,13)</f>
        <v>0.66928187046593102</v>
      </c>
      <c r="N18" s="110">
        <f>N(INDEX(lr_ep,13))</f>
        <v>49500</v>
      </c>
      <c r="O18" s="111">
        <f t="shared" si="0"/>
        <v>1.0945273631840797E-2</v>
      </c>
    </row>
    <row r="19" spans="1:15" x14ac:dyDescent="0.25">
      <c r="A19" s="104" t="str">
        <f>IF(INDEX(lr_key,14)="","",INDEX(lr_bu,14))</f>
        <v>BU-A</v>
      </c>
      <c r="B19" s="104" t="str">
        <f>IF(INDEX(lr_key,14)="","",INDEX(lr_state,14))</f>
        <v>MO</v>
      </c>
      <c r="C19" s="105" t="str">
        <f>INDEX(lr_key,14)</f>
        <v>BU-A|MO</v>
      </c>
      <c r="D19" s="106">
        <f>N(INDEX(lr_lrproj,14))</f>
        <v>0.64200000000000002</v>
      </c>
      <c r="E19" s="34" t="str">
        <f>IF($C19="","",INDEX(lr_basis,14)&amp;"")</f>
        <v>current</v>
      </c>
      <c r="F19" s="106">
        <f>INDEX(calc_lrcur,14)</f>
        <v>0.64200000000000002</v>
      </c>
      <c r="G19" s="107">
        <f>INDEX(calc_cylr_p,14)</f>
        <v>0.64099775106279444</v>
      </c>
      <c r="H19" s="108">
        <f>(INDEX(calc_cylr_p,14)-INDEX(calc_lrcur,14))*100</f>
        <v>-0.10022489372055743</v>
      </c>
      <c r="I19" s="109">
        <f>IF($C19="",0,INDEX(calc_arate_p,14))</f>
        <v>0.9890368664800232</v>
      </c>
      <c r="J19" s="109">
        <f>IF($C19="",0,INDEX(calc_amod_p,14))</f>
        <v>1.0095062160192576</v>
      </c>
      <c r="K19" s="99">
        <f>IF($C19="",0,INDEX(calc_echg,14))</f>
        <v>1.108465608465603E-2</v>
      </c>
      <c r="L19" s="99">
        <f>IF($C19="",0,INDEX(calc_carry,14))</f>
        <v>2.7362045056124051E-2</v>
      </c>
      <c r="M19" s="106">
        <f>INDEX(calc_cylr_p1,14)</f>
        <v>0.61902907619269565</v>
      </c>
      <c r="N19" s="110">
        <f>N(INDEX(lr_ep,14))</f>
        <v>108000</v>
      </c>
      <c r="O19" s="111">
        <f t="shared" si="0"/>
        <v>2.3880597014925373E-2</v>
      </c>
    </row>
    <row r="20" spans="1:15" x14ac:dyDescent="0.25">
      <c r="A20" s="104" t="str">
        <f>IF(INDEX(lr_key,15)="","",INDEX(lr_bu,15))</f>
        <v>BU-A</v>
      </c>
      <c r="B20" s="104" t="str">
        <f>IF(INDEX(lr_key,15)="","",INDEX(lr_state,15))</f>
        <v>NC</v>
      </c>
      <c r="C20" s="105" t="str">
        <f>INDEX(lr_key,15)</f>
        <v>BU-A|NC</v>
      </c>
      <c r="D20" s="106">
        <f>N(INDEX(lr_lrproj,15))</f>
        <v>0.67</v>
      </c>
      <c r="E20" s="34" t="str">
        <f>IF($C20="","",INDEX(lr_basis,15)&amp;"")</f>
        <v>current</v>
      </c>
      <c r="F20" s="106">
        <f>INDEX(calc_lrcur,15)</f>
        <v>0.67</v>
      </c>
      <c r="G20" s="107">
        <f>INDEX(calc_cylr_p,15)</f>
        <v>0.67959087086276815</v>
      </c>
      <c r="H20" s="108">
        <f>(INDEX(calc_cylr_p,15)-INDEX(calc_lrcur,15))*100</f>
        <v>0.95908708627681083</v>
      </c>
      <c r="I20" s="109">
        <f>IF($C20="",0,INDEX(calc_arate_p,15))</f>
        <v>1</v>
      </c>
      <c r="J20" s="109">
        <f>IF($C20="",0,INDEX(calc_amod_p,15))</f>
        <v>1.0143147326309971</v>
      </c>
      <c r="K20" s="99">
        <f>IF($C20="",0,INDEX(calc_echg,15))</f>
        <v>0</v>
      </c>
      <c r="L20" s="99">
        <f>IF($C20="",0,INDEX(calc_carry,15))</f>
        <v>0</v>
      </c>
      <c r="M20" s="106">
        <f>INDEX(calc_cylr_p1,15)</f>
        <v>0.68503560995950163</v>
      </c>
      <c r="N20" s="110">
        <f>N(INDEX(lr_ep,15))</f>
        <v>90000</v>
      </c>
      <c r="O20" s="111">
        <f t="shared" si="0"/>
        <v>1.9900497512437811E-2</v>
      </c>
    </row>
    <row r="21" spans="1:15" x14ac:dyDescent="0.25">
      <c r="A21" s="104" t="str">
        <f>IF(INDEX(lr_key,16)="","",INDEX(lr_bu,16))</f>
        <v>BU-A</v>
      </c>
      <c r="B21" s="104" t="str">
        <f>IF(INDEX(lr_key,16)="","",INDEX(lr_state,16))</f>
        <v>NJ</v>
      </c>
      <c r="C21" s="105" t="str">
        <f>INDEX(lr_key,16)</f>
        <v>BU-A|NJ</v>
      </c>
      <c r="D21" s="106">
        <f>N(INDEX(lr_lrproj,16))</f>
        <v>0.65400000000000003</v>
      </c>
      <c r="E21" s="34" t="str">
        <f>IF($C21="","",INDEX(lr_basis,16)&amp;"")</f>
        <v>current</v>
      </c>
      <c r="F21" s="106">
        <f>INDEX(calc_lrcur,16)</f>
        <v>0.65400000000000003</v>
      </c>
      <c r="G21" s="107">
        <f>INDEX(calc_cylr_p,16)</f>
        <v>0.66140573224537402</v>
      </c>
      <c r="H21" s="108">
        <f>(INDEX(calc_cylr_p,16)-INDEX(calc_lrcur,16))*100</f>
        <v>0.74057322453739971</v>
      </c>
      <c r="I21" s="109">
        <f>IF($C21="",0,INDEX(calc_arate_p,16))</f>
        <v>1.0006131207847948</v>
      </c>
      <c r="J21" s="109">
        <f>IF($C21="",0,INDEX(calc_amod_p,16))</f>
        <v>1.0107040659405588</v>
      </c>
      <c r="K21" s="99">
        <f>IF($C21="",0,INDEX(calc_echg,16))</f>
        <v>-6.1274509803932453E-4</v>
      </c>
      <c r="L21" s="99">
        <f>IF($C21="",0,INDEX(calc_carry,16))</f>
        <v>6.1312078479458521E-4</v>
      </c>
      <c r="M21" s="106">
        <f>INDEX(calc_cylr_p1,16)</f>
        <v>0.65839328162062394</v>
      </c>
      <c r="N21" s="110">
        <f>N(INDEX(lr_ep,16))</f>
        <v>72000</v>
      </c>
      <c r="O21" s="111">
        <f t="shared" si="0"/>
        <v>1.5920398009950248E-2</v>
      </c>
    </row>
    <row r="22" spans="1:15" x14ac:dyDescent="0.25">
      <c r="A22" s="104" t="str">
        <f>IF(INDEX(lr_key,17)="","",INDEX(lr_bu,17))</f>
        <v>BU-A</v>
      </c>
      <c r="B22" s="104" t="str">
        <f>IF(INDEX(lr_key,17)="","",INDEX(lr_state,17))</f>
        <v>NY</v>
      </c>
      <c r="C22" s="105" t="str">
        <f>INDEX(lr_key,17)</f>
        <v>BU-A|NY</v>
      </c>
      <c r="D22" s="106">
        <f>N(INDEX(lr_lrproj,17))</f>
        <v>0.63800000000000001</v>
      </c>
      <c r="E22" s="34" t="str">
        <f>IF($C22="","",INDEX(lr_basis,17)&amp;"")</f>
        <v>current</v>
      </c>
      <c r="F22" s="106">
        <f>INDEX(calc_lrcur,17)</f>
        <v>0.63800000000000001</v>
      </c>
      <c r="G22" s="107">
        <f>INDEX(calc_cylr_p,17)</f>
        <v>0.64358332785462757</v>
      </c>
      <c r="H22" s="108">
        <f>(INDEX(calc_cylr_p,17)-INDEX(calc_lrcur,17))*100</f>
        <v>0.55833278546275622</v>
      </c>
      <c r="I22" s="109">
        <f>IF($C22="",0,INDEX(calc_arate_p,17))</f>
        <v>1.0016207455429496</v>
      </c>
      <c r="J22" s="109">
        <f>IF($C22="",0,INDEX(calc_amod_p,17))</f>
        <v>1.0071190139247479</v>
      </c>
      <c r="K22" s="99">
        <f>IF($C22="",0,INDEX(calc_echg,17))</f>
        <v>-1.6181229773460926E-3</v>
      </c>
      <c r="L22" s="99">
        <f>IF($C22="",0,INDEX(calc_carry,17))</f>
        <v>1.6207455429497752E-3</v>
      </c>
      <c r="M22" s="106">
        <f>INDEX(calc_cylr_p1,17)</f>
        <v>0.63255798256709916</v>
      </c>
      <c r="N22" s="110">
        <f>N(INDEX(lr_ep,17))</f>
        <v>54000</v>
      </c>
      <c r="O22" s="111">
        <f t="shared" si="0"/>
        <v>1.1940298507462687E-2</v>
      </c>
    </row>
    <row r="23" spans="1:15" x14ac:dyDescent="0.25">
      <c r="A23" s="104" t="str">
        <f>IF(INDEX(lr_key,18)="","",INDEX(lr_bu,18))</f>
        <v>BU-A</v>
      </c>
      <c r="B23" s="104" t="str">
        <f>IF(INDEX(lr_key,18)="","",INDEX(lr_state,18))</f>
        <v>OH</v>
      </c>
      <c r="C23" s="105" t="str">
        <f>INDEX(lr_key,18)</f>
        <v>BU-A|OH</v>
      </c>
      <c r="D23" s="106">
        <f>N(INDEX(lr_lrproj,18))</f>
        <v>0.66600000000000004</v>
      </c>
      <c r="E23" s="34" t="str">
        <f>IF($C23="","",INDEX(lr_basis,18)&amp;"")</f>
        <v>current</v>
      </c>
      <c r="F23" s="106">
        <f>INDEX(calc_lrcur,18)</f>
        <v>0.66600000000000004</v>
      </c>
      <c r="G23" s="107">
        <f>INDEX(calc_cylr_p,18)</f>
        <v>0.67159663865546215</v>
      </c>
      <c r="H23" s="108">
        <f>(INDEX(calc_cylr_p,18)-INDEX(calc_lrcur,18))*100</f>
        <v>0.55966386554621161</v>
      </c>
      <c r="I23" s="109">
        <f>IF($C23="",0,INDEX(calc_arate_p,18))</f>
        <v>0.9965397923875432</v>
      </c>
      <c r="J23" s="109">
        <f>IF($C23="",0,INDEX(calc_amod_p,18))</f>
        <v>1.0119047619047619</v>
      </c>
      <c r="K23" s="99">
        <f>IF($C23="",0,INDEX(calc_echg,18))</f>
        <v>3.4722222222223209E-3</v>
      </c>
      <c r="L23" s="99">
        <f>IF($C23="",0,INDEX(calc_carry,18))</f>
        <v>2.9619377162629634E-2</v>
      </c>
      <c r="M23" s="106">
        <f>INDEX(calc_cylr_p1,18)</f>
        <v>0.65227661167975726</v>
      </c>
      <c r="N23" s="110">
        <f>N(INDEX(lr_ep,18))</f>
        <v>36000</v>
      </c>
      <c r="O23" s="111">
        <f t="shared" si="0"/>
        <v>7.9601990049751239E-3</v>
      </c>
    </row>
    <row r="24" spans="1:15" x14ac:dyDescent="0.25">
      <c r="A24" s="104" t="str">
        <f>IF(INDEX(lr_key,19)="","",INDEX(lr_bu,19))</f>
        <v>BU-A</v>
      </c>
      <c r="B24" s="104" t="str">
        <f>IF(INDEX(lr_key,19)="","",INDEX(lr_state,19))</f>
        <v>PA</v>
      </c>
      <c r="C24" s="105" t="str">
        <f>INDEX(lr_key,19)</f>
        <v>BU-A|PA</v>
      </c>
      <c r="D24" s="106">
        <f>N(INDEX(lr_lrproj,19))</f>
        <v>0.65</v>
      </c>
      <c r="E24" s="34" t="str">
        <f>IF($C24="","",INDEX(lr_basis,19)&amp;"")</f>
        <v>current</v>
      </c>
      <c r="F24" s="106">
        <f>INDEX(calc_lrcur,19)</f>
        <v>0.65</v>
      </c>
      <c r="G24" s="107">
        <f>INDEX(calc_cylr_p,19)</f>
        <v>0.65932684588075419</v>
      </c>
      <c r="H24" s="108">
        <f>(INDEX(calc_cylr_p,19)-INDEX(calc_lrcur,19))*100</f>
        <v>0.93268458807541643</v>
      </c>
      <c r="I24" s="109">
        <f>IF($C24="",0,INDEX(calc_arate_p,19))</f>
        <v>1.005988023952096</v>
      </c>
      <c r="J24" s="109">
        <f>IF($C24="",0,INDEX(calc_amod_p,19))</f>
        <v>1.0083112020337539</v>
      </c>
      <c r="K24" s="99">
        <f>IF($C24="",0,INDEX(calc_echg,19))</f>
        <v>-5.9523809523810423E-3</v>
      </c>
      <c r="L24" s="99">
        <f>IF($C24="",0,INDEX(calc_carry,19))</f>
        <v>5.9880239520959666E-3</v>
      </c>
      <c r="M24" s="106">
        <f>INDEX(calc_cylr_p1,19)</f>
        <v>0.64772569445024353</v>
      </c>
      <c r="N24" s="110">
        <f>N(INDEX(lr_ep,19))</f>
        <v>94500</v>
      </c>
      <c r="O24" s="111">
        <f t="shared" si="0"/>
        <v>2.0895522388059702E-2</v>
      </c>
    </row>
    <row r="25" spans="1:15" x14ac:dyDescent="0.25">
      <c r="A25" s="104" t="str">
        <f>IF(INDEX(lr_key,20)="","",INDEX(lr_bu,20))</f>
        <v>BU-A</v>
      </c>
      <c r="B25" s="104" t="str">
        <f>IF(INDEX(lr_key,20)="","",INDEX(lr_state,20))</f>
        <v>TN</v>
      </c>
      <c r="C25" s="105" t="str">
        <f>INDEX(lr_key,20)</f>
        <v>BU-A|TN</v>
      </c>
      <c r="D25" s="106">
        <f>N(INDEX(lr_lrproj,20))</f>
        <v>0.63400000000000001</v>
      </c>
      <c r="E25" s="34" t="str">
        <f>IF($C25="","",INDEX(lr_basis,20)&amp;"")</f>
        <v>current</v>
      </c>
      <c r="F25" s="106">
        <f>INDEX(calc_lrcur,20)</f>
        <v>0.63400000000000001</v>
      </c>
      <c r="G25" s="107">
        <f>INDEX(calc_cylr_p,20)</f>
        <v>0.6485565974699331</v>
      </c>
      <c r="H25" s="108">
        <f>(INDEX(calc_cylr_p,20)-INDEX(calc_lrcur,20))*100</f>
        <v>1.4556597469933097</v>
      </c>
      <c r="I25" s="109">
        <f>IF($C25="",0,INDEX(calc_arate_p,20))</f>
        <v>1.0097241516173845</v>
      </c>
      <c r="J25" s="109">
        <f>IF($C25="",0,INDEX(calc_amod_p,20))</f>
        <v>1.0131083140670547</v>
      </c>
      <c r="K25" s="99">
        <f>IF($C25="",0,INDEX(calc_echg,20))</f>
        <v>-9.630503144654079E-3</v>
      </c>
      <c r="L25" s="99">
        <f>IF($C25="",0,INDEX(calc_carry,20))</f>
        <v>9.7241516173847131E-3</v>
      </c>
      <c r="M25" s="106">
        <f>INDEX(calc_cylr_p1,20)</f>
        <v>0.64487037367082101</v>
      </c>
      <c r="N25" s="110">
        <f>N(INDEX(lr_ep,20))</f>
        <v>76500</v>
      </c>
      <c r="O25" s="111">
        <f t="shared" si="0"/>
        <v>1.6915422885572139E-2</v>
      </c>
    </row>
    <row r="26" spans="1:15" x14ac:dyDescent="0.25">
      <c r="A26" s="104" t="str">
        <f>IF(INDEX(lr_key,21)="","",INDEX(lr_bu,21))</f>
        <v>BU-A</v>
      </c>
      <c r="B26" s="104" t="str">
        <f>IF(INDEX(lr_key,21)="","",INDEX(lr_state,21))</f>
        <v>TX</v>
      </c>
      <c r="C26" s="105" t="str">
        <f>INDEX(lr_key,21)</f>
        <v>BU-A|TX</v>
      </c>
      <c r="D26" s="106">
        <f>N(INDEX(lr_lrproj,21))</f>
        <v>0.66200000000000003</v>
      </c>
      <c r="E26" s="34" t="str">
        <f>IF($C26="","",INDEX(lr_basis,21)&amp;"")</f>
        <v>current</v>
      </c>
      <c r="F26" s="106">
        <f>INDEX(calc_lrcur,21)</f>
        <v>0.66200000000000003</v>
      </c>
      <c r="G26" s="107">
        <f>INDEX(calc_cylr_p,21)</f>
        <v>0.66829311500474853</v>
      </c>
      <c r="H26" s="108">
        <f>(INDEX(calc_cylr_p,21)-INDEX(calc_lrcur,21))*100</f>
        <v>0.62931150047484952</v>
      </c>
      <c r="I26" s="109">
        <f>IF($C26="",0,INDEX(calc_arate_p,21))</f>
        <v>1</v>
      </c>
      <c r="J26" s="109">
        <f>IF($C26="",0,INDEX(calc_amod_p,21))</f>
        <v>1.0095062160192576</v>
      </c>
      <c r="K26" s="99">
        <f>IF($C26="",0,INDEX(calc_echg,21))</f>
        <v>0</v>
      </c>
      <c r="L26" s="99">
        <f>IF($C26="",0,INDEX(calc_carry,21))</f>
        <v>0</v>
      </c>
      <c r="M26" s="106">
        <f>INDEX(calc_cylr_p1,21)</f>
        <v>0.66304811809438879</v>
      </c>
      <c r="N26" s="110">
        <f>N(INDEX(lr_ep,21))</f>
        <v>58500</v>
      </c>
      <c r="O26" s="111">
        <f t="shared" si="0"/>
        <v>1.2935323383084577E-2</v>
      </c>
    </row>
    <row r="27" spans="1:15" x14ac:dyDescent="0.25">
      <c r="A27" s="104" t="str">
        <f>IF(INDEX(lr_key,22)="","",INDEX(lr_bu,22))</f>
        <v>BU-B</v>
      </c>
      <c r="B27" s="104" t="str">
        <f>IF(INDEX(lr_key,22)="","",INDEX(lr_state,22))</f>
        <v>AZ</v>
      </c>
      <c r="C27" s="105" t="str">
        <f>INDEX(lr_key,22)</f>
        <v>BU-B|AZ</v>
      </c>
      <c r="D27" s="106">
        <f>N(INDEX(lr_lrproj,22))</f>
        <v>0.64600000000000002</v>
      </c>
      <c r="E27" s="34" t="str">
        <f>IF($C27="","",INDEX(lr_basis,22)&amp;"")</f>
        <v>current</v>
      </c>
      <c r="F27" s="106">
        <f>INDEX(calc_lrcur,22)</f>
        <v>0.64600000000000002</v>
      </c>
      <c r="G27" s="107">
        <f>INDEX(calc_cylr_p,22)</f>
        <v>0.64965134533517821</v>
      </c>
      <c r="H27" s="108">
        <f>(INDEX(calc_cylr_p,22)-INDEX(calc_lrcur,22))*100</f>
        <v>0.3651345335178191</v>
      </c>
      <c r="I27" s="109">
        <f>IF($C27="",0,INDEX(calc_arate_p,22))</f>
        <v>0.99145975603886694</v>
      </c>
      <c r="J27" s="109">
        <f>IF($C27="",0,INDEX(calc_amod_p,22))</f>
        <v>1.0143147326309971</v>
      </c>
      <c r="K27" s="99">
        <f>IF($C27="",0,INDEX(calc_echg,22))</f>
        <v>8.6138079827400293E-3</v>
      </c>
      <c r="L27" s="99">
        <f>IF($C27="",0,INDEX(calc_carry,22))</f>
        <v>3.0980443536527513E-2</v>
      </c>
      <c r="M27" s="106">
        <f>INDEX(calc_cylr_p1,22)</f>
        <v>0.63517811550840031</v>
      </c>
      <c r="N27" s="110">
        <f>N(INDEX(lr_ep,22))</f>
        <v>40500</v>
      </c>
      <c r="O27" s="111">
        <f t="shared" si="0"/>
        <v>8.9552238805970154E-3</v>
      </c>
    </row>
    <row r="28" spans="1:15" x14ac:dyDescent="0.25">
      <c r="A28" s="104" t="str">
        <f>IF(INDEX(lr_key,23)="","",INDEX(lr_bu,23))</f>
        <v>BU-B</v>
      </c>
      <c r="B28" s="104" t="str">
        <f>IF(INDEX(lr_key,23)="","",INDEX(lr_state,23))</f>
        <v>CA</v>
      </c>
      <c r="C28" s="105" t="str">
        <f>INDEX(lr_key,23)</f>
        <v>BU-B|CA</v>
      </c>
      <c r="D28" s="106">
        <f>N(INDEX(lr_lrproj,23))</f>
        <v>0.63</v>
      </c>
      <c r="E28" s="34" t="str">
        <f>IF($C28="","",INDEX(lr_basis,23)&amp;"")</f>
        <v>proposed</v>
      </c>
      <c r="F28" s="106">
        <f>INDEX(calc_lrcur,23)</f>
        <v>0.6804</v>
      </c>
      <c r="G28" s="107">
        <f>INDEX(calc_cylr_p,23)</f>
        <v>0.69699115483717922</v>
      </c>
      <c r="H28" s="108">
        <f>(INDEX(calc_cylr_p,23)-INDEX(calc_lrcur,23))*100</f>
        <v>1.6591154837179212</v>
      </c>
      <c r="I28" s="109">
        <f>IF($C28="",0,INDEX(calc_arate_p,23))</f>
        <v>1.0135354629128315</v>
      </c>
      <c r="J28" s="109">
        <f>IF($C28="",0,INDEX(calc_amod_p,23))</f>
        <v>1.0107040659405588</v>
      </c>
      <c r="K28" s="99">
        <f>IF($C28="",0,INDEX(calc_echg,23))</f>
        <v>-1.3354700854700807E-2</v>
      </c>
      <c r="L28" s="99">
        <f>IF($C28="",0,INDEX(calc_carry,23))</f>
        <v>1.3535462912831697E-2</v>
      </c>
      <c r="M28" s="106">
        <f>INDEX(calc_cylr_p1,23)</f>
        <v>0.69182033134987631</v>
      </c>
      <c r="N28" s="110">
        <f>N(INDEX(lr_ep,23))</f>
        <v>99000</v>
      </c>
      <c r="O28" s="111">
        <f t="shared" si="0"/>
        <v>2.1890547263681594E-2</v>
      </c>
    </row>
    <row r="29" spans="1:15" x14ac:dyDescent="0.25">
      <c r="A29" s="104" t="str">
        <f>IF(INDEX(lr_key,24)="","",INDEX(lr_bu,24))</f>
        <v>BU-B</v>
      </c>
      <c r="B29" s="104" t="str">
        <f>IF(INDEX(lr_key,24)="","",INDEX(lr_state,24))</f>
        <v>CO</v>
      </c>
      <c r="C29" s="105" t="str">
        <f>INDEX(lr_key,24)</f>
        <v>BU-B|CO</v>
      </c>
      <c r="D29" s="106">
        <f>N(INDEX(lr_lrproj,24))</f>
        <v>0.65800000000000003</v>
      </c>
      <c r="E29" s="34" t="str">
        <f>IF($C29="","",INDEX(lr_basis,24)&amp;"")</f>
        <v>current</v>
      </c>
      <c r="F29" s="106">
        <f>INDEX(calc_lrcur,24)</f>
        <v>0.65800000000000003</v>
      </c>
      <c r="G29" s="107">
        <f>INDEX(calc_cylr_p,24)</f>
        <v>0.67292803988016381</v>
      </c>
      <c r="H29" s="108">
        <f>(INDEX(calc_cylr_p,24)-INDEX(calc_lrcur,24))*100</f>
        <v>1.4928039880163779</v>
      </c>
      <c r="I29" s="109">
        <f>IF($C29="",0,INDEX(calc_arate_p,24))</f>
        <v>0.99554699171046557</v>
      </c>
      <c r="J29" s="109">
        <f>IF($C29="",0,INDEX(calc_amod_p,24))</f>
        <v>1.0071190139247479</v>
      </c>
      <c r="K29" s="99">
        <f>IF($C29="",0,INDEX(calc_echg,24))</f>
        <v>4.4729262672811299E-3</v>
      </c>
      <c r="L29" s="99">
        <f>IF($C29="",0,INDEX(calc_carry,24))</f>
        <v>2.3332654725072954E-2</v>
      </c>
      <c r="M29" s="106">
        <f>INDEX(calc_cylr_p1,24)</f>
        <v>0.64736715173721449</v>
      </c>
      <c r="N29" s="110">
        <f>N(INDEX(lr_ep,24))</f>
        <v>81000</v>
      </c>
      <c r="O29" s="111">
        <f t="shared" si="0"/>
        <v>1.7910447761194031E-2</v>
      </c>
    </row>
    <row r="30" spans="1:15" x14ac:dyDescent="0.25">
      <c r="A30" s="104" t="str">
        <f>IF(INDEX(lr_key,25)="","",INDEX(lr_bu,25))</f>
        <v>BU-B</v>
      </c>
      <c r="B30" s="104" t="str">
        <f>IF(INDEX(lr_key,25)="","",INDEX(lr_state,25))</f>
        <v>CT</v>
      </c>
      <c r="C30" s="105" t="str">
        <f>INDEX(lr_key,25)</f>
        <v>BU-B|CT</v>
      </c>
      <c r="D30" s="106">
        <f>N(INDEX(lr_lrproj,25))</f>
        <v>0.64200000000000002</v>
      </c>
      <c r="E30" s="34" t="str">
        <f>IF($C30="","",INDEX(lr_basis,25)&amp;"")</f>
        <v>current</v>
      </c>
      <c r="F30" s="106">
        <f>INDEX(calc_lrcur,25)</f>
        <v>0.64200000000000002</v>
      </c>
      <c r="G30" s="107">
        <f>INDEX(calc_cylr_p,25)</f>
        <v>0.65236102809324559</v>
      </c>
      <c r="H30" s="108">
        <f>(INDEX(calc_cylr_p,25)-INDEX(calc_lrcur,25))*100</f>
        <v>1.0361028093245572</v>
      </c>
      <c r="I30" s="109">
        <f>IF($C30="",0,INDEX(calc_arate_p,25))</f>
        <v>1.00418410041841</v>
      </c>
      <c r="J30" s="109">
        <f>IF($C30="",0,INDEX(calc_amod_p,25))</f>
        <v>1.0119047619047619</v>
      </c>
      <c r="K30" s="99">
        <f>IF($C30="",0,INDEX(calc_echg,25))</f>
        <v>-4.1666666666666519E-3</v>
      </c>
      <c r="L30" s="99">
        <f>IF($C30="",0,INDEX(calc_carry,25))</f>
        <v>5.1715481171548117E-2</v>
      </c>
      <c r="M30" s="106">
        <f>INDEX(calc_cylr_p1,25)</f>
        <v>0.62028280440120032</v>
      </c>
      <c r="N30" s="110">
        <f>N(INDEX(lr_ep,25))</f>
        <v>63000</v>
      </c>
      <c r="O30" s="111">
        <f t="shared" si="0"/>
        <v>1.3930348258706468E-2</v>
      </c>
    </row>
    <row r="31" spans="1:15" x14ac:dyDescent="0.25">
      <c r="A31" s="104" t="str">
        <f>IF(INDEX(lr_key,26)="","",INDEX(lr_bu,26))</f>
        <v>BU-B</v>
      </c>
      <c r="B31" s="104" t="str">
        <f>IF(INDEX(lr_key,26)="","",INDEX(lr_state,26))</f>
        <v>FL</v>
      </c>
      <c r="C31" s="105" t="str">
        <f>INDEX(lr_key,26)</f>
        <v>BU-B|FL</v>
      </c>
      <c r="D31" s="106">
        <f>N(INDEX(lr_lrproj,26))</f>
        <v>0.67</v>
      </c>
      <c r="E31" s="34" t="str">
        <f>IF($C31="","",INDEX(lr_basis,26)&amp;"")</f>
        <v>current</v>
      </c>
      <c r="F31" s="106">
        <f>INDEX(calc_lrcur,26)</f>
        <v>0.67</v>
      </c>
      <c r="G31" s="107">
        <f>INDEX(calc_cylr_p,26)</f>
        <v>0.67104734216945827</v>
      </c>
      <c r="H31" s="108">
        <f>(INDEX(calc_cylr_p,26)-INDEX(calc_lrcur,26))*100</f>
        <v>0.10473421694582319</v>
      </c>
      <c r="I31" s="109">
        <f>IF($C31="",0,INDEX(calc_arate_p,26))</f>
        <v>0.99330761698144854</v>
      </c>
      <c r="J31" s="109">
        <f>IF($C31="",0,INDEX(calc_amod_p,26))</f>
        <v>1.0083112020337539</v>
      </c>
      <c r="K31" s="99">
        <f>IF($C31="",0,INDEX(calc_echg,26))</f>
        <v>6.7374727668845225E-3</v>
      </c>
      <c r="L31" s="99">
        <f>IF($C31="",0,INDEX(calc_carry,26))</f>
        <v>2.9590936879521301E-2</v>
      </c>
      <c r="M31" s="106">
        <f>INDEX(calc_cylr_p1,26)</f>
        <v>0.64412718127953783</v>
      </c>
      <c r="N31" s="110">
        <f>N(INDEX(lr_ep,26))</f>
        <v>45000</v>
      </c>
      <c r="O31" s="111">
        <f t="shared" si="0"/>
        <v>9.9502487562189053E-3</v>
      </c>
    </row>
    <row r="32" spans="1:15" x14ac:dyDescent="0.25">
      <c r="A32" s="104" t="str">
        <f>IF(INDEX(lr_key,27)="","",INDEX(lr_bu,27))</f>
        <v>BU-B</v>
      </c>
      <c r="B32" s="104" t="str">
        <f>IF(INDEX(lr_key,27)="","",INDEX(lr_state,27))</f>
        <v>GA</v>
      </c>
      <c r="C32" s="105" t="str">
        <f>INDEX(lr_key,27)</f>
        <v>BU-B|GA</v>
      </c>
      <c r="D32" s="106">
        <f>N(INDEX(lr_lrproj,27))</f>
        <v>0.65400000000000003</v>
      </c>
      <c r="E32" s="34" t="str">
        <f>IF($C32="","",INDEX(lr_basis,27)&amp;"")</f>
        <v>current</v>
      </c>
      <c r="F32" s="106">
        <f>INDEX(calc_lrcur,27)</f>
        <v>0.65400000000000003</v>
      </c>
      <c r="G32" s="107">
        <f>INDEX(calc_cylr_p,27)</f>
        <v>0.66257283739985384</v>
      </c>
      <c r="H32" s="108">
        <f>(INDEX(calc_cylr_p,27)-INDEX(calc_lrcur,27))*100</f>
        <v>0.85728373998538165</v>
      </c>
      <c r="I32" s="109">
        <f>IF($C32="",0,INDEX(calc_arate_p,27))</f>
        <v>1</v>
      </c>
      <c r="J32" s="109">
        <f>IF($C32="",0,INDEX(calc_amod_p,27))</f>
        <v>1.0131083140670547</v>
      </c>
      <c r="K32" s="99">
        <f>IF($C32="",0,INDEX(calc_echg,27))</f>
        <v>0</v>
      </c>
      <c r="L32" s="99">
        <f>IF($C32="",0,INDEX(calc_carry,27))</f>
        <v>0</v>
      </c>
      <c r="M32" s="106">
        <f>INDEX(calc_cylr_p1,27)</f>
        <v>0.66521328766674614</v>
      </c>
      <c r="N32" s="110">
        <f>N(INDEX(lr_ep,27))</f>
        <v>103500</v>
      </c>
      <c r="O32" s="111">
        <f t="shared" si="0"/>
        <v>2.2885572139303482E-2</v>
      </c>
    </row>
    <row r="33" spans="1:15" x14ac:dyDescent="0.25">
      <c r="A33" s="104" t="str">
        <f>IF(INDEX(lr_key,28)="","",INDEX(lr_bu,28))</f>
        <v>BU-B</v>
      </c>
      <c r="B33" s="104" t="str">
        <f>IF(INDEX(lr_key,28)="","",INDEX(lr_state,28))</f>
        <v>IL</v>
      </c>
      <c r="C33" s="105" t="str">
        <f>INDEX(lr_key,28)</f>
        <v>BU-B|IL</v>
      </c>
      <c r="D33" s="106">
        <f>N(INDEX(lr_lrproj,28))</f>
        <v>0.63800000000000001</v>
      </c>
      <c r="E33" s="34" t="str">
        <f>IF($C33="","",INDEX(lr_basis,28)&amp;"")</f>
        <v>current</v>
      </c>
      <c r="F33" s="106">
        <f>INDEX(calc_lrcur,28)</f>
        <v>0.63800000000000001</v>
      </c>
      <c r="G33" s="107">
        <f>INDEX(calc_cylr_p,28)</f>
        <v>0.64484001391393286</v>
      </c>
      <c r="H33" s="108">
        <f>(INDEX(calc_cylr_p,28)-INDEX(calc_lrcur,28))*100</f>
        <v>0.6840013913932852</v>
      </c>
      <c r="I33" s="109">
        <f>IF($C33="",0,INDEX(calc_arate_p,28))</f>
        <v>1.0012033694344162</v>
      </c>
      <c r="J33" s="109">
        <f>IF($C33="",0,INDEX(calc_amod_p,28))</f>
        <v>1.0095062160192576</v>
      </c>
      <c r="K33" s="99">
        <f>IF($C33="",0,INDEX(calc_echg,28))</f>
        <v>-1.2019230769230171E-3</v>
      </c>
      <c r="L33" s="99">
        <f>IF($C33="",0,INDEX(calc_carry,28))</f>
        <v>1.2033694344164569E-3</v>
      </c>
      <c r="M33" s="106">
        <f>INDEX(calc_cylr_p1,28)</f>
        <v>0.63901011985531719</v>
      </c>
      <c r="N33" s="110">
        <f>N(INDEX(lr_ep,28))</f>
        <v>85500</v>
      </c>
      <c r="O33" s="111">
        <f t="shared" si="0"/>
        <v>1.8905472636815919E-2</v>
      </c>
    </row>
    <row r="34" spans="1:15" x14ac:dyDescent="0.25">
      <c r="A34" s="104" t="str">
        <f>IF(INDEX(lr_key,29)="","",INDEX(lr_bu,29))</f>
        <v>BU-B</v>
      </c>
      <c r="B34" s="104" t="str">
        <f>IF(INDEX(lr_key,29)="","",INDEX(lr_state,29))</f>
        <v>IN</v>
      </c>
      <c r="C34" s="105" t="str">
        <f>INDEX(lr_key,29)</f>
        <v>BU-B|IN</v>
      </c>
      <c r="D34" s="106">
        <f>N(INDEX(lr_lrproj,29))</f>
        <v>0.66600000000000004</v>
      </c>
      <c r="E34" s="34" t="str">
        <f>IF($C34="","",INDEX(lr_basis,29)&amp;"")</f>
        <v>current</v>
      </c>
      <c r="F34" s="106">
        <f>INDEX(calc_lrcur,29)</f>
        <v>0.66600000000000004</v>
      </c>
      <c r="G34" s="107">
        <f>INDEX(calc_cylr_p,29)</f>
        <v>0.67732547827689193</v>
      </c>
      <c r="H34" s="108">
        <f>(INDEX(calc_cylr_p,29)-INDEX(calc_lrcur,29))*100</f>
        <v>1.1325478276891898</v>
      </c>
      <c r="I34" s="109">
        <f>IF($C34="",0,INDEX(calc_arate_p,29))</f>
        <v>1.0026525198938991</v>
      </c>
      <c r="J34" s="109">
        <f>IF($C34="",0,INDEX(calc_amod_p,29))</f>
        <v>1.0143147326309971</v>
      </c>
      <c r="K34" s="99">
        <f>IF($C34="",0,INDEX(calc_echg,29))</f>
        <v>-2.6455026455026731E-3</v>
      </c>
      <c r="L34" s="99">
        <f>IF($C34="",0,INDEX(calc_carry,29))</f>
        <v>2.6525198938991412E-3</v>
      </c>
      <c r="M34" s="106">
        <f>INDEX(calc_cylr_p1,29)</f>
        <v>0.68094584512392253</v>
      </c>
      <c r="N34" s="110">
        <f>N(INDEX(lr_ep,29))</f>
        <v>67500</v>
      </c>
      <c r="O34" s="111">
        <f t="shared" si="0"/>
        <v>1.4925373134328358E-2</v>
      </c>
    </row>
    <row r="35" spans="1:15" x14ac:dyDescent="0.25">
      <c r="A35" s="104" t="str">
        <f>IF(INDEX(lr_key,30)="","",INDEX(lr_bu,30))</f>
        <v>BU-B</v>
      </c>
      <c r="B35" s="104" t="str">
        <f>IF(INDEX(lr_key,30)="","",INDEX(lr_state,30))</f>
        <v>IA</v>
      </c>
      <c r="C35" s="105" t="str">
        <f>INDEX(lr_key,30)</f>
        <v>BU-B|IA</v>
      </c>
      <c r="D35" s="106">
        <f>N(INDEX(lr_lrproj,30))</f>
        <v>0.65</v>
      </c>
      <c r="E35" s="34" t="str">
        <f>IF($C35="","",INDEX(lr_basis,30)&amp;"")</f>
        <v>current</v>
      </c>
      <c r="F35" s="106">
        <f>INDEX(calc_lrcur,30)</f>
        <v>0.65</v>
      </c>
      <c r="G35" s="107">
        <f>INDEX(calc_cylr_p,30)</f>
        <v>0.65613747102258502</v>
      </c>
      <c r="H35" s="108">
        <f>(INDEX(calc_cylr_p,30)-INDEX(calc_lrcur,30))*100</f>
        <v>0.61374710225849949</v>
      </c>
      <c r="I35" s="109">
        <f>IF($C35="",0,INDEX(calc_arate_p,30))</f>
        <v>0.99875156054931336</v>
      </c>
      <c r="J35" s="109">
        <f>IF($C35="",0,INDEX(calc_amod_p,30))</f>
        <v>1.0107040659405588</v>
      </c>
      <c r="K35" s="99">
        <f>IF($C35="",0,INDEX(calc_echg,30))</f>
        <v>1.2499999999999734E-3</v>
      </c>
      <c r="L35" s="99">
        <f>IF($C35="",0,INDEX(calc_carry,30))</f>
        <v>2.7465667915106184E-2</v>
      </c>
      <c r="M35" s="106">
        <f>INDEX(calc_cylr_p1,30)</f>
        <v>0.63607913623003109</v>
      </c>
      <c r="N35" s="110">
        <f>N(INDEX(lr_ep,30))</f>
        <v>49500</v>
      </c>
      <c r="O35" s="111">
        <f t="shared" si="0"/>
        <v>1.0945273631840797E-2</v>
      </c>
    </row>
    <row r="36" spans="1:15" x14ac:dyDescent="0.25">
      <c r="A36" s="104" t="str">
        <f>IF(INDEX(lr_key,31)="","",INDEX(lr_bu,31))</f>
        <v>BU-B</v>
      </c>
      <c r="B36" s="104" t="str">
        <f>IF(INDEX(lr_key,31)="","",INDEX(lr_state,31))</f>
        <v>KY</v>
      </c>
      <c r="C36" s="105" t="str">
        <f>INDEX(lr_key,31)</f>
        <v>BU-B|KY</v>
      </c>
      <c r="D36" s="106">
        <f>N(INDEX(lr_lrproj,31))</f>
        <v>0.63400000000000001</v>
      </c>
      <c r="E36" s="34" t="str">
        <f>IF($C36="","",INDEX(lr_basis,31)&amp;"")</f>
        <v>current</v>
      </c>
      <c r="F36" s="106">
        <f>INDEX(calc_lrcur,31)</f>
        <v>0.63400000000000001</v>
      </c>
      <c r="G36" s="107">
        <f>INDEX(calc_cylr_p,31)</f>
        <v>0.64008228395563249</v>
      </c>
      <c r="H36" s="108">
        <f>(INDEX(calc_cylr_p,31)-INDEX(calc_lrcur,31))*100</f>
        <v>0.60822839556324837</v>
      </c>
      <c r="I36" s="109">
        <f>IF($C36="",0,INDEX(calc_arate_p,31))</f>
        <v>1.0024570024570025</v>
      </c>
      <c r="J36" s="109">
        <f>IF($C36="",0,INDEX(calc_amod_p,31))</f>
        <v>1.0071190139247479</v>
      </c>
      <c r="K36" s="99">
        <f>IF($C36="",0,INDEX(calc_echg,31))</f>
        <v>-2.4509803921570761E-3</v>
      </c>
      <c r="L36" s="99">
        <f>IF($C36="",0,INDEX(calc_carry,31))</f>
        <v>2.4570024570023108E-3</v>
      </c>
      <c r="M36" s="106">
        <f>INDEX(calc_cylr_p1,31)</f>
        <v>0.62859210179865366</v>
      </c>
      <c r="N36" s="110">
        <f>N(INDEX(lr_ep,31))</f>
        <v>108000</v>
      </c>
      <c r="O36" s="111">
        <f t="shared" si="0"/>
        <v>2.3880597014925373E-2</v>
      </c>
    </row>
    <row r="37" spans="1:15" x14ac:dyDescent="0.25">
      <c r="A37" s="104" t="str">
        <f>IF(INDEX(lr_key,32)="","",INDEX(lr_bu,32))</f>
        <v>BU-B</v>
      </c>
      <c r="B37" s="104" t="str">
        <f>IF(INDEX(lr_key,32)="","",INDEX(lr_state,32))</f>
        <v>MD</v>
      </c>
      <c r="C37" s="105" t="str">
        <f>INDEX(lr_key,32)</f>
        <v>BU-B|MD</v>
      </c>
      <c r="D37" s="106">
        <f>N(INDEX(lr_lrproj,32))</f>
        <v>0.66200000000000003</v>
      </c>
      <c r="E37" s="34" t="str">
        <f>IF($C37="","",INDEX(lr_basis,32)&amp;"")</f>
        <v>current</v>
      </c>
      <c r="F37" s="106">
        <f>INDEX(calc_lrcur,32)</f>
        <v>0.66200000000000003</v>
      </c>
      <c r="G37" s="107">
        <f>INDEX(calc_cylr_p,32)</f>
        <v>0.67321708071377717</v>
      </c>
      <c r="H37" s="108">
        <f>(INDEX(calc_cylr_p,32)-INDEX(calc_lrcur,32))*100</f>
        <v>1.1217080713777139</v>
      </c>
      <c r="I37" s="109">
        <f>IF($C37="",0,INDEX(calc_arate_p,32))</f>
        <v>1.0049801809126939</v>
      </c>
      <c r="J37" s="109">
        <f>IF($C37="",0,INDEX(calc_amod_p,32))</f>
        <v>1.0119047619047619</v>
      </c>
      <c r="K37" s="99">
        <f>IF($C37="",0,INDEX(calc_echg,32))</f>
        <v>-4.9555016181225264E-3</v>
      </c>
      <c r="L37" s="99">
        <f>IF($C37="",0,INDEX(calc_carry,32))</f>
        <v>4.9801809126941432E-3</v>
      </c>
      <c r="M37" s="106">
        <f>INDEX(calc_cylr_p1,32)</f>
        <v>0.66988095238095224</v>
      </c>
      <c r="N37" s="110">
        <f>N(INDEX(lr_ep,32))</f>
        <v>90000</v>
      </c>
      <c r="O37" s="111">
        <f t="shared" si="0"/>
        <v>1.9900497512437811E-2</v>
      </c>
    </row>
    <row r="38" spans="1:15" x14ac:dyDescent="0.25">
      <c r="A38" s="104" t="str">
        <f>IF(INDEX(lr_key,33)="","",INDEX(lr_bu,33))</f>
        <v>BU-B</v>
      </c>
      <c r="B38" s="104" t="str">
        <f>IF(INDEX(lr_key,33)="","",INDEX(lr_state,33))</f>
        <v>MI</v>
      </c>
      <c r="C38" s="105" t="str">
        <f>INDEX(lr_key,33)</f>
        <v>BU-B|MI</v>
      </c>
      <c r="D38" s="106">
        <f>N(INDEX(lr_lrproj,33))</f>
        <v>0.64600000000000002</v>
      </c>
      <c r="E38" s="34" t="str">
        <f>IF($C38="","",INDEX(lr_basis,33)&amp;"")</f>
        <v>current</v>
      </c>
      <c r="F38" s="106">
        <f>INDEX(calc_lrcur,33)</f>
        <v>0.64600000000000002</v>
      </c>
      <c r="G38" s="107">
        <f>INDEX(calc_cylr_p,33)</f>
        <v>0.65136903651380507</v>
      </c>
      <c r="H38" s="108">
        <f>(INDEX(calc_cylr_p,33)-INDEX(calc_lrcur,33))*100</f>
        <v>0.53690365138050478</v>
      </c>
      <c r="I38" s="109">
        <f>IF($C38="",0,INDEX(calc_arate_p,33))</f>
        <v>1</v>
      </c>
      <c r="J38" s="109">
        <f>IF($C38="",0,INDEX(calc_amod_p,33))</f>
        <v>1.0083112020337539</v>
      </c>
      <c r="K38" s="99">
        <f>IF($C38="",0,INDEX(calc_echg,33))</f>
        <v>0</v>
      </c>
      <c r="L38" s="99">
        <f>IF($C38="",0,INDEX(calc_carry,33))</f>
        <v>0</v>
      </c>
      <c r="M38" s="106">
        <f>INDEX(calc_cylr_p1,33)</f>
        <v>0.64373969017670352</v>
      </c>
      <c r="N38" s="110">
        <f>N(INDEX(lr_ep,33))</f>
        <v>72000</v>
      </c>
      <c r="O38" s="111">
        <f t="shared" ref="O38:O74" si="1">IF(SUM($N$6:$N$74)=0,0,$N38/SUM($N$6:$N$74))</f>
        <v>1.5920398009950248E-2</v>
      </c>
    </row>
    <row r="39" spans="1:15" x14ac:dyDescent="0.25">
      <c r="A39" s="104" t="str">
        <f>IF(INDEX(lr_key,34)="","",INDEX(lr_bu,34))</f>
        <v>BU-B</v>
      </c>
      <c r="B39" s="104" t="str">
        <f>IF(INDEX(lr_key,34)="","",INDEX(lr_state,34))</f>
        <v>MN</v>
      </c>
      <c r="C39" s="105" t="str">
        <f>INDEX(lr_key,34)</f>
        <v>BU-B|MN</v>
      </c>
      <c r="D39" s="106">
        <f>N(INDEX(lr_lrproj,34))</f>
        <v>0.63</v>
      </c>
      <c r="E39" s="34" t="str">
        <f>IF($C39="","",INDEX(lr_basis,34)&amp;"")</f>
        <v>current</v>
      </c>
      <c r="F39" s="106">
        <f>INDEX(calc_lrcur,34)</f>
        <v>0.63</v>
      </c>
      <c r="G39" s="107">
        <f>INDEX(calc_cylr_p,34)</f>
        <v>0.63962887115758216</v>
      </c>
      <c r="H39" s="108">
        <f>(INDEX(calc_cylr_p,34)-INDEX(calc_lrcur,34))*100</f>
        <v>0.96288711575821528</v>
      </c>
      <c r="I39" s="109">
        <f>IF($C39="",0,INDEX(calc_arate_p,34))</f>
        <v>1.0021474588403723</v>
      </c>
      <c r="J39" s="109">
        <f>IF($C39="",0,INDEX(calc_amod_p,34))</f>
        <v>1.0131083140670547</v>
      </c>
      <c r="K39" s="99">
        <f>IF($C39="",0,INDEX(calc_echg,34))</f>
        <v>-2.1428571428572241E-3</v>
      </c>
      <c r="L39" s="99">
        <f>IF($C39="",0,INDEX(calc_carry,34))</f>
        <v>4.0980672870436718E-2</v>
      </c>
      <c r="M39" s="106">
        <f>INDEX(calc_cylr_p1,34)</f>
        <v>0.61689703092335613</v>
      </c>
      <c r="N39" s="110">
        <f>N(INDEX(lr_ep,34))</f>
        <v>54000</v>
      </c>
      <c r="O39" s="111">
        <f t="shared" si="1"/>
        <v>1.1940298507462687E-2</v>
      </c>
    </row>
    <row r="40" spans="1:15" x14ac:dyDescent="0.25">
      <c r="A40" s="104" t="str">
        <f>IF(INDEX(lr_key,35)="","",INDEX(lr_bu,35))</f>
        <v>BU-B</v>
      </c>
      <c r="B40" s="104" t="str">
        <f>IF(INDEX(lr_key,35)="","",INDEX(lr_state,35))</f>
        <v>MO</v>
      </c>
      <c r="C40" s="105" t="str">
        <f>INDEX(lr_key,35)</f>
        <v>BU-B|MO</v>
      </c>
      <c r="D40" s="106">
        <f>N(INDEX(lr_lrproj,35))</f>
        <v>0.65800000000000003</v>
      </c>
      <c r="E40" s="34" t="str">
        <f>IF($C40="","",INDEX(lr_basis,35)&amp;"")</f>
        <v>current</v>
      </c>
      <c r="F40" s="106">
        <f>INDEX(calc_lrcur,35)</f>
        <v>0.65800000000000003</v>
      </c>
      <c r="G40" s="107">
        <f>INDEX(calc_cylr_p,35)</f>
        <v>0.67757215289409312</v>
      </c>
      <c r="H40" s="108">
        <f>(INDEX(calc_cylr_p,35)-INDEX(calc_lrcur,35))*100</f>
        <v>1.9572152894093087</v>
      </c>
      <c r="I40" s="109">
        <f>IF($C40="",0,INDEX(calc_arate_p,35))</f>
        <v>1.020048115477145</v>
      </c>
      <c r="J40" s="109">
        <f>IF($C40="",0,INDEX(calc_amod_p,35))</f>
        <v>1.0095062160192576</v>
      </c>
      <c r="K40" s="99">
        <f>IF($C40="",0,INDEX(calc_echg,35))</f>
        <v>-1.9654088050314433E-2</v>
      </c>
      <c r="L40" s="99">
        <f>IF($C40="",0,INDEX(calc_carry,35))</f>
        <v>2.0048115477145245E-2</v>
      </c>
      <c r="M40" s="106">
        <f>INDEX(calc_cylr_p1,35)</f>
        <v>0.65904178505454347</v>
      </c>
      <c r="N40" s="110">
        <f>N(INDEX(lr_ep,35))</f>
        <v>36000</v>
      </c>
      <c r="O40" s="111">
        <f t="shared" si="1"/>
        <v>7.9601990049751239E-3</v>
      </c>
    </row>
    <row r="41" spans="1:15" x14ac:dyDescent="0.25">
      <c r="A41" s="104" t="str">
        <f>IF(INDEX(lr_key,36)="","",INDEX(lr_bu,36))</f>
        <v>BU-B</v>
      </c>
      <c r="B41" s="104" t="str">
        <f>IF(INDEX(lr_key,36)="","",INDEX(lr_state,36))</f>
        <v>NC</v>
      </c>
      <c r="C41" s="105" t="str">
        <f>INDEX(lr_key,36)</f>
        <v>BU-B|NC</v>
      </c>
      <c r="D41" s="106">
        <f>N(INDEX(lr_lrproj,36))</f>
        <v>0.64200000000000002</v>
      </c>
      <c r="E41" s="34" t="str">
        <f>IF($C41="","",INDEX(lr_basis,36)&amp;"")</f>
        <v>current</v>
      </c>
      <c r="F41" s="106">
        <f>INDEX(calc_lrcur,36)</f>
        <v>0.64200000000000002</v>
      </c>
      <c r="G41" s="107">
        <f>INDEX(calc_cylr_p,36)</f>
        <v>0.65119005834910015</v>
      </c>
      <c r="H41" s="108">
        <f>(INDEX(calc_cylr_p,36)-INDEX(calc_lrcur,36))*100</f>
        <v>0.91900583491001386</v>
      </c>
      <c r="I41" s="109">
        <f>IF($C41="",0,INDEX(calc_arate_p,36))</f>
        <v>1</v>
      </c>
      <c r="J41" s="109">
        <f>IF($C41="",0,INDEX(calc_amod_p,36))</f>
        <v>1.0143147326309971</v>
      </c>
      <c r="K41" s="99">
        <f>IF($C41="",0,INDEX(calc_echg,36))</f>
        <v>0</v>
      </c>
      <c r="L41" s="99">
        <f>IF($C41="",0,INDEX(calc_carry,36))</f>
        <v>0</v>
      </c>
      <c r="M41" s="106">
        <f>INDEX(calc_cylr_p1,36)</f>
        <v>0.65640725611044781</v>
      </c>
      <c r="N41" s="110">
        <f>N(INDEX(lr_ep,36))</f>
        <v>94500</v>
      </c>
      <c r="O41" s="111">
        <f t="shared" si="1"/>
        <v>2.0895522388059702E-2</v>
      </c>
    </row>
    <row r="42" spans="1:15" x14ac:dyDescent="0.25">
      <c r="A42" s="104" t="str">
        <f>IF(INDEX(lr_key,37)="","",INDEX(lr_bu,37))</f>
        <v>BU-B</v>
      </c>
      <c r="B42" s="104" t="str">
        <f>IF(INDEX(lr_key,37)="","",INDEX(lr_state,37))</f>
        <v>NJ</v>
      </c>
      <c r="C42" s="105" t="str">
        <f>INDEX(lr_key,37)</f>
        <v>BU-B|NJ</v>
      </c>
      <c r="D42" s="106">
        <f>N(INDEX(lr_lrproj,37))</f>
        <v>0.67</v>
      </c>
      <c r="E42" s="34" t="str">
        <f>IF($C42="","",INDEX(lr_basis,37)&amp;"")</f>
        <v>current</v>
      </c>
      <c r="F42" s="106">
        <f>INDEX(calc_lrcur,37)</f>
        <v>0.67</v>
      </c>
      <c r="G42" s="107">
        <f>INDEX(calc_cylr_p,37)</f>
        <v>0.67717172418017435</v>
      </c>
      <c r="H42" s="108">
        <f>(INDEX(calc_cylr_p,37)-INDEX(calc_lrcur,37))*100</f>
        <v>0.71717241801743103</v>
      </c>
      <c r="I42" s="109">
        <f>IF($C42="",0,INDEX(calc_arate_p,37))</f>
        <v>0.99999999999999978</v>
      </c>
      <c r="J42" s="109">
        <f>IF($C42="",0,INDEX(calc_amod_p,37))</f>
        <v>1.0107040659405588</v>
      </c>
      <c r="K42" s="99">
        <f>IF($C42="",0,INDEX(calc_echg,37))</f>
        <v>0</v>
      </c>
      <c r="L42" s="99">
        <f>IF($C42="",0,INDEX(calc_carry,37))</f>
        <v>0</v>
      </c>
      <c r="M42" s="106">
        <f>INDEX(calc_cylr_p1,37)</f>
        <v>0.67450076251654112</v>
      </c>
      <c r="N42" s="110">
        <f>N(INDEX(lr_ep,37))</f>
        <v>76500</v>
      </c>
      <c r="O42" s="111">
        <f t="shared" si="1"/>
        <v>1.6915422885572139E-2</v>
      </c>
    </row>
    <row r="43" spans="1:15" x14ac:dyDescent="0.25">
      <c r="A43" s="104" t="str">
        <f>IF(INDEX(lr_key,38)="","",INDEX(lr_bu,38))</f>
        <v>BU-B</v>
      </c>
      <c r="B43" s="104" t="str">
        <f>IF(INDEX(lr_key,38)="","",INDEX(lr_state,38))</f>
        <v>NY</v>
      </c>
      <c r="C43" s="105" t="str">
        <f>INDEX(lr_key,38)</f>
        <v>BU-B|NY</v>
      </c>
      <c r="D43" s="106">
        <f>N(INDEX(lr_lrproj,38))</f>
        <v>0.65400000000000003</v>
      </c>
      <c r="E43" s="34" t="str">
        <f>IF($C43="","",INDEX(lr_basis,38)&amp;"")</f>
        <v>current</v>
      </c>
      <c r="F43" s="106">
        <f>INDEX(calc_lrcur,38)</f>
        <v>0.65400000000000003</v>
      </c>
      <c r="G43" s="107">
        <f>INDEX(calc_cylr_p,38)</f>
        <v>0.65646411463857401</v>
      </c>
      <c r="H43" s="108">
        <f>(INDEX(calc_cylr_p,38)-INDEX(calc_lrcur,38))*100</f>
        <v>0.24641146385739887</v>
      </c>
      <c r="I43" s="109">
        <f>IF($C43="",0,INDEX(calc_arate_p,38))</f>
        <v>0.99667243444695852</v>
      </c>
      <c r="J43" s="109">
        <f>IF($C43="",0,INDEX(calc_amod_p,38))</f>
        <v>1.0071190139247479</v>
      </c>
      <c r="K43" s="99">
        <f>IF($C43="",0,INDEX(calc_echg,38))</f>
        <v>3.3386752136752573E-3</v>
      </c>
      <c r="L43" s="99">
        <f>IF($C43="",0,INDEX(calc_carry,38))</f>
        <v>2.9756422201517641E-2</v>
      </c>
      <c r="M43" s="106">
        <f>INDEX(calc_cylr_p1,38)</f>
        <v>0.62758903624335949</v>
      </c>
      <c r="N43" s="110">
        <f>N(INDEX(lr_ep,38))</f>
        <v>58500</v>
      </c>
      <c r="O43" s="111">
        <f t="shared" si="1"/>
        <v>1.2935323383084577E-2</v>
      </c>
    </row>
    <row r="44" spans="1:15" x14ac:dyDescent="0.25">
      <c r="A44" s="104" t="str">
        <f>IF(INDEX(lr_key,39)="","",INDEX(lr_bu,39))</f>
        <v>BU-B</v>
      </c>
      <c r="B44" s="104" t="str">
        <f>IF(INDEX(lr_key,39)="","",INDEX(lr_state,39))</f>
        <v>OH</v>
      </c>
      <c r="C44" s="105" t="str">
        <f>INDEX(lr_key,39)</f>
        <v>BU-B|OH</v>
      </c>
      <c r="D44" s="106">
        <f>N(INDEX(lr_lrproj,39))</f>
        <v>0.63800000000000001</v>
      </c>
      <c r="E44" s="34" t="str">
        <f>IF($C44="","",INDEX(lr_basis,39)&amp;"")</f>
        <v>current</v>
      </c>
      <c r="F44" s="106">
        <f>INDEX(calc_lrcur,39)</f>
        <v>0.63800000000000001</v>
      </c>
      <c r="G44" s="107">
        <f>INDEX(calc_cylr_p,39)</f>
        <v>0.64559523809523811</v>
      </c>
      <c r="H44" s="108">
        <f>(INDEX(calc_cylr_p,39)-INDEX(calc_lrcur,39))*100</f>
        <v>0.75952380952380993</v>
      </c>
      <c r="I44" s="109">
        <f>IF($C44="",0,INDEX(calc_arate_p,39))</f>
        <v>1</v>
      </c>
      <c r="J44" s="109">
        <f>IF($C44="",0,INDEX(calc_amod_p,39))</f>
        <v>1.0119047619047619</v>
      </c>
      <c r="K44" s="99">
        <f>IF($C44="",0,INDEX(calc_echg,39))</f>
        <v>0</v>
      </c>
      <c r="L44" s="99">
        <f>IF($C44="",0,INDEX(calc_carry,39))</f>
        <v>0</v>
      </c>
      <c r="M44" s="106">
        <f>INDEX(calc_cylr_p1,39)</f>
        <v>0.64559523809523811</v>
      </c>
      <c r="N44" s="110">
        <f>N(INDEX(lr_ep,39))</f>
        <v>40500</v>
      </c>
      <c r="O44" s="111">
        <f t="shared" si="1"/>
        <v>8.9552238805970154E-3</v>
      </c>
    </row>
    <row r="45" spans="1:15" x14ac:dyDescent="0.25">
      <c r="A45" s="104" t="str">
        <f>IF(INDEX(lr_key,40)="","",INDEX(lr_bu,40))</f>
        <v>BU-B</v>
      </c>
      <c r="B45" s="104" t="str">
        <f>IF(INDEX(lr_key,40)="","",INDEX(lr_state,40))</f>
        <v>PA</v>
      </c>
      <c r="C45" s="105" t="str">
        <f>INDEX(lr_key,40)</f>
        <v>BU-B|PA</v>
      </c>
      <c r="D45" s="106">
        <f>N(INDEX(lr_lrproj,40))</f>
        <v>0.66600000000000004</v>
      </c>
      <c r="E45" s="34" t="str">
        <f>IF($C45="","",INDEX(lr_basis,40)&amp;"")</f>
        <v>current</v>
      </c>
      <c r="F45" s="106">
        <f>INDEX(calc_lrcur,40)</f>
        <v>0.66600000000000004</v>
      </c>
      <c r="G45" s="107">
        <f>INDEX(calc_cylr_p,40)</f>
        <v>0.67272522262279877</v>
      </c>
      <c r="H45" s="108">
        <f>(INDEX(calc_cylr_p,40)-INDEX(calc_lrcur,40))*100</f>
        <v>0.67252226227987322</v>
      </c>
      <c r="I45" s="109">
        <f>IF($C45="",0,INDEX(calc_arate_p,40))</f>
        <v>1.0017720023626697</v>
      </c>
      <c r="J45" s="109">
        <f>IF($C45="",0,INDEX(calc_amod_p,40))</f>
        <v>1.0083112020337539</v>
      </c>
      <c r="K45" s="99">
        <f>IF($C45="",0,INDEX(calc_echg,40))</f>
        <v>-1.768867924528128E-3</v>
      </c>
      <c r="L45" s="99">
        <f>IF($C45="",0,INDEX(calc_carry,40))</f>
        <v>1.7720023626699444E-3</v>
      </c>
      <c r="M45" s="106">
        <f>INDEX(calc_cylr_p1,40)</f>
        <v>0.66366971154440324</v>
      </c>
      <c r="N45" s="110">
        <f>N(INDEX(lr_ep,40))</f>
        <v>99000</v>
      </c>
      <c r="O45" s="111">
        <f t="shared" si="1"/>
        <v>2.1890547263681594E-2</v>
      </c>
    </row>
    <row r="46" spans="1:15" x14ac:dyDescent="0.25">
      <c r="A46" s="104" t="str">
        <f>IF(INDEX(lr_key,41)="","",INDEX(lr_bu,41))</f>
        <v>BU-B</v>
      </c>
      <c r="B46" s="104" t="str">
        <f>IF(INDEX(lr_key,41)="","",INDEX(lr_state,41))</f>
        <v>TN</v>
      </c>
      <c r="C46" s="105" t="str">
        <f>INDEX(lr_key,41)</f>
        <v>BU-B|TN</v>
      </c>
      <c r="D46" s="106">
        <f>N(INDEX(lr_lrproj,41))</f>
        <v>0.65</v>
      </c>
      <c r="E46" s="34" t="str">
        <f>IF($C46="","",INDEX(lr_basis,41)&amp;"")</f>
        <v>current</v>
      </c>
      <c r="F46" s="106">
        <f>INDEX(calc_lrcur,41)</f>
        <v>0.65</v>
      </c>
      <c r="G46" s="107">
        <f>INDEX(calc_cylr_p,41)</f>
        <v>0.65923852890273882</v>
      </c>
      <c r="H46" s="108">
        <f>(INDEX(calc_cylr_p,41)-INDEX(calc_lrcur,41))*100</f>
        <v>0.92385289027387962</v>
      </c>
      <c r="I46" s="109">
        <f>IF($C46="",0,INDEX(calc_arate_p,41))</f>
        <v>1.0010905125408942</v>
      </c>
      <c r="J46" s="109">
        <f>IF($C46="",0,INDEX(calc_amod_p,41))</f>
        <v>1.0131083140670547</v>
      </c>
      <c r="K46" s="99">
        <f>IF($C46="",0,INDEX(calc_echg,41))</f>
        <v>-1.0893246187363426E-3</v>
      </c>
      <c r="L46" s="99">
        <f>IF($C46="",0,INDEX(calc_carry,41))</f>
        <v>1.0905125408939842E-3</v>
      </c>
      <c r="M46" s="106">
        <f>INDEX(calc_cylr_p1,41)</f>
        <v>0.66114470486756116</v>
      </c>
      <c r="N46" s="110">
        <f>N(INDEX(lr_ep,41))</f>
        <v>81000</v>
      </c>
      <c r="O46" s="111">
        <f t="shared" si="1"/>
        <v>1.7910447761194031E-2</v>
      </c>
    </row>
    <row r="47" spans="1:15" x14ac:dyDescent="0.25">
      <c r="A47" s="104" t="str">
        <f>IF(INDEX(lr_key,42)="","",INDEX(lr_bu,42))</f>
        <v>BU-B</v>
      </c>
      <c r="B47" s="104" t="str">
        <f>IF(INDEX(lr_key,42)="","",INDEX(lr_state,42))</f>
        <v>TX</v>
      </c>
      <c r="C47" s="105" t="str">
        <f>INDEX(lr_key,42)</f>
        <v>BU-B|TX</v>
      </c>
      <c r="D47" s="106">
        <f>N(INDEX(lr_lrproj,42))</f>
        <v>0.63400000000000001</v>
      </c>
      <c r="E47" s="34" t="str">
        <f>IF($C47="","",INDEX(lr_basis,42)&amp;"")</f>
        <v>current</v>
      </c>
      <c r="F47" s="106">
        <f>INDEX(calc_lrcur,42)</f>
        <v>0.63400000000000001</v>
      </c>
      <c r="G47" s="107">
        <f>INDEX(calc_cylr_p,42)</f>
        <v>0.62944870576215095</v>
      </c>
      <c r="H47" s="108">
        <f>(INDEX(calc_cylr_p,42)-INDEX(calc_lrcur,42))*100</f>
        <v>-0.45512942378490573</v>
      </c>
      <c r="I47" s="109">
        <f>IF($C47="",0,INDEX(calc_arate_p,42))</f>
        <v>0.98347220325092199</v>
      </c>
      <c r="J47" s="109">
        <f>IF($C47="",0,INDEX(calc_amod_p,42))</f>
        <v>1.0095062160192576</v>
      </c>
      <c r="K47" s="99">
        <f>IF($C47="",0,INDEX(calc_echg,42))</f>
        <v>1.6805555555555518E-2</v>
      </c>
      <c r="L47" s="99">
        <f>IF($C47="",0,INDEX(calc_carry,42))</f>
        <v>2.2674498019396472E-2</v>
      </c>
      <c r="M47" s="106">
        <f>INDEX(calc_cylr_p1,42)</f>
        <v>0.61066211634451684</v>
      </c>
      <c r="N47" s="110">
        <f>N(INDEX(lr_ep,42))</f>
        <v>63000</v>
      </c>
      <c r="O47" s="111">
        <f t="shared" si="1"/>
        <v>1.3930348258706468E-2</v>
      </c>
    </row>
    <row r="48" spans="1:15" x14ac:dyDescent="0.25">
      <c r="A48" s="104" t="str">
        <f>IF(INDEX(lr_key,43)="","",INDEX(lr_bu,43))</f>
        <v>BU-C</v>
      </c>
      <c r="B48" s="104" t="str">
        <f>IF(INDEX(lr_key,43)="","",INDEX(lr_state,43))</f>
        <v>AZ</v>
      </c>
      <c r="C48" s="105" t="str">
        <f>INDEX(lr_key,43)</f>
        <v>BU-C|AZ</v>
      </c>
      <c r="D48" s="106">
        <f>N(INDEX(lr_lrproj,43))</f>
        <v>0.66200000000000003</v>
      </c>
      <c r="E48" s="34" t="str">
        <f>IF($C48="","",INDEX(lr_basis,43)&amp;"")</f>
        <v>current</v>
      </c>
      <c r="F48" s="106">
        <f>INDEX(calc_lrcur,43)</f>
        <v>0.66200000000000003</v>
      </c>
      <c r="G48" s="107">
        <f>INDEX(calc_cylr_p,43)</f>
        <v>0.67472020011767042</v>
      </c>
      <c r="H48" s="108">
        <f>(INDEX(calc_cylr_p,43)-INDEX(calc_lrcur,43))*100</f>
        <v>1.2720200117670388</v>
      </c>
      <c r="I48" s="109">
        <f>IF($C48="",0,INDEX(calc_arate_p,43))</f>
        <v>1.0048309178743959</v>
      </c>
      <c r="J48" s="109">
        <f>IF($C48="",0,INDEX(calc_amod_p,43))</f>
        <v>1.0143147326309971</v>
      </c>
      <c r="K48" s="99">
        <f>IF($C48="",0,INDEX(calc_echg,43))</f>
        <v>-4.8076923076921796E-3</v>
      </c>
      <c r="L48" s="99">
        <f>IF($C48="",0,INDEX(calc_carry,43))</f>
        <v>4.8309178743961567E-3</v>
      </c>
      <c r="M48" s="106">
        <f>INDEX(calc_cylr_p1,43)</f>
        <v>0.67685608028834332</v>
      </c>
      <c r="N48" s="110">
        <f>N(INDEX(lr_ep,43))</f>
        <v>45000</v>
      </c>
      <c r="O48" s="111">
        <f t="shared" si="1"/>
        <v>9.9502487562189053E-3</v>
      </c>
    </row>
    <row r="49" spans="1:15" x14ac:dyDescent="0.25">
      <c r="A49" s="104" t="str">
        <f>IF(INDEX(lr_key,44)="","",INDEX(lr_bu,44))</f>
        <v>BU-C</v>
      </c>
      <c r="B49" s="104" t="str">
        <f>IF(INDEX(lr_key,44)="","",INDEX(lr_state,44))</f>
        <v>CA</v>
      </c>
      <c r="C49" s="105" t="str">
        <f>INDEX(lr_key,44)</f>
        <v>BU-C|CA</v>
      </c>
      <c r="D49" s="106">
        <f>N(INDEX(lr_lrproj,44))</f>
        <v>0.64600000000000002</v>
      </c>
      <c r="E49" s="34" t="str">
        <f>IF($C49="","",INDEX(lr_basis,44)&amp;"")</f>
        <v>current</v>
      </c>
      <c r="F49" s="106">
        <f>INDEX(calc_lrcur,44)</f>
        <v>0.64600000000000002</v>
      </c>
      <c r="G49" s="107">
        <f>INDEX(calc_cylr_p,44)</f>
        <v>0.65824785318591306</v>
      </c>
      <c r="H49" s="108">
        <f>(INDEX(calc_cylr_p,44)-INDEX(calc_lrcur,44))*100</f>
        <v>1.2247853185913038</v>
      </c>
      <c r="I49" s="109">
        <f>IF($C49="",0,INDEX(calc_arate_p,44))</f>
        <v>1.0081680280046676</v>
      </c>
      <c r="J49" s="109">
        <f>IF($C49="",0,INDEX(calc_amod_p,44))</f>
        <v>1.0107040659405588</v>
      </c>
      <c r="K49" s="99">
        <f>IF($C49="",0,INDEX(calc_echg,44))</f>
        <v>-8.1018518518519711E-3</v>
      </c>
      <c r="L49" s="99">
        <f>IF($C49="",0,INDEX(calc_carry,44))</f>
        <v>8.168028004667649E-3</v>
      </c>
      <c r="M49" s="106">
        <f>INDEX(calc_cylr_p1,44)</f>
        <v>0.65033954117266513</v>
      </c>
      <c r="N49" s="110">
        <f>N(INDEX(lr_ep,44))</f>
        <v>103500</v>
      </c>
      <c r="O49" s="111">
        <f t="shared" si="1"/>
        <v>2.2885572139303482E-2</v>
      </c>
    </row>
    <row r="50" spans="1:15" x14ac:dyDescent="0.25">
      <c r="A50" s="104" t="str">
        <f>IF(INDEX(lr_key,45)="","",INDEX(lr_bu,45))</f>
        <v>BU-C</v>
      </c>
      <c r="B50" s="104" t="str">
        <f>IF(INDEX(lr_key,45)="","",INDEX(lr_state,45))</f>
        <v>CO</v>
      </c>
      <c r="C50" s="105" t="str">
        <f>INDEX(lr_key,45)</f>
        <v>BU-C|CO</v>
      </c>
      <c r="D50" s="106">
        <f>N(INDEX(lr_lrproj,45))</f>
        <v>0.63</v>
      </c>
      <c r="E50" s="34" t="str">
        <f>IF($C50="","",INDEX(lr_basis,45)&amp;"")</f>
        <v>current</v>
      </c>
      <c r="F50" s="106">
        <f>INDEX(calc_lrcur,45)</f>
        <v>0.63</v>
      </c>
      <c r="G50" s="107">
        <f>INDEX(calc_cylr_p,45)</f>
        <v>0.63448497877259113</v>
      </c>
      <c r="H50" s="108">
        <f>(INDEX(calc_cylr_p,45)-INDEX(calc_lrcur,45))*100</f>
        <v>0.44849787725911305</v>
      </c>
      <c r="I50" s="109">
        <f>IF($C50="",0,INDEX(calc_arate_p,45))</f>
        <v>1</v>
      </c>
      <c r="J50" s="109">
        <f>IF($C50="",0,INDEX(calc_amod_p,45))</f>
        <v>1.0071190139247479</v>
      </c>
      <c r="K50" s="99">
        <f>IF($C50="",0,INDEX(calc_echg,45))</f>
        <v>0</v>
      </c>
      <c r="L50" s="99">
        <f>IF($C50="",0,INDEX(calc_carry,45))</f>
        <v>0</v>
      </c>
      <c r="M50" s="106">
        <f>INDEX(calc_cylr_p1,45)</f>
        <v>0.62462622103020771</v>
      </c>
      <c r="N50" s="110">
        <f>N(INDEX(lr_ep,45))</f>
        <v>85500</v>
      </c>
      <c r="O50" s="111">
        <f t="shared" si="1"/>
        <v>1.8905472636815919E-2</v>
      </c>
    </row>
    <row r="51" spans="1:15" x14ac:dyDescent="0.25">
      <c r="A51" s="104" t="str">
        <f>IF(INDEX(lr_key,46)="","",INDEX(lr_bu,46))</f>
        <v>BU-C</v>
      </c>
      <c r="B51" s="104" t="str">
        <f>IF(INDEX(lr_key,46)="","",INDEX(lr_state,46))</f>
        <v>CT</v>
      </c>
      <c r="C51" s="105" t="str">
        <f>INDEX(lr_key,46)</f>
        <v>BU-C|CT</v>
      </c>
      <c r="D51" s="106">
        <f>N(INDEX(lr_lrproj,46))</f>
        <v>0.65800000000000003</v>
      </c>
      <c r="E51" s="34" t="str">
        <f>IF($C51="","",INDEX(lr_basis,46)&amp;"")</f>
        <v>current</v>
      </c>
      <c r="F51" s="106">
        <f>INDEX(calc_lrcur,46)</f>
        <v>0.65800000000000003</v>
      </c>
      <c r="G51" s="107">
        <f>INDEX(calc_cylr_p,46)</f>
        <v>0.66497495063561751</v>
      </c>
      <c r="H51" s="108">
        <f>(INDEX(calc_cylr_p,46)-INDEX(calc_lrcur,46))*100</f>
        <v>0.69749506356174829</v>
      </c>
      <c r="I51" s="109">
        <f>IF($C51="",0,INDEX(calc_arate_p,46))</f>
        <v>0.99871081447151555</v>
      </c>
      <c r="J51" s="109">
        <f>IF($C51="",0,INDEX(calc_amod_p,46))</f>
        <v>1.0119047619047619</v>
      </c>
      <c r="K51" s="99">
        <f>IF($C51="",0,INDEX(calc_echg,46))</f>
        <v>1.2908496732024766E-3</v>
      </c>
      <c r="L51" s="99">
        <f>IF($C51="",0,INDEX(calc_carry,46))</f>
        <v>3.5191501166794703E-2</v>
      </c>
      <c r="M51" s="106">
        <f>INDEX(calc_cylr_p1,46)</f>
        <v>0.64236902050113875</v>
      </c>
      <c r="N51" s="110">
        <f>N(INDEX(lr_ep,46))</f>
        <v>67500</v>
      </c>
      <c r="O51" s="111">
        <f t="shared" si="1"/>
        <v>1.4925373134328358E-2</v>
      </c>
    </row>
    <row r="52" spans="1:15" x14ac:dyDescent="0.25">
      <c r="A52" s="104" t="str">
        <f>IF(INDEX(lr_key,47)="","",INDEX(lr_bu,47))</f>
        <v>BU-C</v>
      </c>
      <c r="B52" s="104" t="str">
        <f>IF(INDEX(lr_key,47)="","",INDEX(lr_state,47))</f>
        <v>FL</v>
      </c>
      <c r="C52" s="105" t="str">
        <f>INDEX(lr_key,47)</f>
        <v>BU-C|FL</v>
      </c>
      <c r="D52" s="106">
        <f>N(INDEX(lr_lrproj,47))</f>
        <v>0.64200000000000002</v>
      </c>
      <c r="E52" s="34" t="str">
        <f>IF($C52="","",INDEX(lr_basis,47)&amp;"")</f>
        <v>current</v>
      </c>
      <c r="F52" s="106">
        <f>INDEX(calc_lrcur,47)</f>
        <v>0.64200000000000002</v>
      </c>
      <c r="G52" s="107">
        <f>INDEX(calc_cylr_p,47)</f>
        <v>0.64733579170567002</v>
      </c>
      <c r="H52" s="108">
        <f>(INDEX(calc_cylr_p,47)-INDEX(calc_lrcur,47))*100</f>
        <v>0.53357917056700011</v>
      </c>
      <c r="I52" s="109">
        <f>IF($C52="",0,INDEX(calc_arate_p,47))</f>
        <v>1</v>
      </c>
      <c r="J52" s="109">
        <f>IF($C52="",0,INDEX(calc_amod_p,47))</f>
        <v>1.0083112020337539</v>
      </c>
      <c r="K52" s="99">
        <f>IF($C52="",0,INDEX(calc_echg,47))</f>
        <v>0</v>
      </c>
      <c r="L52" s="99">
        <f>IF($C52="",0,INDEX(calc_carry,47))</f>
        <v>0</v>
      </c>
      <c r="M52" s="106">
        <f>INDEX(calc_cylr_p1,47)</f>
        <v>0.63975368590316362</v>
      </c>
      <c r="N52" s="110">
        <f>N(INDEX(lr_ep,47))</f>
        <v>49500</v>
      </c>
      <c r="O52" s="111">
        <f t="shared" si="1"/>
        <v>1.0945273631840797E-2</v>
      </c>
    </row>
    <row r="53" spans="1:15" x14ac:dyDescent="0.25">
      <c r="A53" s="104" t="str">
        <f>IF(INDEX(lr_key,48)="","",INDEX(lr_bu,48))</f>
        <v>BU-C</v>
      </c>
      <c r="B53" s="104" t="str">
        <f>IF(INDEX(lr_key,48)="","",INDEX(lr_state,48))</f>
        <v>GA</v>
      </c>
      <c r="C53" s="105" t="str">
        <f>INDEX(lr_key,48)</f>
        <v>BU-C|GA</v>
      </c>
      <c r="D53" s="106">
        <f>N(INDEX(lr_lrproj,48))</f>
        <v>0.67</v>
      </c>
      <c r="E53" s="34" t="str">
        <f>IF($C53="","",INDEX(lr_basis,48)&amp;"")</f>
        <v>current</v>
      </c>
      <c r="F53" s="106">
        <f>INDEX(calc_lrcur,48)</f>
        <v>0.67</v>
      </c>
      <c r="G53" s="107">
        <f>INDEX(calc_cylr_p,48)</f>
        <v>0.67878257042492673</v>
      </c>
      <c r="H53" s="108">
        <f>(INDEX(calc_cylr_p,48)-INDEX(calc_lrcur,48))*100</f>
        <v>0.87825704249266945</v>
      </c>
      <c r="I53" s="109">
        <f>IF($C53="",0,INDEX(calc_arate_p,48))</f>
        <v>1</v>
      </c>
      <c r="J53" s="109">
        <f>IF($C53="",0,INDEX(calc_amod_p,48))</f>
        <v>1.0131083140670547</v>
      </c>
      <c r="K53" s="99">
        <f>IF($C53="",0,INDEX(calc_echg,48))</f>
        <v>0</v>
      </c>
      <c r="L53" s="99">
        <f>IF($C53="",0,INDEX(calc_carry,48))</f>
        <v>0</v>
      </c>
      <c r="M53" s="106">
        <f>INDEX(calc_cylr_p1,48)</f>
        <v>0.68148761886348608</v>
      </c>
      <c r="N53" s="110">
        <f>N(INDEX(lr_ep,48))</f>
        <v>108000</v>
      </c>
      <c r="O53" s="111">
        <f t="shared" si="1"/>
        <v>2.3880597014925373E-2</v>
      </c>
    </row>
    <row r="54" spans="1:15" x14ac:dyDescent="0.25">
      <c r="A54" s="104" t="str">
        <f>IF(INDEX(lr_key,49)="","",INDEX(lr_bu,49))</f>
        <v>BU-C</v>
      </c>
      <c r="B54" s="104" t="str">
        <f>IF(INDEX(lr_key,49)="","",INDEX(lr_state,49))</f>
        <v>IL</v>
      </c>
      <c r="C54" s="105" t="str">
        <f>INDEX(lr_key,49)</f>
        <v>BU-C|IL</v>
      </c>
      <c r="D54" s="106">
        <f>N(INDEX(lr_lrproj,49))</f>
        <v>0.65400000000000003</v>
      </c>
      <c r="E54" s="34" t="str">
        <f>IF($C54="","",INDEX(lr_basis,49)&amp;"")</f>
        <v>current</v>
      </c>
      <c r="F54" s="106">
        <f>INDEX(calc_lrcur,49)</f>
        <v>0.65400000000000003</v>
      </c>
      <c r="G54" s="107">
        <f>INDEX(calc_cylr_p,49)</f>
        <v>0.6246879387596399</v>
      </c>
      <c r="H54" s="108">
        <f>(INDEX(calc_cylr_p,49)-INDEX(calc_lrcur,49))*100</f>
        <v>-2.9312061240360121</v>
      </c>
      <c r="I54" s="109">
        <f>IF($C54="",0,INDEX(calc_arate_p,49))</f>
        <v>0.94618568894145472</v>
      </c>
      <c r="J54" s="109">
        <f>IF($C54="",0,INDEX(calc_amod_p,49))</f>
        <v>1.0095062160192576</v>
      </c>
      <c r="K54" s="99">
        <f>IF($C54="",0,INDEX(calc_echg,49))</f>
        <v>5.6875000000000009E-2</v>
      </c>
      <c r="L54" s="99">
        <f>IF($C54="",0,INDEX(calc_carry,49))</f>
        <v>7.6877587226491517E-3</v>
      </c>
      <c r="M54" s="106">
        <f>INDEX(calc_cylr_p1,49)</f>
        <v>0.61505676245511587</v>
      </c>
      <c r="N54" s="110">
        <f>N(INDEX(lr_ep,49))</f>
        <v>90000</v>
      </c>
      <c r="O54" s="111">
        <f t="shared" si="1"/>
        <v>1.9900497512437811E-2</v>
      </c>
    </row>
    <row r="55" spans="1:15" x14ac:dyDescent="0.25">
      <c r="A55" s="104" t="str">
        <f>IF(INDEX(lr_key,50)="","",INDEX(lr_bu,50))</f>
        <v>BU-C</v>
      </c>
      <c r="B55" s="104" t="str">
        <f>IF(INDEX(lr_key,50)="","",INDEX(lr_state,50))</f>
        <v>IN</v>
      </c>
      <c r="C55" s="105" t="str">
        <f>INDEX(lr_key,50)</f>
        <v>BU-C|IN</v>
      </c>
      <c r="D55" s="106">
        <f>N(INDEX(lr_lrproj,50))</f>
        <v>0.63800000000000001</v>
      </c>
      <c r="E55" s="34" t="str">
        <f>IF($C55="","",INDEX(lr_basis,50)&amp;"")</f>
        <v>current</v>
      </c>
      <c r="F55" s="106">
        <f>INDEX(calc_lrcur,50)</f>
        <v>0.63800000000000001</v>
      </c>
      <c r="G55" s="107">
        <f>INDEX(calc_cylr_p,50)</f>
        <v>0.64645178888625898</v>
      </c>
      <c r="H55" s="108">
        <f>(INDEX(calc_cylr_p,50)-INDEX(calc_lrcur,50))*100</f>
        <v>0.84517888862589707</v>
      </c>
      <c r="I55" s="109">
        <f>IF($C55="",0,INDEX(calc_arate_p,50))</f>
        <v>0.99894764948874615</v>
      </c>
      <c r="J55" s="109">
        <f>IF($C55="",0,INDEX(calc_amod_p,50))</f>
        <v>1.0143147326309971</v>
      </c>
      <c r="K55" s="99">
        <f>IF($C55="",0,INDEX(calc_echg,50))</f>
        <v>1.0534591194968357E-3</v>
      </c>
      <c r="L55" s="99">
        <f>IF($C55="",0,INDEX(calc_carry,50))</f>
        <v>2.7667394411547752E-2</v>
      </c>
      <c r="M55" s="106">
        <f>INDEX(calc_cylr_p1,50)</f>
        <v>0.63408747633037044</v>
      </c>
      <c r="N55" s="110">
        <f>N(INDEX(lr_ep,50))</f>
        <v>72000</v>
      </c>
      <c r="O55" s="111">
        <f t="shared" si="1"/>
        <v>1.5920398009950248E-2</v>
      </c>
    </row>
    <row r="56" spans="1:15" x14ac:dyDescent="0.25">
      <c r="A56" s="104" t="str">
        <f>IF(INDEX(lr_key,51)="","",INDEX(lr_bu,51))</f>
        <v>BU-C</v>
      </c>
      <c r="B56" s="104" t="str">
        <f>IF(INDEX(lr_key,51)="","",INDEX(lr_state,51))</f>
        <v>IA</v>
      </c>
      <c r="C56" s="105" t="str">
        <f>INDEX(lr_key,51)</f>
        <v>BU-C|IA</v>
      </c>
      <c r="D56" s="106">
        <f>N(INDEX(lr_lrproj,51))</f>
        <v>0.66600000000000004</v>
      </c>
      <c r="E56" s="34" t="str">
        <f>IF($C56="","",INDEX(lr_basis,51)&amp;"")</f>
        <v>current</v>
      </c>
      <c r="F56" s="106">
        <f>INDEX(calc_lrcur,51)</f>
        <v>0.66600000000000004</v>
      </c>
      <c r="G56" s="107">
        <f>INDEX(calc_cylr_p,51)</f>
        <v>0.62747081824579964</v>
      </c>
      <c r="H56" s="108">
        <f>(INDEX(calc_cylr_p,51)-INDEX(calc_lrcur,51))*100</f>
        <v>-3.8529181754200392</v>
      </c>
      <c r="I56" s="109">
        <f>IF($C56="",0,INDEX(calc_arate_p,51))</f>
        <v>0.94214837574444388</v>
      </c>
      <c r="J56" s="109">
        <f>IF($C56="",0,INDEX(calc_amod_p,51))</f>
        <v>1</v>
      </c>
      <c r="K56" s="99">
        <f>IF($C56="",0,INDEX(calc_echg,51))</f>
        <v>6.1403942038157577E-2</v>
      </c>
      <c r="L56" s="99">
        <f>IF($C56="",0,INDEX(calc_carry,51))</f>
        <v>0.10000000000000009</v>
      </c>
      <c r="M56" s="106">
        <f>INDEX(calc_cylr_p1,51)</f>
        <v>0.57042801658709053</v>
      </c>
      <c r="N56" s="110">
        <f>N(INDEX(lr_ep,51))</f>
        <v>54000</v>
      </c>
      <c r="O56" s="111">
        <f t="shared" si="1"/>
        <v>1.1940298507462687E-2</v>
      </c>
    </row>
    <row r="57" spans="1:15" x14ac:dyDescent="0.25">
      <c r="A57" s="104" t="str">
        <f>IF(INDEX(lr_key,52)="","",INDEX(lr_bu,52))</f>
        <v>BU-C</v>
      </c>
      <c r="B57" s="104" t="str">
        <f>IF(INDEX(lr_key,52)="","",INDEX(lr_state,52))</f>
        <v>KY</v>
      </c>
      <c r="C57" s="105" t="str">
        <f>INDEX(lr_key,52)</f>
        <v>BU-C|KY</v>
      </c>
      <c r="D57" s="106">
        <f>N(INDEX(lr_lrproj,52))</f>
        <v>0.65</v>
      </c>
      <c r="E57" s="34" t="str">
        <f>IF($C57="","",INDEX(lr_basis,52)&amp;"")</f>
        <v>current</v>
      </c>
      <c r="F57" s="106">
        <f>INDEX(calc_lrcur,52)</f>
        <v>0.65</v>
      </c>
      <c r="G57" s="107">
        <f>INDEX(calc_cylr_p,52)</f>
        <v>0.65522373988228955</v>
      </c>
      <c r="H57" s="108">
        <f>(INDEX(calc_cylr_p,52)-INDEX(calc_lrcur,52))*100</f>
        <v>0.52237398822895242</v>
      </c>
      <c r="I57" s="109">
        <f>IF($C57="",0,INDEX(calc_arate_p,52))</f>
        <v>1.0009110233829333</v>
      </c>
      <c r="J57" s="109">
        <f>IF($C57="",0,INDEX(calc_amod_p,52))</f>
        <v>1.0071190139247479</v>
      </c>
      <c r="K57" s="99">
        <f>IF($C57="",0,INDEX(calc_echg,52))</f>
        <v>-9.1019417475712849E-4</v>
      </c>
      <c r="L57" s="99">
        <f>IF($C57="",0,INDEX(calc_carry,52))</f>
        <v>9.1102338293347351E-4</v>
      </c>
      <c r="M57" s="106">
        <f>INDEX(calc_cylr_p1,52)</f>
        <v>0.64445562487243646</v>
      </c>
      <c r="N57" s="110">
        <f>N(INDEX(lr_ep,52))</f>
        <v>36000</v>
      </c>
      <c r="O57" s="111">
        <f t="shared" si="1"/>
        <v>7.9601990049751239E-3</v>
      </c>
    </row>
    <row r="58" spans="1:15" x14ac:dyDescent="0.25">
      <c r="A58" s="104" t="str">
        <f>IF(INDEX(lr_key,53)="","",INDEX(lr_bu,53))</f>
        <v>BU-C</v>
      </c>
      <c r="B58" s="104" t="str">
        <f>IF(INDEX(lr_key,53)="","",INDEX(lr_state,53))</f>
        <v>MD</v>
      </c>
      <c r="C58" s="105" t="str">
        <f>INDEX(lr_key,53)</f>
        <v>BU-C|MD</v>
      </c>
      <c r="D58" s="106">
        <f>N(INDEX(lr_lrproj,53))</f>
        <v>0.63400000000000001</v>
      </c>
      <c r="E58" s="34" t="str">
        <f>IF($C58="","",INDEX(lr_basis,53)&amp;"")</f>
        <v>current</v>
      </c>
      <c r="F58" s="106">
        <f>INDEX(calc_lrcur,53)</f>
        <v>0.63400000000000001</v>
      </c>
      <c r="G58" s="107">
        <f>INDEX(calc_cylr_p,53)</f>
        <v>0.64292138268583665</v>
      </c>
      <c r="H58" s="108">
        <f>(INDEX(calc_cylr_p,53)-INDEX(calc_lrcur,53))*100</f>
        <v>0.8921382685836643</v>
      </c>
      <c r="I58" s="109">
        <f>IF($C58="",0,INDEX(calc_arate_p,53))</f>
        <v>1.0021413276231264</v>
      </c>
      <c r="J58" s="109">
        <f>IF($C58="",0,INDEX(calc_amod_p,53))</f>
        <v>1.0119047619047619</v>
      </c>
      <c r="K58" s="99">
        <f>IF($C58="",0,INDEX(calc_echg,53))</f>
        <v>-2.1367521367520181E-3</v>
      </c>
      <c r="L58" s="99">
        <f>IF($C58="",0,INDEX(calc_carry,53))</f>
        <v>2.1413276231263545E-3</v>
      </c>
      <c r="M58" s="106">
        <f>INDEX(calc_cylr_p1,53)</f>
        <v>0.64154761904761892</v>
      </c>
      <c r="N58" s="110">
        <f>N(INDEX(lr_ep,53))</f>
        <v>94500</v>
      </c>
      <c r="O58" s="111">
        <f t="shared" si="1"/>
        <v>2.0895522388059702E-2</v>
      </c>
    </row>
    <row r="59" spans="1:15" x14ac:dyDescent="0.25">
      <c r="A59" s="104" t="str">
        <f>IF(INDEX(lr_key,54)="","",INDEX(lr_bu,54))</f>
        <v>BU-C</v>
      </c>
      <c r="B59" s="104" t="str">
        <f>IF(INDEX(lr_key,54)="","",INDEX(lr_state,54))</f>
        <v>MI</v>
      </c>
      <c r="C59" s="105" t="str">
        <f>INDEX(lr_key,54)</f>
        <v>BU-C|MI</v>
      </c>
      <c r="D59" s="106">
        <f>N(INDEX(lr_lrproj,54))</f>
        <v>0.66200000000000003</v>
      </c>
      <c r="E59" s="34" t="str">
        <f>IF($C59="","",INDEX(lr_basis,54)&amp;"")</f>
        <v>current</v>
      </c>
      <c r="F59" s="106">
        <f>INDEX(calc_lrcur,54)</f>
        <v>0.66200000000000003</v>
      </c>
      <c r="G59" s="107">
        <f>INDEX(calc_cylr_p,54)</f>
        <v>0.66007615895806682</v>
      </c>
      <c r="H59" s="108">
        <f>(INDEX(calc_cylr_p,54)-INDEX(calc_lrcur,54))*100</f>
        <v>-0.19238410419332164</v>
      </c>
      <c r="I59" s="109">
        <f>IF($C59="",0,INDEX(calc_arate_p,54))</f>
        <v>0.9888751545117429</v>
      </c>
      <c r="J59" s="109">
        <f>IF($C59="",0,INDEX(calc_amod_p,54))</f>
        <v>1.0083112020337539</v>
      </c>
      <c r="K59" s="99">
        <f>IF($C59="",0,INDEX(calc_echg,54))</f>
        <v>1.1249999999999982E-2</v>
      </c>
      <c r="L59" s="99">
        <f>IF($C59="",0,INDEX(calc_carry,54))</f>
        <v>2.7194066749073098E-2</v>
      </c>
      <c r="M59" s="106">
        <f>INDEX(calc_cylr_p1,54)</f>
        <v>0.63507456776978422</v>
      </c>
      <c r="N59" s="110">
        <f>N(INDEX(lr_ep,54))</f>
        <v>76500</v>
      </c>
      <c r="O59" s="111">
        <f t="shared" si="1"/>
        <v>1.6915422885572139E-2</v>
      </c>
    </row>
    <row r="60" spans="1:15" x14ac:dyDescent="0.25">
      <c r="A60" s="104" t="str">
        <f>IF(INDEX(lr_key,55)="","",INDEX(lr_bu,55))</f>
        <v>BU-C</v>
      </c>
      <c r="B60" s="104" t="str">
        <f>IF(INDEX(lr_key,55)="","",INDEX(lr_state,55))</f>
        <v>MN</v>
      </c>
      <c r="C60" s="105" t="str">
        <f>INDEX(lr_key,55)</f>
        <v>BU-C|MN</v>
      </c>
      <c r="D60" s="106">
        <f>N(INDEX(lr_lrproj,55))</f>
        <v>0.64600000000000002</v>
      </c>
      <c r="E60" s="34" t="str">
        <f>IF($C60="","",INDEX(lr_basis,55)&amp;"")</f>
        <v>current</v>
      </c>
      <c r="F60" s="106">
        <f>INDEX(calc_lrcur,55)</f>
        <v>0.64600000000000002</v>
      </c>
      <c r="G60" s="107">
        <f>INDEX(calc_cylr_p,55)</f>
        <v>0.65913163813829578</v>
      </c>
      <c r="H60" s="108">
        <f>(INDEX(calc_cylr_p,55)-INDEX(calc_lrcur,55))*100</f>
        <v>1.3131638138295765</v>
      </c>
      <c r="I60" s="109">
        <f>IF($C60="",0,INDEX(calc_arate_p,55))</f>
        <v>1.0071258907363418</v>
      </c>
      <c r="J60" s="109">
        <f>IF($C60="",0,INDEX(calc_amod_p,55))</f>
        <v>1.0131083140670547</v>
      </c>
      <c r="K60" s="99">
        <f>IF($C60="",0,INDEX(calc_echg,55))</f>
        <v>-7.0754716981130672E-3</v>
      </c>
      <c r="L60" s="99">
        <f>IF($C60="",0,INDEX(calc_carry,55))</f>
        <v>7.1258907363420665E-3</v>
      </c>
      <c r="M60" s="106">
        <f>INDEX(calc_cylr_p1,55)</f>
        <v>0.65707612206837596</v>
      </c>
      <c r="N60" s="110">
        <f>N(INDEX(lr_ep,55))</f>
        <v>58500</v>
      </c>
      <c r="O60" s="111">
        <f t="shared" si="1"/>
        <v>1.2935323383084577E-2</v>
      </c>
    </row>
    <row r="61" spans="1:15" x14ac:dyDescent="0.25">
      <c r="A61" s="104" t="str">
        <f>IF(INDEX(lr_key,56)="","",INDEX(lr_bu,56))</f>
        <v>BU-C</v>
      </c>
      <c r="B61" s="104" t="str">
        <f>IF(INDEX(lr_key,56)="","",INDEX(lr_state,56))</f>
        <v>MO</v>
      </c>
      <c r="C61" s="105" t="str">
        <f>INDEX(lr_key,56)</f>
        <v>BU-C|MO</v>
      </c>
      <c r="D61" s="106">
        <f>N(INDEX(lr_lrproj,56))</f>
        <v>0.63</v>
      </c>
      <c r="E61" s="34" t="str">
        <f>IF($C61="","",INDEX(lr_basis,56)&amp;"")</f>
        <v>current</v>
      </c>
      <c r="F61" s="106">
        <f>INDEX(calc_lrcur,56)</f>
        <v>0.63</v>
      </c>
      <c r="G61" s="107">
        <f>INDEX(calc_cylr_p,56)</f>
        <v>0.63811771292856334</v>
      </c>
      <c r="H61" s="108">
        <f>(INDEX(calc_cylr_p,56)-INDEX(calc_lrcur,56))*100</f>
        <v>0.81177129285633365</v>
      </c>
      <c r="I61" s="109">
        <f>IF($C61="",0,INDEX(calc_arate_p,56))</f>
        <v>1.0033472231709817</v>
      </c>
      <c r="J61" s="109">
        <f>IF($C61="",0,INDEX(calc_amod_p,56))</f>
        <v>1.0095062160192576</v>
      </c>
      <c r="K61" s="99">
        <f>IF($C61="",0,INDEX(calc_echg,56))</f>
        <v>-3.3360566448802365E-3</v>
      </c>
      <c r="L61" s="99">
        <f>IF($C61="",0,INDEX(calc_carry,56))</f>
        <v>3.3472231709814615E-3</v>
      </c>
      <c r="M61" s="106">
        <f>INDEX(calc_cylr_p1,56)</f>
        <v>0.63099745377562688</v>
      </c>
      <c r="N61" s="110">
        <f>N(INDEX(lr_ep,56))</f>
        <v>40500</v>
      </c>
      <c r="O61" s="111">
        <f t="shared" si="1"/>
        <v>8.9552238805970154E-3</v>
      </c>
    </row>
    <row r="62" spans="1:15" x14ac:dyDescent="0.25">
      <c r="A62" s="104" t="str">
        <f>IF(INDEX(lr_key,57)="","",INDEX(lr_bu,57))</f>
        <v>BU-C</v>
      </c>
      <c r="B62" s="104" t="str">
        <f>IF(INDEX(lr_key,57)="","",INDEX(lr_state,57))</f>
        <v>NC</v>
      </c>
      <c r="C62" s="105" t="str">
        <f>INDEX(lr_key,57)</f>
        <v>BU-C|NC</v>
      </c>
      <c r="D62" s="106">
        <f>N(INDEX(lr_lrproj,57))</f>
        <v>0.65800000000000003</v>
      </c>
      <c r="E62" s="34" t="str">
        <f>IF($C62="","",INDEX(lr_basis,57)&amp;"")</f>
        <v>current</v>
      </c>
      <c r="F62" s="106">
        <f>INDEX(calc_lrcur,57)</f>
        <v>0.65800000000000003</v>
      </c>
      <c r="G62" s="107">
        <f>INDEX(calc_cylr_p,57)</f>
        <v>0.66741909407119615</v>
      </c>
      <c r="H62" s="108">
        <f>(INDEX(calc_cylr_p,57)-INDEX(calc_lrcur,57))*100</f>
        <v>0.94190940711961213</v>
      </c>
      <c r="I62" s="109">
        <f>IF($C62="",0,INDEX(calc_arate_p,57))</f>
        <v>1</v>
      </c>
      <c r="J62" s="109">
        <f>IF($C62="",0,INDEX(calc_amod_p,57))</f>
        <v>1.0143147326309971</v>
      </c>
      <c r="K62" s="99">
        <f>IF($C62="",0,INDEX(calc_echg,57))</f>
        <v>0</v>
      </c>
      <c r="L62" s="99">
        <f>IF($C62="",0,INDEX(calc_carry,57))</f>
        <v>0</v>
      </c>
      <c r="M62" s="106">
        <f>INDEX(calc_cylr_p1,57)</f>
        <v>0.67276631545276433</v>
      </c>
      <c r="N62" s="110">
        <f>N(INDEX(lr_ep,57))</f>
        <v>99000</v>
      </c>
      <c r="O62" s="111">
        <f t="shared" si="1"/>
        <v>2.1890547263681594E-2</v>
      </c>
    </row>
    <row r="63" spans="1:15" x14ac:dyDescent="0.25">
      <c r="A63" s="104" t="str">
        <f>IF(INDEX(lr_key,58)="","",INDEX(lr_bu,58))</f>
        <v>BU-C</v>
      </c>
      <c r="B63" s="104" t="str">
        <f>IF(INDEX(lr_key,58)="","",INDEX(lr_state,58))</f>
        <v>NJ</v>
      </c>
      <c r="C63" s="105" t="str">
        <f>INDEX(lr_key,58)</f>
        <v>BU-C|NJ</v>
      </c>
      <c r="D63" s="106">
        <f>N(INDEX(lr_lrproj,58))</f>
        <v>0.64200000000000002</v>
      </c>
      <c r="E63" s="34" t="str">
        <f>IF($C63="","",INDEX(lr_basis,58)&amp;"")</f>
        <v>current</v>
      </c>
      <c r="F63" s="106">
        <f>INDEX(calc_lrcur,58)</f>
        <v>0.64200000000000002</v>
      </c>
      <c r="G63" s="107">
        <f>INDEX(calc_cylr_p,58)</f>
        <v>0.65367329656663331</v>
      </c>
      <c r="H63" s="108">
        <f>(INDEX(calc_cylr_p,58)-INDEX(calc_lrcur,58))*100</f>
        <v>1.1673296566633296</v>
      </c>
      <c r="I63" s="109">
        <f>IF($C63="",0,INDEX(calc_arate_p,58))</f>
        <v>1.0073994349522402</v>
      </c>
      <c r="J63" s="109">
        <f>IF($C63="",0,INDEX(calc_amod_p,58))</f>
        <v>1.0107040659405588</v>
      </c>
      <c r="K63" s="99">
        <f>IF($C63="",0,INDEX(calc_echg,58))</f>
        <v>-7.3450854700854995E-3</v>
      </c>
      <c r="L63" s="99">
        <f>IF($C63="",0,INDEX(calc_carry,58))</f>
        <v>4.0839499529127243E-2</v>
      </c>
      <c r="M63" s="106">
        <f>INDEX(calc_cylr_p1,58)</f>
        <v>0.62554795413772502</v>
      </c>
      <c r="N63" s="110">
        <f>N(INDEX(lr_ep,58))</f>
        <v>81000</v>
      </c>
      <c r="O63" s="111">
        <f t="shared" si="1"/>
        <v>1.7910447761194031E-2</v>
      </c>
    </row>
    <row r="64" spans="1:15" x14ac:dyDescent="0.25">
      <c r="A64" s="104" t="str">
        <f>IF(INDEX(lr_key,59)="","",INDEX(lr_bu,59))</f>
        <v>BU-C</v>
      </c>
      <c r="B64" s="104" t="str">
        <f>IF(INDEX(lr_key,59)="","",INDEX(lr_state,59))</f>
        <v>NY</v>
      </c>
      <c r="C64" s="105" t="str">
        <f>INDEX(lr_key,59)</f>
        <v>BU-C|NY</v>
      </c>
      <c r="D64" s="106">
        <f>N(INDEX(lr_lrproj,59))</f>
        <v>0.67</v>
      </c>
      <c r="E64" s="34" t="str">
        <f>IF($C64="","",INDEX(lr_basis,59)&amp;"")</f>
        <v>current</v>
      </c>
      <c r="F64" s="106">
        <f>INDEX(calc_lrcur,59)</f>
        <v>0.67</v>
      </c>
      <c r="G64" s="107">
        <f>INDEX(calc_cylr_p,59)</f>
        <v>0.68611422048845094</v>
      </c>
      <c r="H64" s="108">
        <f>(INDEX(calc_cylr_p,59)-INDEX(calc_lrcur,59))*100</f>
        <v>1.6114220488450903</v>
      </c>
      <c r="I64" s="109">
        <f>IF($C64="",0,INDEX(calc_arate_p,59))</f>
        <v>1.0168123739071957</v>
      </c>
      <c r="J64" s="109">
        <f>IF($C64="",0,INDEX(calc_amod_p,59))</f>
        <v>1.0071190139247479</v>
      </c>
      <c r="K64" s="99">
        <f>IF($C64="",0,INDEX(calc_echg,59))</f>
        <v>-1.6534391534391624E-2</v>
      </c>
      <c r="L64" s="99">
        <f>IF($C64="",0,INDEX(calc_carry,59))</f>
        <v>1.6812373907195699E-2</v>
      </c>
      <c r="M64" s="106">
        <f>INDEX(calc_cylr_p1,59)</f>
        <v>0.66428502871466544</v>
      </c>
      <c r="N64" s="110">
        <f>N(INDEX(lr_ep,59))</f>
        <v>63000</v>
      </c>
      <c r="O64" s="111">
        <f t="shared" si="1"/>
        <v>1.3930348258706468E-2</v>
      </c>
    </row>
    <row r="65" spans="1:15" x14ac:dyDescent="0.25">
      <c r="A65" s="104" t="str">
        <f>IF(INDEX(lr_key,60)="","",INDEX(lr_bu,60))</f>
        <v>BU-C</v>
      </c>
      <c r="B65" s="104" t="str">
        <f>IF(INDEX(lr_key,60)="","",INDEX(lr_state,60))</f>
        <v>OH</v>
      </c>
      <c r="C65" s="105" t="str">
        <f>INDEX(lr_key,60)</f>
        <v>BU-C|OH</v>
      </c>
      <c r="D65" s="106">
        <f>N(INDEX(lr_lrproj,60))</f>
        <v>0.65400000000000003</v>
      </c>
      <c r="E65" s="34" t="str">
        <f>IF($C65="","",INDEX(lr_basis,60)&amp;"")</f>
        <v>current</v>
      </c>
      <c r="F65" s="106">
        <f>INDEX(calc_lrcur,60)</f>
        <v>0.65400000000000003</v>
      </c>
      <c r="G65" s="107">
        <f>INDEX(calc_cylr_p,60)</f>
        <v>0.66178571428571431</v>
      </c>
      <c r="H65" s="108">
        <f>(INDEX(calc_cylr_p,60)-INDEX(calc_lrcur,60))*100</f>
        <v>0.77857142857142847</v>
      </c>
      <c r="I65" s="109">
        <f>IF($C65="",0,INDEX(calc_arate_p,60))</f>
        <v>1</v>
      </c>
      <c r="J65" s="109">
        <f>IF($C65="",0,INDEX(calc_amod_p,60))</f>
        <v>1.0119047619047619</v>
      </c>
      <c r="K65" s="99">
        <f>IF($C65="",0,INDEX(calc_echg,60))</f>
        <v>0</v>
      </c>
      <c r="L65" s="99">
        <f>IF($C65="",0,INDEX(calc_carry,60))</f>
        <v>0</v>
      </c>
      <c r="M65" s="106">
        <f>INDEX(calc_cylr_p1,60)</f>
        <v>0.66178571428571431</v>
      </c>
      <c r="N65" s="110">
        <f>N(INDEX(lr_ep,60))</f>
        <v>45000</v>
      </c>
      <c r="O65" s="111">
        <f t="shared" si="1"/>
        <v>9.9502487562189053E-3</v>
      </c>
    </row>
    <row r="66" spans="1:15" x14ac:dyDescent="0.25">
      <c r="A66" s="104" t="str">
        <f>IF(INDEX(lr_key,61)="","",INDEX(lr_bu,61))</f>
        <v>BU-C</v>
      </c>
      <c r="B66" s="104" t="str">
        <f>IF(INDEX(lr_key,61)="","",INDEX(lr_state,61))</f>
        <v>PA</v>
      </c>
      <c r="C66" s="105" t="str">
        <f>INDEX(lr_key,61)</f>
        <v>BU-C|PA</v>
      </c>
      <c r="D66" s="106">
        <f>N(INDEX(lr_lrproj,61))</f>
        <v>0.63800000000000001</v>
      </c>
      <c r="E66" s="34" t="str">
        <f>IF($C66="","",INDEX(lr_basis,61)&amp;"")</f>
        <v>current</v>
      </c>
      <c r="F66" s="106">
        <f>INDEX(calc_lrcur,61)</f>
        <v>0.63800000000000001</v>
      </c>
      <c r="G66" s="107">
        <f>INDEX(calc_cylr_p,61)</f>
        <v>0.64330254689753508</v>
      </c>
      <c r="H66" s="108">
        <f>(INDEX(calc_cylr_p,61)-INDEX(calc_lrcur,61))*100</f>
        <v>0.53025468975350654</v>
      </c>
      <c r="I66" s="109">
        <f>IF($C66="",0,INDEX(calc_arate_p,61))</f>
        <v>1.0000000000000002</v>
      </c>
      <c r="J66" s="109">
        <f>IF($C66="",0,INDEX(calc_amod_p,61))</f>
        <v>1.0083112020337539</v>
      </c>
      <c r="K66" s="99">
        <f>IF($C66="",0,INDEX(calc_echg,61))</f>
        <v>0</v>
      </c>
      <c r="L66" s="99">
        <f>IF($C66="",0,INDEX(calc_carry,61))</f>
        <v>0</v>
      </c>
      <c r="M66" s="106">
        <f>INDEX(calc_cylr_p1,61)</f>
        <v>0.63576768162962372</v>
      </c>
      <c r="N66" s="110">
        <f>N(INDEX(lr_ep,61))</f>
        <v>103500</v>
      </c>
      <c r="O66" s="111">
        <f t="shared" si="1"/>
        <v>2.2885572139303482E-2</v>
      </c>
    </row>
    <row r="67" spans="1:15" x14ac:dyDescent="0.25">
      <c r="A67" s="104" t="str">
        <f>IF(INDEX(lr_key,62)="","",INDEX(lr_bu,62))</f>
        <v>BU-C</v>
      </c>
      <c r="B67" s="104" t="str">
        <f>IF(INDEX(lr_key,62)="","",INDEX(lr_state,62))</f>
        <v>TN</v>
      </c>
      <c r="C67" s="105" t="str">
        <f>INDEX(lr_key,62)</f>
        <v>BU-C|TN</v>
      </c>
      <c r="D67" s="106">
        <f>N(INDEX(lr_lrproj,62))</f>
        <v>0.66600000000000004</v>
      </c>
      <c r="E67" s="34" t="str">
        <f>IF($C67="","",INDEX(lr_basis,62)&amp;"")</f>
        <v>current</v>
      </c>
      <c r="F67" s="106">
        <f>INDEX(calc_lrcur,62)</f>
        <v>0.66600000000000004</v>
      </c>
      <c r="G67" s="107">
        <f>INDEX(calc_cylr_p,62)</f>
        <v>0.6636443414540778</v>
      </c>
      <c r="H67" s="108">
        <f>(INDEX(calc_cylr_p,62)-INDEX(calc_lrcur,62))*100</f>
        <v>-0.23556585459222346</v>
      </c>
      <c r="I67" s="109">
        <f>IF($C67="",0,INDEX(calc_arate_p,62))</f>
        <v>0.98357003029225942</v>
      </c>
      <c r="J67" s="109">
        <f>IF($C67="",0,INDEX(calc_amod_p,62))</f>
        <v>1.0131083140670547</v>
      </c>
      <c r="K67" s="99">
        <f>IF($C67="",0,INDEX(calc_echg,62))</f>
        <v>1.6704422869471269E-2</v>
      </c>
      <c r="L67" s="99">
        <f>IF($C67="",0,INDEX(calc_carry,62))</f>
        <v>2.2776224555298263E-2</v>
      </c>
      <c r="M67" s="106">
        <f>INDEX(calc_cylr_p1,62)</f>
        <v>0.65145145714745112</v>
      </c>
      <c r="N67" s="110">
        <f>N(INDEX(lr_ep,62))</f>
        <v>85500</v>
      </c>
      <c r="O67" s="111">
        <f t="shared" si="1"/>
        <v>1.8905472636815919E-2</v>
      </c>
    </row>
    <row r="68" spans="1:15" x14ac:dyDescent="0.25">
      <c r="A68" s="104" t="str">
        <f>IF(INDEX(lr_key,63)="","",INDEX(lr_bu,63))</f>
        <v>BU-C</v>
      </c>
      <c r="B68" s="104" t="str">
        <f>IF(INDEX(lr_key,63)="","",INDEX(lr_state,63))</f>
        <v>TX</v>
      </c>
      <c r="C68" s="105" t="str">
        <f>INDEX(lr_key,63)</f>
        <v>BU-C|TX</v>
      </c>
      <c r="D68" s="106">
        <f>N(INDEX(lr_lrproj,63))</f>
        <v>0.65</v>
      </c>
      <c r="E68" s="34" t="str">
        <f>IF($C68="","",INDEX(lr_basis,63)&amp;"")</f>
        <v>current</v>
      </c>
      <c r="F68" s="106">
        <f>INDEX(calc_lrcur,63)</f>
        <v>0.65</v>
      </c>
      <c r="G68" s="107">
        <f>INDEX(calc_cylr_p,63)</f>
        <v>0.65617904041251751</v>
      </c>
      <c r="H68" s="108">
        <f>(INDEX(calc_cylr_p,63)-INDEX(calc_lrcur,63))*100</f>
        <v>0.61790404125174891</v>
      </c>
      <c r="I68" s="109">
        <f>IF($C68="",0,INDEX(calc_arate_p,63))</f>
        <v>1</v>
      </c>
      <c r="J68" s="109">
        <f>IF($C68="",0,INDEX(calc_amod_p,63))</f>
        <v>1.0095062160192576</v>
      </c>
      <c r="K68" s="99">
        <f>IF($C68="",0,INDEX(calc_echg,63))</f>
        <v>0</v>
      </c>
      <c r="L68" s="99">
        <f>IF($C68="",0,INDEX(calc_carry,63))</f>
        <v>0</v>
      </c>
      <c r="M68" s="106">
        <f>INDEX(calc_cylr_p1,63)</f>
        <v>0.65102911897485305</v>
      </c>
      <c r="N68" s="110">
        <f>N(INDEX(lr_ep,63))</f>
        <v>67500</v>
      </c>
      <c r="O68" s="111">
        <f t="shared" si="1"/>
        <v>1.4925373134328358E-2</v>
      </c>
    </row>
    <row r="69" spans="1:15" x14ac:dyDescent="0.25">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25">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25">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25">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25">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25">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25">
      <c r="B76" s="96" t="s">
        <v>352</v>
      </c>
      <c r="F76" s="112">
        <f>IF(SUM($N$6:$N$74)=0,"n/a",SUMPRODUCT(F$6:F$74,$N$6:$N$74)/SUM($N$6:$N$74))</f>
        <v>0.6513978109452736</v>
      </c>
      <c r="G76" s="97">
        <f>IF(SUM($N$6:$N$74)=0,"n/a",SUMPRODUCT(G$6:G$74,$N$6:$N$74)/SUM($N$6:$N$74))</f>
        <v>0.65761755354972218</v>
      </c>
      <c r="H76" s="98">
        <f>IF(ISNUMBER($G$76),($G$76-$F$76)*100,"")</f>
        <v>0.62197426044485749</v>
      </c>
      <c r="K76" s="113">
        <f>IF(SUM($N$6:$N$74)=0,"n/a",SUMPRODUCT(K$6:K$74,$N$6:$N$74)/SUM($N$6:$N$74))</f>
        <v>1.1235796618072221E-3</v>
      </c>
      <c r="L76" s="113">
        <f>IF(SUM($N$6:$N$74)=0,"n/a",SUMPRODUCT(L$6:L$74,$N$6:$N$74)/SUM($N$6:$N$74))</f>
        <v>1.2597909740131051E-2</v>
      </c>
      <c r="M76" s="112">
        <f>IF(SUM($N$6:$N$74)=0,"n/a",SUMPRODUCT(M$6:M$74,$N$6:$N$74)/SUM($N$6:$N$74))</f>
        <v>0.64710920329916544</v>
      </c>
      <c r="N76" s="114">
        <f>SUM($N$6:$N$74)</f>
        <v>4522500</v>
      </c>
    </row>
    <row r="77" spans="1:15" x14ac:dyDescent="0.25">
      <c r="B77" s="115" t="s">
        <v>353</v>
      </c>
      <c r="F77" s="93">
        <f>IF(SUMPRODUCT(($C$6:$C$74&lt;&gt;"")*1)=0,"n/a",SUM(F$6:F$74)/SUMPRODUCT(($C$6:$C$74&lt;&gt;"")*1))</f>
        <v>0.65124444444444463</v>
      </c>
      <c r="G77" s="93">
        <f>IF(SUMPRODUCT(($C$6:$C$74&lt;&gt;"")*1)=0,"n/a",SUM(G$6:G$74)/SUMPRODUCT(($C$6:$C$74&lt;&gt;"")*1))</f>
        <v>0.65719796873285952</v>
      </c>
      <c r="K77" s="116">
        <f>IF(SUMPRODUCT(($C$6:$C$74&lt;&gt;"")*1)=0,"n/a",SUM(K$6:K$74)/SUMPRODUCT(($C$6:$C$74&lt;&gt;"")*1))</f>
        <v>1.163886946499313E-3</v>
      </c>
      <c r="L77" s="116">
        <f>IF(SUMPRODUCT(($C$6:$C$74&lt;&gt;"")*1)=0,"n/a",SUM(L$6:L$74)/SUMPRODUCT(($C$6:$C$74&lt;&gt;"")*1))</f>
        <v>1.3443821276780253E-2</v>
      </c>
      <c r="M77" s="93">
        <f>IF(SUMPRODUCT(($C$6:$C$74&lt;&gt;"")*1)=0,"n/a",SUM(M$6:M$74)/SUMPRODUCT(($C$6:$C$74&lt;&gt;"")*1))</f>
        <v>0.64605807264317849</v>
      </c>
    </row>
    <row r="79" spans="1:15" ht="276" x14ac:dyDescent="0.25">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7.42578125" customWidth="1"/>
    <col min="4" max="4" width="8.425781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9" width="8" customWidth="1"/>
    <col min="20" max="20" width="8.42578125" customWidth="1"/>
    <col min="21" max="21" width="10" customWidth="1"/>
    <col min="22" max="22" width="7.42578125" customWidth="1"/>
    <col min="23" max="24" width="8.42578125" customWidth="1"/>
    <col min="25" max="25" width="10" customWidth="1"/>
    <col min="26" max="26" width="7.42578125" customWidth="1"/>
    <col min="27" max="27" width="6" customWidth="1"/>
    <col min="28" max="28" width="10" customWidth="1"/>
    <col min="29" max="29" width="6" customWidth="1"/>
  </cols>
  <sheetData>
    <row r="1" spans="1:29" ht="21" x14ac:dyDescent="0.25">
      <c r="A1" s="1" t="s">
        <v>355</v>
      </c>
    </row>
    <row r="2" spans="1:29" x14ac:dyDescent="0.25">
      <c r="A2" s="2" t="s">
        <v>356</v>
      </c>
    </row>
    <row r="4" spans="1:29" x14ac:dyDescent="0.25">
      <c r="A4" s="115" t="s">
        <v>357</v>
      </c>
      <c r="B4" s="117" t="s">
        <v>358</v>
      </c>
      <c r="C4" s="118" t="str">
        <f>"Showing: "&amp;IF($B$4="All","all business units combined (adj-EP weighted)",$B$4)</f>
        <v>Showing: all business units combined (adj-EP weighted)</v>
      </c>
      <c r="AA4" s="105" t="str">
        <f>IF($B$4="All","*",$B$4)</f>
        <v>*</v>
      </c>
    </row>
    <row r="6" spans="1:29" x14ac:dyDescent="0.25">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45" x14ac:dyDescent="0.25">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25">
      <c r="A8" s="122" t="str">
        <f>_lists!$B$3</f>
        <v>AZ</v>
      </c>
      <c r="B8" s="123">
        <f t="shared" ref="B8:B31" si="0">IF($AA8=0,"",SUMIFS(calc_ep,calc_state,$A8,calc_bu,$AA$4))</f>
        <v>121500</v>
      </c>
      <c r="C8" s="124">
        <f t="shared" ref="C8:C31" si="1">IF($AA8=0,"",IF($B8&gt;0,SUMIFS(calc_w_mind,calc_state,$A8,calc_bu,$AA$4)/$B8,SUMIFS(lr_mind,lr_state,$A8,lr_bu,$AA$4)/$AA8))</f>
        <v>0.85</v>
      </c>
      <c r="D8" s="125">
        <f t="shared" ref="D8:D31" si="2">IF($AA8=0,"",IF($B8&gt;0,SUMIFS(calc_w_m0,calc_state,$A8,calc_bu,$AA$4)/$B8,SUMIFS(lr_m0,lr_state,$A8,lr_bu,$AA$4)/$AA8))</f>
        <v>0.84592592592592597</v>
      </c>
      <c r="E8" s="125">
        <f t="shared" ref="E8:E31" si="3">IF($AA8=0,"",IF($B8&gt;0,SUMIFS(calc_w_m1,calc_state,$A8,calc_bu,$AA$4)/$B8,SUMIFS(lr_m1,lr_state,$A8,lr_bu,$AA$4)/$AA8))</f>
        <v>0.84777777777777774</v>
      </c>
      <c r="F8" s="126" t="str">
        <f t="shared" ref="F8:F31" si="4">IF($AB8="","",IF(COUNTIFS(rl_key,$AB8,rl_seq,1)=0,"",SUMIFS(rl_eff,rl_key,$AB8,rl_seq,1)))</f>
        <v/>
      </c>
      <c r="G8" s="127" t="str">
        <f t="shared" ref="G8:G31" si="5">IF($AB8="","",IF(COUNTIFS(rl_key,$AB8,rl_seq,1)=0,"",SUMIFS(rl_reff,rl_key,$AB8,rl_seq,1)))</f>
        <v/>
      </c>
      <c r="H8" s="128" t="str">
        <f t="shared" ref="H8:H31" si="6">IF($AB8="","",IF(COUNTIFS(rl_key,$AB8,rl_seq,2)=0,"",SUMIFS(rl_eff,rl_key,$AB8,rl_seq,2)))</f>
        <v/>
      </c>
      <c r="I8" s="127" t="str">
        <f t="shared" ref="I8:I31" si="7">IF($AB8="","",IF(COUNTIFS(rl_key,$AB8,rl_seq,2)=0,"",SUMIFS(rl_reff,rl_key,$AB8,rl_seq,2)))</f>
        <v/>
      </c>
      <c r="J8" s="128" t="str">
        <f t="shared" ref="J8:J31" si="8">IF($AB8="","",IF(COUNTIFS(rl_key,$AB8,rl_seq,3)=0,"",SUMIFS(rl_eff,rl_key,$AB8,rl_seq,3)))</f>
        <v/>
      </c>
      <c r="K8" s="127" t="str">
        <f t="shared" ref="K8:K31" si="9">IF($AB8="","",IF(COUNTIFS(rl_key,$AB8,rl_seq,3)=0,"",SUMIFS(rl_reff,rl_key,$AB8,rl_seq,3)))</f>
        <v/>
      </c>
      <c r="L8" s="128" t="str">
        <f t="shared" ref="L8:L31" si="10">IF($AB8="","",IF(COUNTIFS(rl_key,$AB8,rl_seq,4)=0,"",SUMIFS(rl_eff,rl_key,$AB8,rl_seq,4)))</f>
        <v/>
      </c>
      <c r="M8" s="127" t="str">
        <f t="shared" ref="M8:M31" si="11">IF($AB8="","",IF(COUNTIFS(rl_key,$AB8,rl_seq,4)=0,"",SUMIFS(rl_reff,rl_key,$AB8,rl_seq,4)))</f>
        <v/>
      </c>
      <c r="N8" s="129">
        <f t="shared" ref="N8:N31" si="12">IF($AA8=0,"",IF($AB8="",COUNTIFS(rl_state,$A8,rl_eff,"&lt;&gt;"),COUNTIFS(rl_key,$AB8,rl_eff,"&lt;&gt;")))</f>
        <v>6</v>
      </c>
      <c r="O8" s="130">
        <f t="shared" ref="O8:O31" si="13">IF($AA8=0,"",IF($B8&gt;0,SUMIFS(calc_w_crl,calc_state,$A8,calc_bu,$AA$4)/$B8,SUMIFS(calc_crl,calc_state,$A8,calc_bu,$AA$4)/$AA8))</f>
        <v>1.0551555555555554</v>
      </c>
      <c r="P8" s="131">
        <f t="shared" ref="P8:P31" si="14">IF($AA8=0,"",IF($B8&gt;0,SUMIFS(calc_w_ecy,calc_state,$A8,calc_bu,$AA$4)/$B8,SUMIFS(calc_ecy_p,calc_state,$A8,calc_bu,$AA$4)/$AA8))</f>
        <v>1.0585433333333334</v>
      </c>
      <c r="Q8" s="131">
        <f t="shared" ref="Q8:Q31" si="15">IF($AA8=0,"",IF($B8&gt;0,SUMIFS(calc_w_arate,calc_state,$A8,calc_bu,$AA$4)/$B8,SUMIFS(calc_arate_p,calc_state,$A8,calc_bu,$AA$4)/$AA8))</f>
        <v>0.99688661464276995</v>
      </c>
      <c r="R8" s="125">
        <f t="shared" ref="R8:R31" si="16">IF($AA8=0,"",IF($B8&gt;0,SUMIFS(calc_w_mbar,calc_state,$A8,calc_bu,$AA$4)/$B8,SUMIFS(calc_mbar_p,calc_state,$A8,calc_bu,$AA$4)/$AA8))</f>
        <v>0.84629551962611782</v>
      </c>
      <c r="S8" s="131">
        <f t="shared" ref="S8:S31" si="17">IF($AA8=0,"",IF($B8&gt;0,SUMIFS(calc_w_amod,calc_state,$A8,calc_bu,$AA$4)/$B8,SUMIFS(calc_amod_p,calc_state,$A8,calc_bu,$AA$4)/$AA8))</f>
        <v>1.0046032592976408</v>
      </c>
      <c r="T8" s="132">
        <f t="shared" ref="T8:T31" si="18">IF($AA8=0,"",IF($B8&gt;0,SUMIFS(calc_w_lrcur,calc_state,$A8,calc_bu,$AA$4)/$B8,SUMIFS(calc_lrcur,calc_state,$A8,calc_bu,$AA$4)/$AA8))</f>
        <v>0.65311111111111109</v>
      </c>
      <c r="U8" s="133">
        <f t="shared" ref="U8:U31" si="19">IF($AA8=0,"",IF($B8&gt;0,SUMIFS(calc_w_cylr,calc_state,$A8,calc_bu,$AA$4)/$B8,SUMIFS(calc_cylr_p,calc_state,$A8,calc_bu,$AA$4)/$AA8))</f>
        <v>0.65417222254605145</v>
      </c>
      <c r="V8" s="134">
        <f t="shared" ref="V8:V31" si="20">IF($AA8=0,"",IF($B8&gt;0,SUMIFS(calc_w_trend,calc_state,$A8,calc_bu,$AA$4)/$B8,SUMIFS(calc_trend,calc_state,$A8,calc_bu,$AA$4)/$AA8))</f>
        <v>0</v>
      </c>
      <c r="W8" s="131">
        <f t="shared" ref="W8:W31" si="21">IF($AA8=0,"",IF($B8&gt;0,SUMIFS(calc_w_arate1,calc_state,$A8,calc_bu,$AA$4)/$B8,SUMIFS(calc_arate_p1,calc_state,$A8,calc_bu,$AA$4)/$AA8))</f>
        <v>0.97353349585086779</v>
      </c>
      <c r="X8" s="131">
        <f t="shared" ref="X8:X31" si="22">IF($AA8=0,"",IF($B8&gt;0,SUMIFS(calc_w_amod1,calc_state,$A8,calc_bu,$AA$4)/$B8,SUMIFS(calc_amod_p1,calc_state,$A8,calc_bu,$AA$4)/$AA8))</f>
        <v>1.0037627586178703</v>
      </c>
      <c r="Y8" s="133">
        <f t="shared" ref="Y8:Y31" si="23">IF($AA8=0,"",IF($B8&gt;0,SUMIFS(calc_w_cylr1,calc_state,$A8,calc_bu,$AA$4)/$B8,SUMIFS(calc_cylr_p1,calc_state,$A8,calc_bu,$AA$4)/$AA8))</f>
        <v>0.63865060042951938</v>
      </c>
      <c r="Z8" s="134" t="str">
        <f t="shared" ref="Z8:Z31" si="24">IF($AA8=0,"",IF($AC8=0,"—",SUMIFS(calc_netx,calc_state,$A8,calc_bu,$AA$4)/$AC8))</f>
        <v>—</v>
      </c>
      <c r="AA8" s="65">
        <f t="shared" ref="AA8:AA31" si="25">COUNTIFS(calc_state,$A8,calc_bu,$AA$4)</f>
        <v>3</v>
      </c>
      <c r="AB8" s="105" t="str">
        <f t="shared" ref="AB8:AB31" si="26">IF($B$4="All","",$B$4&amp;"|"&amp;$A8)</f>
        <v/>
      </c>
      <c r="AC8" s="65">
        <f t="shared" ref="AC8:AC31" si="27">SUMIFS(calc_netmode,calc_state,$A8,calc_bu,$AA$4)</f>
        <v>0</v>
      </c>
    </row>
    <row r="9" spans="1:29" x14ac:dyDescent="0.25">
      <c r="A9" s="135" t="str">
        <f>_lists!$B$4</f>
        <v>CA</v>
      </c>
      <c r="B9" s="136">
        <f t="shared" si="0"/>
        <v>297000</v>
      </c>
      <c r="C9" s="137">
        <f t="shared" si="1"/>
        <v>0.85</v>
      </c>
      <c r="D9" s="138">
        <f t="shared" si="2"/>
        <v>0.84</v>
      </c>
      <c r="E9" s="138">
        <f t="shared" si="3"/>
        <v>0.84499999999999997</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1.0381833543771044</v>
      </c>
      <c r="Q9" s="144">
        <f t="shared" si="15"/>
        <v>1.0021305373382894</v>
      </c>
      <c r="R9" s="138">
        <f t="shared" si="16"/>
        <v>0.84099790299051769</v>
      </c>
      <c r="S9" s="144">
        <f t="shared" si="17"/>
        <v>1.0107040659405588</v>
      </c>
      <c r="T9" s="145">
        <f t="shared" si="18"/>
        <v>0.66128484848484848</v>
      </c>
      <c r="U9" s="146">
        <f t="shared" si="19"/>
        <v>0.66984780840321345</v>
      </c>
      <c r="V9" s="147">
        <f t="shared" si="20"/>
        <v>3.3333333333333335E-3</v>
      </c>
      <c r="W9" s="144">
        <f t="shared" si="21"/>
        <v>0.98780310113287251</v>
      </c>
      <c r="X9" s="144">
        <f t="shared" si="22"/>
        <v>1.0067175559948376</v>
      </c>
      <c r="Y9" s="146">
        <f t="shared" si="23"/>
        <v>0.65993083030048372</v>
      </c>
      <c r="Z9" s="147" t="str">
        <f t="shared" si="24"/>
        <v>—</v>
      </c>
      <c r="AA9" s="65">
        <f t="shared" si="25"/>
        <v>3</v>
      </c>
      <c r="AB9" s="105" t="str">
        <f t="shared" si="26"/>
        <v/>
      </c>
      <c r="AC9" s="65">
        <f t="shared" si="27"/>
        <v>0</v>
      </c>
    </row>
    <row r="10" spans="1:29" x14ac:dyDescent="0.25">
      <c r="A10" s="122" t="str">
        <f>_lists!$B$5</f>
        <v>CO</v>
      </c>
      <c r="B10" s="123">
        <f t="shared" si="0"/>
        <v>243000</v>
      </c>
      <c r="C10" s="124">
        <f t="shared" si="1"/>
        <v>0.85</v>
      </c>
      <c r="D10" s="125">
        <f t="shared" si="2"/>
        <v>0.84</v>
      </c>
      <c r="E10" s="125">
        <f t="shared" si="3"/>
        <v>0.86</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1.018232190860215</v>
      </c>
      <c r="Q10" s="131">
        <f t="shared" si="15"/>
        <v>0.99851566390348856</v>
      </c>
      <c r="R10" s="125">
        <f t="shared" si="16"/>
        <v>0.84399161196207151</v>
      </c>
      <c r="S10" s="131">
        <f t="shared" si="17"/>
        <v>1.0071190139247479</v>
      </c>
      <c r="T10" s="132">
        <f t="shared" si="18"/>
        <v>0.64311111111111108</v>
      </c>
      <c r="U10" s="133">
        <f t="shared" si="19"/>
        <v>0.65110400430549775</v>
      </c>
      <c r="V10" s="134">
        <f t="shared" si="20"/>
        <v>0</v>
      </c>
      <c r="W10" s="131">
        <f t="shared" si="21"/>
        <v>0.99094928943313731</v>
      </c>
      <c r="X10" s="131">
        <f t="shared" si="22"/>
        <v>0.99147019211144072</v>
      </c>
      <c r="Y10" s="133">
        <f t="shared" si="23"/>
        <v>0.63595208532496428</v>
      </c>
      <c r="Z10" s="134" t="str">
        <f t="shared" si="24"/>
        <v>—</v>
      </c>
      <c r="AA10" s="65">
        <f t="shared" si="25"/>
        <v>3</v>
      </c>
      <c r="AB10" s="105" t="str">
        <f t="shared" si="26"/>
        <v/>
      </c>
      <c r="AC10" s="65">
        <f t="shared" si="27"/>
        <v>0</v>
      </c>
    </row>
    <row r="11" spans="1:29" x14ac:dyDescent="0.25">
      <c r="A11" s="135" t="str">
        <f>_lists!$B$6</f>
        <v>CT</v>
      </c>
      <c r="B11" s="136">
        <f t="shared" si="0"/>
        <v>189000</v>
      </c>
      <c r="C11" s="137">
        <f t="shared" si="1"/>
        <v>0.85</v>
      </c>
      <c r="D11" s="138">
        <f t="shared" si="2"/>
        <v>0.84309523809523812</v>
      </c>
      <c r="E11" s="138">
        <f t="shared" si="3"/>
        <v>0.84309523809523812</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1.0477723214285715</v>
      </c>
      <c r="Q11" s="144">
        <f t="shared" si="15"/>
        <v>1.001395564082973</v>
      </c>
      <c r="R11" s="138">
        <f t="shared" si="16"/>
        <v>0.84309523809523812</v>
      </c>
      <c r="S11" s="144">
        <f t="shared" si="17"/>
        <v>1.008219954648526</v>
      </c>
      <c r="T11" s="145">
        <f t="shared" si="18"/>
        <v>0.6563809523809524</v>
      </c>
      <c r="U11" s="146">
        <f t="shared" si="19"/>
        <v>0.66263474473264639</v>
      </c>
      <c r="V11" s="147">
        <f t="shared" si="20"/>
        <v>0</v>
      </c>
      <c r="W11" s="144">
        <f t="shared" si="21"/>
        <v>0.97234938541723126</v>
      </c>
      <c r="X11" s="144">
        <f t="shared" si="22"/>
        <v>1.008219954648526</v>
      </c>
      <c r="Y11" s="146">
        <f t="shared" si="23"/>
        <v>0.64355939450318778</v>
      </c>
      <c r="Z11" s="147" t="str">
        <f t="shared" si="24"/>
        <v>—</v>
      </c>
      <c r="AA11" s="65">
        <f t="shared" si="25"/>
        <v>3</v>
      </c>
      <c r="AB11" s="105" t="str">
        <f t="shared" si="26"/>
        <v/>
      </c>
      <c r="AC11" s="65">
        <f t="shared" si="27"/>
        <v>0</v>
      </c>
    </row>
    <row r="12" spans="1:29" x14ac:dyDescent="0.25">
      <c r="A12" s="122" t="str">
        <f>_lists!$B$7</f>
        <v>FL</v>
      </c>
      <c r="B12" s="123">
        <f t="shared" si="0"/>
        <v>135000</v>
      </c>
      <c r="C12" s="124">
        <f t="shared" si="1"/>
        <v>0.85</v>
      </c>
      <c r="D12" s="125">
        <f t="shared" si="2"/>
        <v>0.84</v>
      </c>
      <c r="E12" s="125">
        <f t="shared" si="3"/>
        <v>0.85499999999999998</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1.0259574074074074</v>
      </c>
      <c r="Q12" s="131">
        <f t="shared" si="15"/>
        <v>0.99871557790023036</v>
      </c>
      <c r="R12" s="125">
        <f t="shared" si="16"/>
        <v>0.8429937089715539</v>
      </c>
      <c r="S12" s="131">
        <f t="shared" si="17"/>
        <v>1.0083112020337541</v>
      </c>
      <c r="T12" s="132">
        <f t="shared" si="18"/>
        <v>0.65493333333333337</v>
      </c>
      <c r="U12" s="133">
        <f t="shared" si="19"/>
        <v>0.65949363366342051</v>
      </c>
      <c r="V12" s="134">
        <f t="shared" si="20"/>
        <v>0</v>
      </c>
      <c r="W12" s="131">
        <f t="shared" si="21"/>
        <v>0.98825316003394503</v>
      </c>
      <c r="X12" s="131">
        <f t="shared" si="22"/>
        <v>0.99650106838498997</v>
      </c>
      <c r="Y12" s="133">
        <f t="shared" si="23"/>
        <v>0.64479892154147422</v>
      </c>
      <c r="Z12" s="134" t="str">
        <f t="shared" si="24"/>
        <v>—</v>
      </c>
      <c r="AA12" s="65">
        <f t="shared" si="25"/>
        <v>3</v>
      </c>
      <c r="AB12" s="105" t="str">
        <f t="shared" si="26"/>
        <v/>
      </c>
      <c r="AC12" s="65">
        <f t="shared" si="27"/>
        <v>0</v>
      </c>
    </row>
    <row r="13" spans="1:29" x14ac:dyDescent="0.25">
      <c r="A13" s="135" t="str">
        <f>_lists!$B$8</f>
        <v>GA</v>
      </c>
      <c r="B13" s="136">
        <f t="shared" si="0"/>
        <v>310500</v>
      </c>
      <c r="C13" s="137">
        <f t="shared" si="1"/>
        <v>0.85</v>
      </c>
      <c r="D13" s="138">
        <f t="shared" si="2"/>
        <v>0.84</v>
      </c>
      <c r="E13" s="138">
        <f t="shared" si="3"/>
        <v>0.83499999999999996</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1.0153698872785828</v>
      </c>
      <c r="Q13" s="144">
        <f t="shared" si="15"/>
        <v>0.99902494201999859</v>
      </c>
      <c r="R13" s="138">
        <f t="shared" si="16"/>
        <v>0.83868561603380076</v>
      </c>
      <c r="S13" s="144">
        <f t="shared" si="17"/>
        <v>1.0134909225084039</v>
      </c>
      <c r="T13" s="145">
        <f t="shared" si="18"/>
        <v>0.65446376811594198</v>
      </c>
      <c r="U13" s="146">
        <f t="shared" si="19"/>
        <v>0.66265580091270204</v>
      </c>
      <c r="V13" s="147">
        <f t="shared" si="20"/>
        <v>0</v>
      </c>
      <c r="W13" s="144">
        <f t="shared" si="21"/>
        <v>0.98876389220638228</v>
      </c>
      <c r="X13" s="144">
        <f t="shared" si="22"/>
        <v>1.0168226405370893</v>
      </c>
      <c r="Y13" s="146">
        <f t="shared" si="23"/>
        <v>0.65819461102510923</v>
      </c>
      <c r="Z13" s="147" t="str">
        <f t="shared" si="24"/>
        <v>—</v>
      </c>
      <c r="AA13" s="65">
        <f t="shared" si="25"/>
        <v>3</v>
      </c>
      <c r="AB13" s="105" t="str">
        <f t="shared" si="26"/>
        <v/>
      </c>
      <c r="AC13" s="65">
        <f t="shared" si="27"/>
        <v>0</v>
      </c>
    </row>
    <row r="14" spans="1:29" x14ac:dyDescent="0.25">
      <c r="A14" s="122" t="str">
        <f>_lists!$B$9</f>
        <v>IL</v>
      </c>
      <c r="B14" s="123">
        <f t="shared" si="0"/>
        <v>256500</v>
      </c>
      <c r="C14" s="124">
        <f t="shared" si="1"/>
        <v>0.85</v>
      </c>
      <c r="D14" s="125">
        <f t="shared" si="2"/>
        <v>0.84</v>
      </c>
      <c r="E14" s="125">
        <f t="shared" si="3"/>
        <v>0.85</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1.0411622807017544</v>
      </c>
      <c r="Q14" s="131">
        <f t="shared" si="15"/>
        <v>0.98267282886138307</v>
      </c>
      <c r="R14" s="125">
        <f t="shared" si="16"/>
        <v>0.84199580598103552</v>
      </c>
      <c r="S14" s="131">
        <f t="shared" si="17"/>
        <v>1.0095062160192576</v>
      </c>
      <c r="T14" s="132">
        <f t="shared" si="18"/>
        <v>0.65245614035087718</v>
      </c>
      <c r="U14" s="133">
        <f t="shared" si="19"/>
        <v>0.64722633497897608</v>
      </c>
      <c r="V14" s="134">
        <f t="shared" si="20"/>
        <v>0</v>
      </c>
      <c r="W14" s="131">
        <f t="shared" si="21"/>
        <v>0.97858496005271378</v>
      </c>
      <c r="X14" s="131">
        <f t="shared" si="22"/>
        <v>1.0015832599613124</v>
      </c>
      <c r="Y14" s="133">
        <f t="shared" si="23"/>
        <v>0.6394615376626237</v>
      </c>
      <c r="Z14" s="134" t="str">
        <f t="shared" si="24"/>
        <v>—</v>
      </c>
      <c r="AA14" s="65">
        <f t="shared" si="25"/>
        <v>3</v>
      </c>
      <c r="AB14" s="105" t="str">
        <f t="shared" si="26"/>
        <v/>
      </c>
      <c r="AC14" s="65">
        <f t="shared" si="27"/>
        <v>0</v>
      </c>
    </row>
    <row r="15" spans="1:29" x14ac:dyDescent="0.25">
      <c r="A15" s="135" t="str">
        <f>_lists!$B$10</f>
        <v>IN</v>
      </c>
      <c r="B15" s="136">
        <f t="shared" si="0"/>
        <v>202500</v>
      </c>
      <c r="C15" s="137">
        <f t="shared" si="1"/>
        <v>0.85</v>
      </c>
      <c r="D15" s="138">
        <f t="shared" si="2"/>
        <v>0.84</v>
      </c>
      <c r="E15" s="138">
        <f t="shared" si="3"/>
        <v>0.83</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1.0477982716049383</v>
      </c>
      <c r="Q15" s="144">
        <f t="shared" si="15"/>
        <v>1.0025592641337973</v>
      </c>
      <c r="R15" s="138">
        <f t="shared" si="16"/>
        <v>0.8380041940189642</v>
      </c>
      <c r="S15" s="144">
        <f t="shared" si="17"/>
        <v>1.0143147326309971</v>
      </c>
      <c r="T15" s="145">
        <f t="shared" si="18"/>
        <v>0.65106666666666668</v>
      </c>
      <c r="U15" s="146">
        <f t="shared" si="19"/>
        <v>0.66209275006254531</v>
      </c>
      <c r="V15" s="147">
        <f t="shared" si="20"/>
        <v>0</v>
      </c>
      <c r="W15" s="144">
        <f t="shared" si="21"/>
        <v>0.99006345348994185</v>
      </c>
      <c r="X15" s="144">
        <f t="shared" si="22"/>
        <v>1.0224412088947785</v>
      </c>
      <c r="Y15" s="146">
        <f t="shared" si="23"/>
        <v>0.65919560664638321</v>
      </c>
      <c r="Z15" s="147" t="str">
        <f t="shared" si="24"/>
        <v>—</v>
      </c>
      <c r="AA15" s="65">
        <f t="shared" si="25"/>
        <v>3</v>
      </c>
      <c r="AB15" s="105" t="str">
        <f t="shared" si="26"/>
        <v/>
      </c>
      <c r="AC15" s="65">
        <f t="shared" si="27"/>
        <v>0</v>
      </c>
    </row>
    <row r="16" spans="1:29" x14ac:dyDescent="0.25">
      <c r="A16" s="122" t="str">
        <f>_lists!$B$11</f>
        <v>IA</v>
      </c>
      <c r="B16" s="123">
        <f t="shared" si="0"/>
        <v>148500</v>
      </c>
      <c r="C16" s="124">
        <f t="shared" si="1"/>
        <v>0.85</v>
      </c>
      <c r="D16" s="125">
        <f t="shared" si="2"/>
        <v>0.84</v>
      </c>
      <c r="E16" s="125">
        <f t="shared" si="3"/>
        <v>0.84499999999999997</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1.0227453728623603</v>
      </c>
      <c r="Q16" s="131">
        <f t="shared" si="15"/>
        <v>0.97854689924169003</v>
      </c>
      <c r="R16" s="125">
        <f t="shared" si="16"/>
        <v>0.8409979029905178</v>
      </c>
      <c r="S16" s="131">
        <f t="shared" si="17"/>
        <v>1.0068116783258101</v>
      </c>
      <c r="T16" s="132">
        <f t="shared" si="18"/>
        <v>0.65096969696969698</v>
      </c>
      <c r="U16" s="133">
        <f t="shared" si="19"/>
        <v>0.64106138722003558</v>
      </c>
      <c r="V16" s="134">
        <f t="shared" si="20"/>
        <v>0</v>
      </c>
      <c r="W16" s="131">
        <f t="shared" si="21"/>
        <v>0.93850213252101677</v>
      </c>
      <c r="X16" s="131">
        <f t="shared" si="22"/>
        <v>1.0042748083603512</v>
      </c>
      <c r="Y16" s="133">
        <f t="shared" si="23"/>
        <v>0.61286654553280895</v>
      </c>
      <c r="Z16" s="134">
        <f t="shared" si="24"/>
        <v>0.1</v>
      </c>
      <c r="AA16" s="65">
        <f t="shared" si="25"/>
        <v>3</v>
      </c>
      <c r="AB16" s="105" t="str">
        <f t="shared" si="26"/>
        <v/>
      </c>
      <c r="AC16" s="65">
        <f t="shared" si="27"/>
        <v>1</v>
      </c>
    </row>
    <row r="17" spans="1:29" x14ac:dyDescent="0.25">
      <c r="A17" s="135" t="str">
        <f>_lists!$B$12</f>
        <v>KY</v>
      </c>
      <c r="B17" s="136">
        <f t="shared" si="0"/>
        <v>247500</v>
      </c>
      <c r="C17" s="137">
        <f t="shared" si="1"/>
        <v>0.85</v>
      </c>
      <c r="D17" s="138">
        <f t="shared" si="2"/>
        <v>0.84</v>
      </c>
      <c r="E17" s="138">
        <f t="shared" si="3"/>
        <v>0.86</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1.0304518181818183</v>
      </c>
      <c r="Q17" s="144">
        <f t="shared" si="15"/>
        <v>1.0074306413757155</v>
      </c>
      <c r="R17" s="138">
        <f t="shared" si="16"/>
        <v>0.84399161196207151</v>
      </c>
      <c r="S17" s="144">
        <f t="shared" si="17"/>
        <v>1.0071190139247479</v>
      </c>
      <c r="T17" s="145">
        <f t="shared" si="18"/>
        <v>0.64803636363636363</v>
      </c>
      <c r="U17" s="146">
        <f t="shared" si="19"/>
        <v>0.6575720118687749</v>
      </c>
      <c r="V17" s="147">
        <f t="shared" si="20"/>
        <v>0</v>
      </c>
      <c r="W17" s="144">
        <f t="shared" si="21"/>
        <v>0.98831326632055672</v>
      </c>
      <c r="X17" s="144">
        <f t="shared" si="22"/>
        <v>0.99147019211144083</v>
      </c>
      <c r="Y17" s="146">
        <f t="shared" si="23"/>
        <v>0.6348381121166059</v>
      </c>
      <c r="Z17" s="147" t="str">
        <f t="shared" si="24"/>
        <v>—</v>
      </c>
      <c r="AA17" s="65">
        <f t="shared" si="25"/>
        <v>3</v>
      </c>
      <c r="AB17" s="105" t="str">
        <f t="shared" si="26"/>
        <v/>
      </c>
      <c r="AC17" s="65">
        <f t="shared" si="27"/>
        <v>0</v>
      </c>
    </row>
    <row r="18" spans="1:29" x14ac:dyDescent="0.25">
      <c r="A18" s="122" t="str">
        <f>_lists!$B$13</f>
        <v>MD</v>
      </c>
      <c r="B18" s="123">
        <f t="shared" si="0"/>
        <v>270000</v>
      </c>
      <c r="C18" s="124">
        <f t="shared" si="1"/>
        <v>0.85</v>
      </c>
      <c r="D18" s="125">
        <f t="shared" si="2"/>
        <v>0.84</v>
      </c>
      <c r="E18" s="125">
        <f t="shared" si="3"/>
        <v>0.84</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1.0256550925925929</v>
      </c>
      <c r="Q18" s="131">
        <f t="shared" si="15"/>
        <v>1.0045802589088944</v>
      </c>
      <c r="R18" s="125">
        <f t="shared" si="16"/>
        <v>0.84</v>
      </c>
      <c r="S18" s="131">
        <f t="shared" si="17"/>
        <v>1.0119047619047619</v>
      </c>
      <c r="T18" s="132">
        <f t="shared" si="18"/>
        <v>0.64713333333333334</v>
      </c>
      <c r="U18" s="133">
        <f t="shared" si="19"/>
        <v>0.65784914973896447</v>
      </c>
      <c r="V18" s="134">
        <f t="shared" si="20"/>
        <v>0</v>
      </c>
      <c r="W18" s="131">
        <f t="shared" si="21"/>
        <v>1</v>
      </c>
      <c r="X18" s="131">
        <f t="shared" si="22"/>
        <v>1.0119047619047619</v>
      </c>
      <c r="Y18" s="133">
        <f t="shared" si="23"/>
        <v>0.65483730158730158</v>
      </c>
      <c r="Z18" s="134" t="str">
        <f t="shared" si="24"/>
        <v>—</v>
      </c>
      <c r="AA18" s="65">
        <f t="shared" si="25"/>
        <v>3</v>
      </c>
      <c r="AB18" s="105" t="str">
        <f t="shared" si="26"/>
        <v/>
      </c>
      <c r="AC18" s="65">
        <f t="shared" si="27"/>
        <v>0</v>
      </c>
    </row>
    <row r="19" spans="1:29" x14ac:dyDescent="0.25">
      <c r="A19" s="135" t="str">
        <f>_lists!$B$14</f>
        <v>MI</v>
      </c>
      <c r="B19" s="136">
        <f t="shared" si="0"/>
        <v>216000</v>
      </c>
      <c r="C19" s="137">
        <f t="shared" si="1"/>
        <v>0.85</v>
      </c>
      <c r="D19" s="138">
        <f t="shared" si="2"/>
        <v>0.84</v>
      </c>
      <c r="E19" s="138">
        <f t="shared" si="3"/>
        <v>0.85499999999999998</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1.0039843749999999</v>
      </c>
      <c r="Q19" s="144">
        <f t="shared" si="15"/>
        <v>0.9960599505562423</v>
      </c>
      <c r="R19" s="138">
        <f t="shared" si="16"/>
        <v>0.84299370897155379</v>
      </c>
      <c r="S19" s="144">
        <f t="shared" si="17"/>
        <v>1.0083112020337539</v>
      </c>
      <c r="T19" s="145">
        <f t="shared" si="18"/>
        <v>0.64666666666666661</v>
      </c>
      <c r="U19" s="146">
        <f t="shared" si="19"/>
        <v>0.64941125303597891</v>
      </c>
      <c r="V19" s="147">
        <f t="shared" si="20"/>
        <v>0</v>
      </c>
      <c r="W19" s="144">
        <f t="shared" si="21"/>
        <v>0.98678800641797026</v>
      </c>
      <c r="X19" s="144">
        <f t="shared" si="22"/>
        <v>0.99650106838498997</v>
      </c>
      <c r="Y19" s="146">
        <f t="shared" si="23"/>
        <v>0.6356882873156614</v>
      </c>
      <c r="Z19" s="147" t="str">
        <f t="shared" si="24"/>
        <v>—</v>
      </c>
      <c r="AA19" s="65">
        <f t="shared" si="25"/>
        <v>3</v>
      </c>
      <c r="AB19" s="105" t="str">
        <f t="shared" si="26"/>
        <v/>
      </c>
      <c r="AC19" s="65">
        <f t="shared" si="27"/>
        <v>0</v>
      </c>
    </row>
    <row r="20" spans="1:29" x14ac:dyDescent="0.25">
      <c r="A20" s="122" t="str">
        <f>_lists!$B$15</f>
        <v>MN</v>
      </c>
      <c r="B20" s="123">
        <f t="shared" si="0"/>
        <v>162000</v>
      </c>
      <c r="C20" s="124">
        <f t="shared" si="1"/>
        <v>0.85</v>
      </c>
      <c r="D20" s="125">
        <f t="shared" si="2"/>
        <v>0.84</v>
      </c>
      <c r="E20" s="125">
        <f t="shared" si="3"/>
        <v>0.83499999999999996</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1.0470972222222223</v>
      </c>
      <c r="Q20" s="131">
        <f t="shared" si="15"/>
        <v>1.0032890579349141</v>
      </c>
      <c r="R20" s="125">
        <f t="shared" si="16"/>
        <v>0.83900209700948214</v>
      </c>
      <c r="S20" s="131">
        <f t="shared" si="17"/>
        <v>1.0131083140670547</v>
      </c>
      <c r="T20" s="132">
        <f t="shared" si="18"/>
        <v>0.64433333333333331</v>
      </c>
      <c r="U20" s="133">
        <f t="shared" si="19"/>
        <v>0.65492043685850476</v>
      </c>
      <c r="V20" s="134">
        <f t="shared" si="20"/>
        <v>0</v>
      </c>
      <c r="W20" s="131">
        <f t="shared" si="21"/>
        <v>0.98756518251103076</v>
      </c>
      <c r="X20" s="131">
        <f t="shared" si="22"/>
        <v>1.0171456997962478</v>
      </c>
      <c r="Y20" s="133">
        <f t="shared" si="23"/>
        <v>0.64741262591928894</v>
      </c>
      <c r="Z20" s="134" t="str">
        <f t="shared" si="24"/>
        <v>—</v>
      </c>
      <c r="AA20" s="65">
        <f t="shared" si="25"/>
        <v>3</v>
      </c>
      <c r="AB20" s="105" t="str">
        <f t="shared" si="26"/>
        <v/>
      </c>
      <c r="AC20" s="65">
        <f t="shared" si="27"/>
        <v>0</v>
      </c>
    </row>
    <row r="21" spans="1:29" x14ac:dyDescent="0.25">
      <c r="A21" s="135" t="str">
        <f>_lists!$B$16</f>
        <v>MO</v>
      </c>
      <c r="B21" s="136">
        <f t="shared" si="0"/>
        <v>184500</v>
      </c>
      <c r="C21" s="137">
        <f t="shared" si="1"/>
        <v>0.85</v>
      </c>
      <c r="D21" s="138">
        <f t="shared" si="2"/>
        <v>0.84</v>
      </c>
      <c r="E21" s="138">
        <f t="shared" si="3"/>
        <v>0.85</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1.0473668699186991</v>
      </c>
      <c r="Q21" s="144">
        <f t="shared" si="15"/>
        <v>0.99822913970430627</v>
      </c>
      <c r="R21" s="138">
        <f t="shared" si="16"/>
        <v>0.84199580598103552</v>
      </c>
      <c r="S21" s="144">
        <f t="shared" si="17"/>
        <v>1.0095062160192576</v>
      </c>
      <c r="T21" s="145">
        <f t="shared" si="18"/>
        <v>0.6424878048780488</v>
      </c>
      <c r="U21" s="146">
        <f t="shared" si="19"/>
        <v>0.64750201621992387</v>
      </c>
      <c r="V21" s="147">
        <f t="shared" si="20"/>
        <v>0</v>
      </c>
      <c r="W21" s="144">
        <f t="shared" si="21"/>
        <v>0.97816324733644455</v>
      </c>
      <c r="X21" s="144">
        <f t="shared" si="22"/>
        <v>1.0015832599613124</v>
      </c>
      <c r="Y21" s="146">
        <f t="shared" si="23"/>
        <v>0.62946363885467527</v>
      </c>
      <c r="Z21" s="147" t="str">
        <f t="shared" si="24"/>
        <v>—</v>
      </c>
      <c r="AA21" s="65">
        <f t="shared" si="25"/>
        <v>3</v>
      </c>
      <c r="AB21" s="105" t="str">
        <f t="shared" si="26"/>
        <v/>
      </c>
      <c r="AC21" s="65">
        <f t="shared" si="27"/>
        <v>0</v>
      </c>
    </row>
    <row r="22" spans="1:29" x14ac:dyDescent="0.25">
      <c r="A22" s="122" t="str">
        <f>_lists!$B$17</f>
        <v>NC</v>
      </c>
      <c r="B22" s="123">
        <f t="shared" si="0"/>
        <v>283500</v>
      </c>
      <c r="C22" s="124">
        <f t="shared" si="1"/>
        <v>0.85</v>
      </c>
      <c r="D22" s="125">
        <f t="shared" si="2"/>
        <v>0.84</v>
      </c>
      <c r="E22" s="125">
        <f t="shared" si="3"/>
        <v>0.83</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0.8380041940189642</v>
      </c>
      <c r="S22" s="131">
        <f t="shared" si="17"/>
        <v>1.0143147326309971</v>
      </c>
      <c r="T22" s="132">
        <f t="shared" si="18"/>
        <v>0.65647619047619044</v>
      </c>
      <c r="U22" s="133">
        <f t="shared" si="19"/>
        <v>0.6658734716214727</v>
      </c>
      <c r="V22" s="134">
        <f t="shared" si="20"/>
        <v>0</v>
      </c>
      <c r="W22" s="131">
        <f t="shared" si="21"/>
        <v>1</v>
      </c>
      <c r="X22" s="131">
        <f t="shared" si="22"/>
        <v>1.0224412088947785</v>
      </c>
      <c r="Y22" s="133">
        <f t="shared" si="23"/>
        <v>0.67120830980111512</v>
      </c>
      <c r="Z22" s="134" t="str">
        <f t="shared" si="24"/>
        <v>—</v>
      </c>
      <c r="AA22" s="65">
        <f t="shared" si="25"/>
        <v>3</v>
      </c>
      <c r="AB22" s="105" t="str">
        <f t="shared" si="26"/>
        <v/>
      </c>
      <c r="AC22" s="65">
        <f t="shared" si="27"/>
        <v>0</v>
      </c>
    </row>
    <row r="23" spans="1:29" x14ac:dyDescent="0.25">
      <c r="A23" s="135" t="str">
        <f>_lists!$B$18</f>
        <v>NJ</v>
      </c>
      <c r="B23" s="136">
        <f t="shared" si="0"/>
        <v>229500</v>
      </c>
      <c r="C23" s="137">
        <f t="shared" si="1"/>
        <v>0.85</v>
      </c>
      <c r="D23" s="138">
        <f t="shared" si="2"/>
        <v>0.84</v>
      </c>
      <c r="E23" s="138">
        <f t="shared" si="3"/>
        <v>0.84499999999999997</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1.0275000000000001</v>
      </c>
      <c r="Q23" s="144">
        <f t="shared" si="15"/>
        <v>1.0028039168960203</v>
      </c>
      <c r="R23" s="138">
        <f t="shared" si="16"/>
        <v>0.84099790299051769</v>
      </c>
      <c r="S23" s="144">
        <f t="shared" si="17"/>
        <v>1.0107040659405588</v>
      </c>
      <c r="T23" s="145">
        <f t="shared" si="18"/>
        <v>0.65509803921568632</v>
      </c>
      <c r="U23" s="146">
        <f t="shared" si="19"/>
        <v>0.66393196794486953</v>
      </c>
      <c r="V23" s="147">
        <f t="shared" si="20"/>
        <v>0</v>
      </c>
      <c r="W23" s="144">
        <f t="shared" si="21"/>
        <v>0.98866071499173669</v>
      </c>
      <c r="X23" s="144">
        <f t="shared" si="22"/>
        <v>1.0067175559948376</v>
      </c>
      <c r="Y23" s="146">
        <f t="shared" si="23"/>
        <v>0.65216997339588678</v>
      </c>
      <c r="Z23" s="147" t="str">
        <f t="shared" si="24"/>
        <v>—</v>
      </c>
      <c r="AA23" s="65">
        <f t="shared" si="25"/>
        <v>3</v>
      </c>
      <c r="AB23" s="105" t="str">
        <f t="shared" si="26"/>
        <v/>
      </c>
      <c r="AC23" s="65">
        <f t="shared" si="27"/>
        <v>0</v>
      </c>
    </row>
    <row r="24" spans="1:29" x14ac:dyDescent="0.25">
      <c r="A24" s="122" t="str">
        <f>_lists!$B$19</f>
        <v>NY</v>
      </c>
      <c r="B24" s="123">
        <f t="shared" si="0"/>
        <v>175500</v>
      </c>
      <c r="C24" s="124">
        <f t="shared" si="1"/>
        <v>0.85</v>
      </c>
      <c r="D24" s="125">
        <f t="shared" si="2"/>
        <v>0.84</v>
      </c>
      <c r="E24" s="125">
        <f t="shared" si="3"/>
        <v>0.86</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1.0349252136752138</v>
      </c>
      <c r="Q24" s="131">
        <f t="shared" si="15"/>
        <v>1.0054247135647845</v>
      </c>
      <c r="R24" s="125">
        <f t="shared" si="16"/>
        <v>0.84399161196207151</v>
      </c>
      <c r="S24" s="131">
        <f t="shared" si="17"/>
        <v>1.0071190139247479</v>
      </c>
      <c r="T24" s="132">
        <f t="shared" si="18"/>
        <v>0.65482051282051279</v>
      </c>
      <c r="U24" s="133">
        <f t="shared" si="19"/>
        <v>0.6631444233691105</v>
      </c>
      <c r="V24" s="134">
        <f t="shared" si="20"/>
        <v>0</v>
      </c>
      <c r="W24" s="131">
        <f t="shared" si="21"/>
        <v>0.9892906752699735</v>
      </c>
      <c r="X24" s="131">
        <f t="shared" si="22"/>
        <v>0.99147019211144083</v>
      </c>
      <c r="Y24" s="133">
        <f t="shared" si="23"/>
        <v>0.64229086317882511</v>
      </c>
      <c r="Z24" s="134" t="str">
        <f t="shared" si="24"/>
        <v>—</v>
      </c>
      <c r="AA24" s="65">
        <f t="shared" si="25"/>
        <v>3</v>
      </c>
      <c r="AB24" s="105" t="str">
        <f t="shared" si="26"/>
        <v/>
      </c>
      <c r="AC24" s="65">
        <f t="shared" si="27"/>
        <v>0</v>
      </c>
    </row>
    <row r="25" spans="1:29" x14ac:dyDescent="0.25">
      <c r="A25" s="135" t="str">
        <f>_lists!$B$20</f>
        <v>OH</v>
      </c>
      <c r="B25" s="136">
        <f t="shared" si="0"/>
        <v>121500</v>
      </c>
      <c r="C25" s="137">
        <f t="shared" si="1"/>
        <v>0.85</v>
      </c>
      <c r="D25" s="138">
        <f t="shared" si="2"/>
        <v>0.84</v>
      </c>
      <c r="E25" s="138">
        <f t="shared" si="3"/>
        <v>0.84</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1.0010288065843622</v>
      </c>
      <c r="Q25" s="144">
        <f t="shared" si="15"/>
        <v>0.99897475330001284</v>
      </c>
      <c r="R25" s="138">
        <f t="shared" si="16"/>
        <v>0.84</v>
      </c>
      <c r="S25" s="144">
        <f t="shared" si="17"/>
        <v>1.0119047619047619</v>
      </c>
      <c r="T25" s="145">
        <f t="shared" si="18"/>
        <v>0.65222222222222226</v>
      </c>
      <c r="U25" s="146">
        <f t="shared" si="19"/>
        <v>0.65929582944288834</v>
      </c>
      <c r="V25" s="147">
        <f t="shared" si="20"/>
        <v>0</v>
      </c>
      <c r="W25" s="144">
        <f t="shared" si="21"/>
        <v>0.99048060023997642</v>
      </c>
      <c r="X25" s="144">
        <f t="shared" si="22"/>
        <v>1.0119047619047619</v>
      </c>
      <c r="Y25" s="146">
        <f t="shared" si="23"/>
        <v>0.6535713770056425</v>
      </c>
      <c r="Z25" s="147" t="str">
        <f t="shared" si="24"/>
        <v>—</v>
      </c>
      <c r="AA25" s="65">
        <f t="shared" si="25"/>
        <v>3</v>
      </c>
      <c r="AB25" s="105" t="str">
        <f t="shared" si="26"/>
        <v/>
      </c>
      <c r="AC25" s="65">
        <f t="shared" si="27"/>
        <v>0</v>
      </c>
    </row>
    <row r="26" spans="1:29" x14ac:dyDescent="0.25">
      <c r="A26" s="122" t="str">
        <f>_lists!$B$21</f>
        <v>PA</v>
      </c>
      <c r="B26" s="123">
        <f t="shared" si="0"/>
        <v>297000</v>
      </c>
      <c r="C26" s="124">
        <f t="shared" si="1"/>
        <v>0.85</v>
      </c>
      <c r="D26" s="125">
        <f t="shared" si="2"/>
        <v>0.84</v>
      </c>
      <c r="E26" s="125">
        <f t="shared" si="3"/>
        <v>0.85499999999999998</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1.0402651515151515</v>
      </c>
      <c r="Q26" s="131">
        <f t="shared" si="15"/>
        <v>1.0024959478026174</v>
      </c>
      <c r="R26" s="125">
        <f t="shared" si="16"/>
        <v>0.84299370897155379</v>
      </c>
      <c r="S26" s="131">
        <f t="shared" si="17"/>
        <v>1.0083112020337539</v>
      </c>
      <c r="T26" s="132">
        <f t="shared" si="18"/>
        <v>0.65115151515151515</v>
      </c>
      <c r="U26" s="133">
        <f t="shared" si="19"/>
        <v>0.6582087460581928</v>
      </c>
      <c r="V26" s="134">
        <f t="shared" si="20"/>
        <v>0</v>
      </c>
      <c r="W26" s="131">
        <f t="shared" si="21"/>
        <v>1</v>
      </c>
      <c r="X26" s="131">
        <f t="shared" si="22"/>
        <v>0.99650106838499009</v>
      </c>
      <c r="Y26" s="133">
        <f t="shared" si="23"/>
        <v>0.64887318052898979</v>
      </c>
      <c r="Z26" s="134" t="str">
        <f t="shared" si="24"/>
        <v>—</v>
      </c>
      <c r="AA26" s="65">
        <f t="shared" si="25"/>
        <v>3</v>
      </c>
      <c r="AB26" s="105" t="str">
        <f t="shared" si="26"/>
        <v/>
      </c>
      <c r="AC26" s="65">
        <f t="shared" si="27"/>
        <v>0</v>
      </c>
    </row>
    <row r="27" spans="1:29" x14ac:dyDescent="0.25">
      <c r="A27" s="135" t="str">
        <f>_lists!$B$22</f>
        <v>TN</v>
      </c>
      <c r="B27" s="136">
        <f t="shared" si="0"/>
        <v>243000</v>
      </c>
      <c r="C27" s="137">
        <f t="shared" si="1"/>
        <v>0.85</v>
      </c>
      <c r="D27" s="138">
        <f t="shared" si="2"/>
        <v>0.84</v>
      </c>
      <c r="E27" s="138">
        <f t="shared" si="3"/>
        <v>0.83499999999999996</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1.0385808127572016</v>
      </c>
      <c r="Q27" s="144">
        <f t="shared" si="15"/>
        <v>0.99764389590341784</v>
      </c>
      <c r="R27" s="138">
        <f t="shared" si="16"/>
        <v>0.83900209700948214</v>
      </c>
      <c r="S27" s="144">
        <f t="shared" si="17"/>
        <v>1.0131083140670547</v>
      </c>
      <c r="T27" s="145">
        <f t="shared" si="18"/>
        <v>0.65059259259259261</v>
      </c>
      <c r="U27" s="146">
        <f t="shared" si="19"/>
        <v>0.65742589194195633</v>
      </c>
      <c r="V27" s="147">
        <f t="shared" si="20"/>
        <v>0</v>
      </c>
      <c r="W27" s="144">
        <f t="shared" si="21"/>
        <v>0.98651242400407613</v>
      </c>
      <c r="X27" s="144">
        <f t="shared" si="22"/>
        <v>1.0171456997962478</v>
      </c>
      <c r="Y27" s="146">
        <f t="shared" si="23"/>
        <v>0.65261071714484498</v>
      </c>
      <c r="Z27" s="147" t="str">
        <f t="shared" si="24"/>
        <v>—</v>
      </c>
      <c r="AA27" s="65">
        <f t="shared" si="25"/>
        <v>3</v>
      </c>
      <c r="AB27" s="105" t="str">
        <f t="shared" si="26"/>
        <v/>
      </c>
      <c r="AC27" s="65">
        <f t="shared" si="27"/>
        <v>0</v>
      </c>
    </row>
    <row r="28" spans="1:29" x14ac:dyDescent="0.25">
      <c r="A28" s="122" t="str">
        <f>_lists!$B$23</f>
        <v>TX</v>
      </c>
      <c r="B28" s="123">
        <f t="shared" si="0"/>
        <v>189000</v>
      </c>
      <c r="C28" s="124">
        <f t="shared" si="1"/>
        <v>0.85</v>
      </c>
      <c r="D28" s="125">
        <f t="shared" si="2"/>
        <v>0.84</v>
      </c>
      <c r="E28" s="125">
        <f t="shared" si="3"/>
        <v>0.85</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1.0056018518518519</v>
      </c>
      <c r="Q28" s="131">
        <f t="shared" si="15"/>
        <v>0.99449073441697389</v>
      </c>
      <c r="R28" s="125">
        <f t="shared" si="16"/>
        <v>0.84199580598103541</v>
      </c>
      <c r="S28" s="131">
        <f t="shared" si="17"/>
        <v>1.0095062160192578</v>
      </c>
      <c r="T28" s="132">
        <f t="shared" si="18"/>
        <v>0.64838095238095239</v>
      </c>
      <c r="U28" s="133">
        <f t="shared" si="19"/>
        <v>0.65101852337903832</v>
      </c>
      <c r="V28" s="134">
        <f t="shared" si="20"/>
        <v>0</v>
      </c>
      <c r="W28" s="131">
        <f t="shared" si="21"/>
        <v>0.98722229642491421</v>
      </c>
      <c r="X28" s="131">
        <f t="shared" si="22"/>
        <v>1.0015832599613124</v>
      </c>
      <c r="Y28" s="133">
        <f t="shared" si="23"/>
        <v>0.64129361782554972</v>
      </c>
      <c r="Z28" s="134" t="str">
        <f t="shared" si="24"/>
        <v>—</v>
      </c>
      <c r="AA28" s="65">
        <f t="shared" si="25"/>
        <v>3</v>
      </c>
      <c r="AB28" s="105" t="str">
        <f t="shared" si="26"/>
        <v/>
      </c>
      <c r="AC28" s="65">
        <f t="shared" si="27"/>
        <v>0</v>
      </c>
    </row>
    <row r="29" spans="1:29" x14ac:dyDescent="0.25">
      <c r="A29" s="135" t="str">
        <f>_lists!$B$24</f>
        <v/>
      </c>
      <c r="B29" s="136" t="str">
        <f t="shared" si="0"/>
        <v/>
      </c>
      <c r="C29" s="137" t="str">
        <f t="shared" si="1"/>
        <v/>
      </c>
      <c r="D29" s="138" t="str">
        <f t="shared" si="2"/>
        <v/>
      </c>
      <c r="E29" s="138" t="str">
        <f t="shared" si="3"/>
        <v/>
      </c>
      <c r="F29" s="139" t="str">
        <f t="shared" si="4"/>
        <v/>
      </c>
      <c r="G29" s="140" t="str">
        <f t="shared" si="5"/>
        <v/>
      </c>
      <c r="H29" s="141" t="str">
        <f t="shared" si="6"/>
        <v/>
      </c>
      <c r="I29" s="140" t="str">
        <f t="shared" si="7"/>
        <v/>
      </c>
      <c r="J29" s="141" t="str">
        <f t="shared" si="8"/>
        <v/>
      </c>
      <c r="K29" s="140" t="str">
        <f t="shared" si="9"/>
        <v/>
      </c>
      <c r="L29" s="141" t="str">
        <f t="shared" si="10"/>
        <v/>
      </c>
      <c r="M29" s="140" t="str">
        <f t="shared" si="11"/>
        <v/>
      </c>
      <c r="N29" s="142" t="str">
        <f t="shared" si="12"/>
        <v/>
      </c>
      <c r="O29" s="143" t="str">
        <f t="shared" si="13"/>
        <v/>
      </c>
      <c r="P29" s="144" t="str">
        <f t="shared" si="14"/>
        <v/>
      </c>
      <c r="Q29" s="144" t="str">
        <f t="shared" si="15"/>
        <v/>
      </c>
      <c r="R29" s="138" t="str">
        <f t="shared" si="16"/>
        <v/>
      </c>
      <c r="S29" s="144" t="str">
        <f t="shared" si="17"/>
        <v/>
      </c>
      <c r="T29" s="145" t="str">
        <f t="shared" si="18"/>
        <v/>
      </c>
      <c r="U29" s="146" t="str">
        <f t="shared" si="19"/>
        <v/>
      </c>
      <c r="V29" s="147" t="str">
        <f t="shared" si="20"/>
        <v/>
      </c>
      <c r="W29" s="144" t="str">
        <f t="shared" si="21"/>
        <v/>
      </c>
      <c r="X29" s="144" t="str">
        <f t="shared" si="22"/>
        <v/>
      </c>
      <c r="Y29" s="146" t="str">
        <f t="shared" si="23"/>
        <v/>
      </c>
      <c r="Z29" s="147" t="str">
        <f t="shared" si="24"/>
        <v/>
      </c>
      <c r="AA29" s="65">
        <f t="shared" si="25"/>
        <v>0</v>
      </c>
      <c r="AB29" s="105" t="str">
        <f t="shared" si="26"/>
        <v/>
      </c>
      <c r="AC29" s="65">
        <f t="shared" si="27"/>
        <v>0</v>
      </c>
    </row>
    <row r="30" spans="1:29" x14ac:dyDescent="0.25">
      <c r="A30" s="122" t="str">
        <f>_lists!$B$25</f>
        <v/>
      </c>
      <c r="B30" s="123" t="str">
        <f t="shared" si="0"/>
        <v/>
      </c>
      <c r="C30" s="124" t="str">
        <f t="shared" si="1"/>
        <v/>
      </c>
      <c r="D30" s="125" t="str">
        <f t="shared" si="2"/>
        <v/>
      </c>
      <c r="E30" s="125" t="str">
        <f t="shared" si="3"/>
        <v/>
      </c>
      <c r="F30" s="126" t="str">
        <f t="shared" si="4"/>
        <v/>
      </c>
      <c r="G30" s="127" t="str">
        <f t="shared" si="5"/>
        <v/>
      </c>
      <c r="H30" s="128" t="str">
        <f t="shared" si="6"/>
        <v/>
      </c>
      <c r="I30" s="127" t="str">
        <f t="shared" si="7"/>
        <v/>
      </c>
      <c r="J30" s="128" t="str">
        <f t="shared" si="8"/>
        <v/>
      </c>
      <c r="K30" s="127" t="str">
        <f t="shared" si="9"/>
        <v/>
      </c>
      <c r="L30" s="128" t="str">
        <f t="shared" si="10"/>
        <v/>
      </c>
      <c r="M30" s="127" t="str">
        <f t="shared" si="11"/>
        <v/>
      </c>
      <c r="N30" s="129" t="str">
        <f t="shared" si="12"/>
        <v/>
      </c>
      <c r="O30" s="130" t="str">
        <f t="shared" si="13"/>
        <v/>
      </c>
      <c r="P30" s="131" t="str">
        <f t="shared" si="14"/>
        <v/>
      </c>
      <c r="Q30" s="131" t="str">
        <f t="shared" si="15"/>
        <v/>
      </c>
      <c r="R30" s="125" t="str">
        <f t="shared" si="16"/>
        <v/>
      </c>
      <c r="S30" s="131" t="str">
        <f t="shared" si="17"/>
        <v/>
      </c>
      <c r="T30" s="132" t="str">
        <f t="shared" si="18"/>
        <v/>
      </c>
      <c r="U30" s="133" t="str">
        <f t="shared" si="19"/>
        <v/>
      </c>
      <c r="V30" s="134" t="str">
        <f t="shared" si="20"/>
        <v/>
      </c>
      <c r="W30" s="131" t="str">
        <f t="shared" si="21"/>
        <v/>
      </c>
      <c r="X30" s="131" t="str">
        <f t="shared" si="22"/>
        <v/>
      </c>
      <c r="Y30" s="133" t="str">
        <f t="shared" si="23"/>
        <v/>
      </c>
      <c r="Z30" s="134" t="str">
        <f t="shared" si="24"/>
        <v/>
      </c>
      <c r="AA30" s="65">
        <f t="shared" si="25"/>
        <v>0</v>
      </c>
      <c r="AB30" s="105" t="str">
        <f t="shared" si="26"/>
        <v/>
      </c>
      <c r="AC30" s="65">
        <f t="shared" si="27"/>
        <v>0</v>
      </c>
    </row>
    <row r="31" spans="1:29" x14ac:dyDescent="0.25">
      <c r="A31" s="135" t="str">
        <f>_lists!$B$26</f>
        <v/>
      </c>
      <c r="B31" s="136" t="str">
        <f t="shared" si="0"/>
        <v/>
      </c>
      <c r="C31" s="137" t="str">
        <f t="shared" si="1"/>
        <v/>
      </c>
      <c r="D31" s="138" t="str">
        <f t="shared" si="2"/>
        <v/>
      </c>
      <c r="E31" s="138" t="str">
        <f t="shared" si="3"/>
        <v/>
      </c>
      <c r="F31" s="139" t="str">
        <f t="shared" si="4"/>
        <v/>
      </c>
      <c r="G31" s="140" t="str">
        <f t="shared" si="5"/>
        <v/>
      </c>
      <c r="H31" s="141" t="str">
        <f t="shared" si="6"/>
        <v/>
      </c>
      <c r="I31" s="140" t="str">
        <f t="shared" si="7"/>
        <v/>
      </c>
      <c r="J31" s="141" t="str">
        <f t="shared" si="8"/>
        <v/>
      </c>
      <c r="K31" s="140" t="str">
        <f t="shared" si="9"/>
        <v/>
      </c>
      <c r="L31" s="141" t="str">
        <f t="shared" si="10"/>
        <v/>
      </c>
      <c r="M31" s="140" t="str">
        <f t="shared" si="11"/>
        <v/>
      </c>
      <c r="N31" s="142" t="str">
        <f t="shared" si="12"/>
        <v/>
      </c>
      <c r="O31" s="143" t="str">
        <f t="shared" si="13"/>
        <v/>
      </c>
      <c r="P31" s="144" t="str">
        <f t="shared" si="14"/>
        <v/>
      </c>
      <c r="Q31" s="144" t="str">
        <f t="shared" si="15"/>
        <v/>
      </c>
      <c r="R31" s="138" t="str">
        <f t="shared" si="16"/>
        <v/>
      </c>
      <c r="S31" s="144" t="str">
        <f t="shared" si="17"/>
        <v/>
      </c>
      <c r="T31" s="145" t="str">
        <f t="shared" si="18"/>
        <v/>
      </c>
      <c r="U31" s="146" t="str">
        <f t="shared" si="19"/>
        <v/>
      </c>
      <c r="V31" s="147" t="str">
        <f t="shared" si="20"/>
        <v/>
      </c>
      <c r="W31" s="144" t="str">
        <f t="shared" si="21"/>
        <v/>
      </c>
      <c r="X31" s="144" t="str">
        <f t="shared" si="22"/>
        <v/>
      </c>
      <c r="Y31" s="146" t="str">
        <f t="shared" si="23"/>
        <v/>
      </c>
      <c r="Z31" s="147" t="str">
        <f t="shared" si="24"/>
        <v/>
      </c>
      <c r="AA31" s="65">
        <f t="shared" si="25"/>
        <v>0</v>
      </c>
      <c r="AB31" s="105" t="str">
        <f t="shared" si="26"/>
        <v/>
      </c>
      <c r="AC31" s="65">
        <f t="shared" si="27"/>
        <v>0</v>
      </c>
    </row>
    <row r="32" spans="1:29" x14ac:dyDescent="0.25">
      <c r="C32" s="148"/>
      <c r="F32" s="148"/>
      <c r="O32" s="148"/>
      <c r="T32" s="148"/>
      <c r="V32" s="148"/>
      <c r="Z32" s="148"/>
    </row>
    <row r="33" spans="1:26" x14ac:dyDescent="0.25">
      <c r="A33" s="149" t="s">
        <v>382</v>
      </c>
      <c r="B33" s="150">
        <f>SUMIFS(calc_ep,calc_bu,$AA$4)</f>
        <v>4522500</v>
      </c>
      <c r="C33" s="151">
        <f>IF($B$33=0,"n/a",SUMIFS(calc_w_mind,calc_bu,$AA$4)/$B$33)</f>
        <v>0.85</v>
      </c>
      <c r="D33" s="152">
        <f>IF($B$33=0,"n/a",SUMIFS(calc_w_m0,calc_bu,$AA$4)/$B$33)</f>
        <v>0.84028855721393036</v>
      </c>
      <c r="E33" s="152">
        <f>IF($B$33=0,"n/a",SUMIFS(calc_w_m1,calc_bu,$AA$4)/$B$33)</f>
        <v>0.84570646766169155</v>
      </c>
      <c r="F33" s="153"/>
      <c r="G33" s="154"/>
      <c r="H33" s="154"/>
      <c r="I33" s="154"/>
      <c r="J33" s="154"/>
      <c r="K33" s="154"/>
      <c r="L33" s="154"/>
      <c r="M33" s="154"/>
      <c r="N33" s="155">
        <f>IF($B$4="All",COUNTIFS(rl_eff,"&lt;&gt;"),COUNTIFS(rl_bu,$B$4,rl_eff,"&lt;&gt;"))</f>
        <v>64</v>
      </c>
      <c r="O33" s="156">
        <f>IF($B$33=0,"n/a",SUMIFS(calc_w_crl,calc_bu,$AA$4)/$B$33)</f>
        <v>1.0277902487562189</v>
      </c>
      <c r="P33" s="157">
        <f>IF($B$33=0,"n/a",SUMIFS(calc_w_ecy,calc_bu,$AA$4)/$B$33)</f>
        <v>1.0288459812601642</v>
      </c>
      <c r="Q33" s="157">
        <f>IF($B$33=0,"n/a",SUMIFS(calc_w_arate,calc_bu,$AA$4)/$B$33)</f>
        <v>0.9990268086606594</v>
      </c>
      <c r="R33" s="152">
        <f>IF($B$33=0,"n/a",SUMIFS(calc_w_mbar,calc_bu,$AA$4)/$B$33)</f>
        <v>0.8413481384769671</v>
      </c>
      <c r="S33" s="157">
        <f>IF($B$33=0,"n/a",SUMIFS(calc_w_amod,calc_bu,$AA$4)/$B$33)</f>
        <v>1.0101694645984749</v>
      </c>
      <c r="T33" s="158">
        <f>IF($B$33=0,"n/a",SUMIFS(calc_w_lrcur,calc_bu,$AA$4)/$B$33)</f>
        <v>0.6513978109452736</v>
      </c>
      <c r="U33" s="159">
        <f>IF($B$33=0,"n/a",SUMIFS(calc_w_cylr,calc_bu,$AA$4)/$B$33)</f>
        <v>0.65761755354972218</v>
      </c>
      <c r="V33" s="160">
        <f>IF($B$33=0,"n/a",SUMIFS(calc_w_trend,calc_bu,$AA$4)/$B$33)</f>
        <v>2.1890547263681592E-4</v>
      </c>
      <c r="W33" s="157">
        <f>IF($B$33=0,"n/a",SUMIFS(calc_w_arate1,calc_bu,$AA$4)/$B$33)</f>
        <v>0.98693286245343126</v>
      </c>
      <c r="X33" s="157">
        <f>IF($B$33=0,"n/a",SUMIFS(calc_w_amod1,calc_bu,$AA$4)/$B$33)</f>
        <v>1.005962680601787</v>
      </c>
      <c r="Y33" s="159">
        <f>IF($B$33=0,"n/a",SUMIFS(calc_w_cylr1,calc_bu,$AA$4)/$B$33)</f>
        <v>0.64710920329916544</v>
      </c>
      <c r="Z33" s="160">
        <f>IF(SUMIFS(calc_netmode,calc_bu,$AA$4)=0,"—",SUMIFS(calc_netx,calc_bu,$AA$4)/SUMIFS(calc_netmode,calc_bu,$AA$4))</f>
        <v>0.1</v>
      </c>
    </row>
    <row r="35" spans="1:26" ht="324" x14ac:dyDescent="0.25">
      <c r="A35" s="17" t="s">
        <v>383</v>
      </c>
    </row>
    <row r="36" spans="1:26" ht="409.5" x14ac:dyDescent="0.25">
      <c r="A36" s="17" t="s">
        <v>384</v>
      </c>
    </row>
    <row r="37" spans="1:26" ht="264" x14ac:dyDescent="0.25">
      <c r="A37" s="17" t="s">
        <v>385</v>
      </c>
    </row>
    <row r="38" spans="1:26" ht="409.5" x14ac:dyDescent="0.25">
      <c r="A38" s="17" t="s">
        <v>386</v>
      </c>
    </row>
    <row r="41" spans="1:26" ht="15.75" x14ac:dyDescent="0.25">
      <c r="A41" s="3" t="s">
        <v>387</v>
      </c>
    </row>
    <row r="42" spans="1:26" x14ac:dyDescent="0.25">
      <c r="A42" s="6" t="s">
        <v>388</v>
      </c>
    </row>
    <row r="44" spans="1:26" x14ac:dyDescent="0.25">
      <c r="A44" s="96" t="s">
        <v>389</v>
      </c>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6" x14ac:dyDescent="0.25">
      <c r="A45" s="37" t="s">
        <v>390</v>
      </c>
    </row>
    <row r="47" spans="1:26" ht="15.75" x14ac:dyDescent="0.25">
      <c r="A47" s="3" t="s">
        <v>391</v>
      </c>
    </row>
    <row r="48" spans="1:26" x14ac:dyDescent="0.25">
      <c r="A48" s="11" t="s">
        <v>392</v>
      </c>
      <c r="E48" s="6" t="s">
        <v>393</v>
      </c>
    </row>
    <row r="49" spans="1:7" x14ac:dyDescent="0.25">
      <c r="A49" s="11" t="s">
        <v>394</v>
      </c>
      <c r="E49" s="6" t="s">
        <v>395</v>
      </c>
    </row>
    <row r="50" spans="1:7" x14ac:dyDescent="0.25">
      <c r="A50" s="11" t="s">
        <v>396</v>
      </c>
      <c r="E50" s="6" t="s">
        <v>397</v>
      </c>
    </row>
    <row r="51" spans="1:7" x14ac:dyDescent="0.25">
      <c r="A51" s="11" t="s">
        <v>377</v>
      </c>
      <c r="E51" s="6" t="s">
        <v>398</v>
      </c>
    </row>
    <row r="52" spans="1:7" x14ac:dyDescent="0.25">
      <c r="A52" s="11" t="s">
        <v>378</v>
      </c>
      <c r="E52" s="6" t="s">
        <v>399</v>
      </c>
    </row>
    <row r="53" spans="1:7" x14ac:dyDescent="0.25">
      <c r="A53" s="11" t="s">
        <v>345</v>
      </c>
      <c r="E53" s="6" t="s">
        <v>400</v>
      </c>
    </row>
    <row r="54" spans="1:7" x14ac:dyDescent="0.25">
      <c r="A54" s="11" t="s">
        <v>401</v>
      </c>
      <c r="E54" s="6" t="s">
        <v>402</v>
      </c>
    </row>
    <row r="55" spans="1:7" x14ac:dyDescent="0.25">
      <c r="A55" s="11" t="s">
        <v>343</v>
      </c>
      <c r="E55" s="6" t="s">
        <v>403</v>
      </c>
    </row>
    <row r="56" spans="1:7" x14ac:dyDescent="0.25">
      <c r="A56" s="11" t="s">
        <v>317</v>
      </c>
      <c r="E56" s="6" t="s">
        <v>404</v>
      </c>
    </row>
    <row r="57" spans="1:7" x14ac:dyDescent="0.25">
      <c r="A57" s="11" t="s">
        <v>405</v>
      </c>
      <c r="E57" s="6" t="s">
        <v>406</v>
      </c>
    </row>
    <row r="58" spans="1:7" x14ac:dyDescent="0.25">
      <c r="A58" s="11" t="s">
        <v>381</v>
      </c>
      <c r="E58" s="6" t="s">
        <v>407</v>
      </c>
    </row>
    <row r="60" spans="1:7" ht="15.75" x14ac:dyDescent="0.25">
      <c r="A60" s="3" t="s">
        <v>408</v>
      </c>
      <c r="E60" s="55" t="str">
        <f>"Currently showing:  "&amp;nr_SelKey</f>
        <v>Currently showing:  BU-A|AZ</v>
      </c>
    </row>
    <row r="61" spans="1:7" x14ac:dyDescent="0.25">
      <c r="A61" s="161" t="s">
        <v>409</v>
      </c>
      <c r="E61" s="162">
        <f>nr_LRproj</f>
        <v>0.65</v>
      </c>
      <c r="G61" s="163" t="str">
        <f>"the indication's loss pick — already centered on CY "&amp;nr_PlanYear&amp;" losses, so no additional loss trend applies"</f>
        <v>the indication's loss pick — already centered on CY 2027 losses, so no additional loss trend applies</v>
      </c>
    </row>
    <row r="62" spans="1:7" x14ac:dyDescent="0.25">
      <c r="A62" s="161" t="s">
        <v>410</v>
      </c>
      <c r="E62" s="164">
        <f>IF(nr_Basis="proposed",1+nr_SelS,1)</f>
        <v>1</v>
      </c>
      <c r="G62" s="163" t="str">
        <f>IF(nr_Basis="proposed","input LR was at proposed level: x (1+s)","input LR already at current level: x 1.000")</f>
        <v>input LR already at current level: x 1.000</v>
      </c>
    </row>
    <row r="63" spans="1:7" x14ac:dyDescent="0.25">
      <c r="A63" s="161" t="s">
        <v>411</v>
      </c>
      <c r="E63" s="164">
        <f>nr_Arate_P</f>
        <v>0.99306145153262859</v>
      </c>
      <c r="G63" s="163"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1" t="s">
        <v>412</v>
      </c>
      <c r="E64" s="164">
        <f>nr_Amod_P</f>
        <v>0.98153851013092008</v>
      </c>
      <c r="G64" s="163" t="str">
        <f>IF(nr_NetMode,"1.000 — merged into the net factor above","M_ind "&amp;TEXT(nr_MInd,"0.000")&amp;" / earned mod "&amp;TEXT(nr_MEarned_P,"0.000"))</f>
        <v>M_ind 0.850 / earned mod 0.866</v>
      </c>
    </row>
    <row r="65" spans="1:7" x14ac:dyDescent="0.25">
      <c r="A65" s="161" t="s">
        <v>413</v>
      </c>
      <c r="E65" s="164">
        <f>nr_AOther</f>
        <v>1</v>
      </c>
      <c r="G65" s="163" t="str">
        <f>IF(nr_AOtherLbl="","no manual adjustment",nr_AOtherLbl)</f>
        <v>no manual adjustment</v>
      </c>
    </row>
    <row r="66" spans="1:7" x14ac:dyDescent="0.25">
      <c r="A66" s="165" t="s">
        <v>414</v>
      </c>
      <c r="E66" s="166">
        <f>nr_CYLR_P</f>
        <v>0.63357323744376037</v>
      </c>
      <c r="G66" s="163" t="str">
        <f>"the value in this state's CY "&amp;nr_PlanYear&amp;" plan LR column when its BU is in view"</f>
        <v>the value in this state's CY 2027 plan LR column when its BU is in view</v>
      </c>
    </row>
    <row r="67" spans="1:7" x14ac:dyDescent="0.25">
      <c r="A67" s="161" t="s">
        <v>415</v>
      </c>
      <c r="E67" s="162">
        <f>nr_CYLR_P1</f>
        <v>0.59480029614224839</v>
      </c>
      <c r="G67" s="163" t="str">
        <f>"x (1 + net trend "&amp;TEXT(nr_Trend,"0.0%")&amp;") with CY "&amp;(nr_PlanYear+1)&amp;"'s earn-in factors"</f>
        <v>x (1 + net trend 0.0%) with CY 2028's earn-in factors</v>
      </c>
    </row>
    <row r="69" spans="1:7" x14ac:dyDescent="0.25">
      <c r="A69" s="37" t="s">
        <v>416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417</v>
      </c>
    </row>
    <row r="3" spans="2:7" x14ac:dyDescent="0.25">
      <c r="B3" s="12" t="s">
        <v>196</v>
      </c>
      <c r="C3" s="55" t="str">
        <f>nr_SelKey</f>
        <v>BU-A|AZ</v>
      </c>
    </row>
    <row r="5" spans="2:7" ht="15.75" x14ac:dyDescent="0.25">
      <c r="B5" s="3" t="s">
        <v>418</v>
      </c>
      <c r="C5" s="38" t="s">
        <v>419</v>
      </c>
      <c r="D5" s="38" t="s">
        <v>420</v>
      </c>
      <c r="E5" s="38" t="s">
        <v>421</v>
      </c>
      <c r="F5" s="38" t="s">
        <v>422</v>
      </c>
    </row>
    <row r="6" spans="2:7" x14ac:dyDescent="0.25">
      <c r="B6" s="12" t="s">
        <v>423</v>
      </c>
      <c r="C6" s="40"/>
      <c r="D6" s="40"/>
      <c r="E6" s="40"/>
      <c r="F6" s="40"/>
    </row>
    <row r="7" spans="2:7" x14ac:dyDescent="0.25">
      <c r="B7" s="12" t="s">
        <v>424</v>
      </c>
      <c r="C7" s="167"/>
      <c r="D7" s="167"/>
      <c r="E7" s="167"/>
      <c r="F7" s="167"/>
    </row>
    <row r="8" spans="2:7" x14ac:dyDescent="0.25">
      <c r="B8" s="12" t="s">
        <v>425</v>
      </c>
      <c r="C8" s="40"/>
      <c r="D8" s="40"/>
      <c r="E8" s="40"/>
      <c r="F8" s="40"/>
    </row>
    <row r="9" spans="2:7" x14ac:dyDescent="0.25">
      <c r="B9" s="12" t="s">
        <v>426</v>
      </c>
      <c r="C9" s="43"/>
      <c r="D9" s="43"/>
      <c r="E9" s="43"/>
      <c r="F9" s="43"/>
    </row>
    <row r="10" spans="2:7" x14ac:dyDescent="0.25">
      <c r="B10" s="12" t="s">
        <v>427</v>
      </c>
      <c r="C10" s="40"/>
      <c r="D10" s="40"/>
      <c r="E10" s="40"/>
      <c r="F10" s="40"/>
    </row>
    <row r="12" spans="2:7" ht="15.75" x14ac:dyDescent="0.25">
      <c r="B12" s="3" t="s">
        <v>428</v>
      </c>
    </row>
    <row r="13" spans="2:7" x14ac:dyDescent="0.25">
      <c r="B13" s="28" t="s">
        <v>90</v>
      </c>
      <c r="C13" s="29" t="s">
        <v>68</v>
      </c>
      <c r="D13" s="29" t="s">
        <v>419</v>
      </c>
      <c r="E13" s="29" t="s">
        <v>420</v>
      </c>
      <c r="F13" s="29" t="s">
        <v>421</v>
      </c>
      <c r="G13" s="29" t="s">
        <v>422</v>
      </c>
    </row>
    <row r="14" spans="2:7" x14ac:dyDescent="0.25">
      <c r="B14" s="12" t="s">
        <v>429</v>
      </c>
      <c r="C14" s="33">
        <f>nr_CYLR_P</f>
        <v>0.63357323744376037</v>
      </c>
      <c r="D14" s="168">
        <f>nr_LRcur*D16*D17*nr_AOther</f>
        <v>0.63357323744376037</v>
      </c>
      <c r="E14" s="168">
        <f>nr_LRcur*E16*E17*nr_AOther</f>
        <v>0.63357323744376037</v>
      </c>
      <c r="F14" s="168">
        <f>nr_LRcur*F16*F17*nr_AOther</f>
        <v>0.63357323744376037</v>
      </c>
      <c r="G14" s="168">
        <f>nr_LRcur*G16*G17*nr_AOther</f>
        <v>0.63357323744376037</v>
      </c>
    </row>
    <row r="15" spans="2:7" x14ac:dyDescent="0.25">
      <c r="B15" s="12" t="s">
        <v>430</v>
      </c>
      <c r="C15" s="108">
        <f>($C$14-$C$14)*100</f>
        <v>0</v>
      </c>
      <c r="D15" s="95">
        <f>(D14-$C$14)*100</f>
        <v>0</v>
      </c>
      <c r="E15" s="95">
        <f>(E14-$C$14)*100</f>
        <v>0</v>
      </c>
      <c r="F15" s="95">
        <f>(F14-$C$14)*100</f>
        <v>0</v>
      </c>
      <c r="G15" s="95">
        <f>(G14-$C$14)*100</f>
        <v>0</v>
      </c>
    </row>
    <row r="16" spans="2:7" x14ac:dyDescent="0.25">
      <c r="B16" s="12" t="s">
        <v>431</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25">
      <c r="B17" s="12" t="s">
        <v>432</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25">
      <c r="B18" s="12" t="s">
        <v>433</v>
      </c>
      <c r="C18" s="30">
        <f>nr_ECY_P</f>
        <v>1.1101025000000002</v>
      </c>
      <c r="D18" s="30">
        <f>_calc!$B$4099</f>
        <v>1.1101025000000002</v>
      </c>
      <c r="E18" s="30">
        <f>_calc!$B$4153</f>
        <v>1.1101025000000002</v>
      </c>
      <c r="F18" s="30">
        <f>_calc!$B$4207</f>
        <v>1.1101025000000002</v>
      </c>
      <c r="G18" s="30">
        <f>_calc!$B$4261</f>
        <v>1.1101025000000002</v>
      </c>
    </row>
    <row r="19" spans="2:7" x14ac:dyDescent="0.25">
      <c r="B19" s="12" t="s">
        <v>434</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72" x14ac:dyDescent="0.25">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436</v>
      </c>
    </row>
    <row r="3" spans="2:7" x14ac:dyDescent="0.25">
      <c r="B3" s="2" t="s">
        <v>437</v>
      </c>
    </row>
    <row r="4" spans="2:7" ht="48" x14ac:dyDescent="0.25">
      <c r="B4" s="18" t="s">
        <v>438</v>
      </c>
    </row>
    <row r="5" spans="2:7" x14ac:dyDescent="0.25">
      <c r="B5" s="92" t="str">
        <f>IF(nr_NetMode,"NOTE: the selected combo carries a NET RATE SELECTION - Solver results describe the explicit-program counterfactual (planned rows + classic A_mod), not the net path (D39).","")</f>
        <v/>
      </c>
    </row>
    <row r="6" spans="2:7" ht="15.75" x14ac:dyDescent="0.25">
      <c r="B6" s="3" t="s">
        <v>439</v>
      </c>
    </row>
    <row r="7" spans="2:7" ht="48" x14ac:dyDescent="0.25">
      <c r="B7" s="12" t="s">
        <v>440</v>
      </c>
      <c r="C7" s="19">
        <v>0.63357323744376037</v>
      </c>
      <c r="D7" s="17" t="s">
        <v>441</v>
      </c>
      <c r="F7" s="77" t="s">
        <v>442</v>
      </c>
      <c r="G7" s="52">
        <f>YEAR($C$8)*12+MONTH($C$8)-1</f>
        <v>24327</v>
      </c>
    </row>
    <row r="8" spans="2:7" x14ac:dyDescent="0.25">
      <c r="B8" s="12" t="s">
        <v>443</v>
      </c>
      <c r="C8" s="42">
        <v>46478</v>
      </c>
      <c r="F8" s="77" t="s">
        <v>444</v>
      </c>
      <c r="G8" s="51">
        <f>DATE(YEAR($C$8),MONTH($C$8),1)</f>
        <v>46478</v>
      </c>
    </row>
    <row r="9" spans="2:7" x14ac:dyDescent="0.25">
      <c r="B9" s="12" t="s">
        <v>445</v>
      </c>
      <c r="C9" s="19">
        <v>1</v>
      </c>
      <c r="F9" s="77" t="s">
        <v>446</v>
      </c>
      <c r="G9" s="51">
        <f>EOMONTH($C$8,0)</f>
        <v>46507</v>
      </c>
    </row>
    <row r="10" spans="2:7" x14ac:dyDescent="0.25">
      <c r="F10" s="77" t="s">
        <v>447</v>
      </c>
      <c r="G10" s="52">
        <f>$G$9-$G$8+1</f>
        <v>30</v>
      </c>
    </row>
    <row r="11" spans="2:7" x14ac:dyDescent="0.25">
      <c r="B11" s="12" t="s">
        <v>448</v>
      </c>
      <c r="C11" s="57">
        <f>SUMPRODUCT((slv_absmi&lt;$G$7)*slv_w*slv_ecp*slv_widx)+$G$18*(1-$G$15)*$G$16</f>
        <v>9.4146000000000019</v>
      </c>
      <c r="F11" s="77" t="s">
        <v>449</v>
      </c>
      <c r="G11" s="52">
        <f>$G$9-$C$8+1</f>
        <v>30</v>
      </c>
    </row>
    <row r="12" spans="2:7" x14ac:dyDescent="0.25">
      <c r="B12" s="12" t="s">
        <v>450</v>
      </c>
      <c r="C12" s="57">
        <f>SUMPRODUCT((slv_absmi&gt;$G$7)*slv_w*slv_ecp*slv_widx)+$G$18*$G$15*$G$17</f>
        <v>3.7205999999999997</v>
      </c>
      <c r="F12" s="77" t="s">
        <v>451</v>
      </c>
      <c r="G12" s="77" t="b">
        <f>AND($G$7&gt;=(nr_PlanYear-2)*12,$G$7&lt;=(nr_PlanYear+1)*12+11)</f>
        <v>1</v>
      </c>
    </row>
    <row r="13" spans="2:7" x14ac:dyDescent="0.25">
      <c r="B13" s="12" t="s">
        <v>452</v>
      </c>
      <c r="C13" s="57">
        <f>slv_den</f>
        <v>12</v>
      </c>
      <c r="F13" s="77" t="s">
        <v>453</v>
      </c>
      <c r="G13" s="52">
        <f>MIN(48,MAX(1,$G$7-(nr_PlanYear-2)*12+1))</f>
        <v>28</v>
      </c>
    </row>
    <row r="14" spans="2:7" x14ac:dyDescent="0.25">
      <c r="B14" s="12" t="s">
        <v>454</v>
      </c>
      <c r="C14" s="57">
        <f>nr_Amod_P</f>
        <v>0.98153851013092008</v>
      </c>
      <c r="F14" s="77" t="s">
        <v>455</v>
      </c>
      <c r="G14" s="52">
        <f>IF($G$12,INDEX(slv_dfirst,$G$13),0)</f>
        <v>0</v>
      </c>
    </row>
    <row r="15" spans="2:7" x14ac:dyDescent="0.25">
      <c r="B15" s="12" t="s">
        <v>456</v>
      </c>
      <c r="C15" s="57">
        <f>IF(OR(nr_LRcur=0,$C$7=""),0,$C$7/(nr_LRcur*$C$14*nr_AOther))</f>
        <v>0.99306145153262848</v>
      </c>
      <c r="F15" s="77" t="s">
        <v>457</v>
      </c>
      <c r="G15" s="169">
        <f>IF($G$12,MIN(1,MAX($G$11,$G$14)/$G$10),1)</f>
        <v>1</v>
      </c>
    </row>
    <row r="16" spans="2:7" x14ac:dyDescent="0.25">
      <c r="B16" s="12" t="s">
        <v>458</v>
      </c>
      <c r="C16" s="57">
        <f>IF($C$15=0,0,nr_CRLind/$C$15)</f>
        <v>1.1101025000000004</v>
      </c>
      <c r="F16" s="77" t="s">
        <v>459</v>
      </c>
      <c r="G16" s="50">
        <f>IF($G$12,INDEX(slv_wpre,$G$13),1)</f>
        <v>1.1024</v>
      </c>
    </row>
    <row r="17" spans="2:10" x14ac:dyDescent="0.25">
      <c r="B17" s="115" t="s">
        <v>460</v>
      </c>
      <c r="C17" s="170">
        <f>IF(OR($C$12=0,$C$16=0),"n/a",($C$16*$C$13-$C$11)/$C$12-1)</f>
        <v>5.0000000000000933E-2</v>
      </c>
      <c r="D17" s="92" t="str">
        <f>IF(ISNUMBER($C$17),IF(ABS($C$17)&gt;nr_SolvMaxRate,"WARNING: exceeds the reasonability bound","OK"),"no solvable rate at this date")</f>
        <v>OK</v>
      </c>
      <c r="F17" s="77" t="s">
        <v>461</v>
      </c>
      <c r="G17" s="50">
        <f>IF($G$12,INDEX(slv_weom,$G$13),1)</f>
        <v>1.1024</v>
      </c>
    </row>
    <row r="18" spans="2:10" x14ac:dyDescent="0.25">
      <c r="B18" s="12" t="s">
        <v>462</v>
      </c>
      <c r="C18" s="171">
        <f>IF(OR($C$9=0,NOT(ISNUMBER($C$17))),"n/a",$C$17/$C$9)</f>
        <v>5.0000000000000933E-2</v>
      </c>
      <c r="F18" s="77" t="s">
        <v>463</v>
      </c>
      <c r="G18" s="50">
        <f>IF($G$12,INDEX(slv_w,$G$13)*INDEX(slv_ecp,$G$13),0)</f>
        <v>0.70833333333333337</v>
      </c>
    </row>
    <row r="19" spans="2:10" x14ac:dyDescent="0.25">
      <c r="B19" s="12" t="s">
        <v>464</v>
      </c>
      <c r="C19" s="90">
        <f>$C$12/($C$11+$C$12)</f>
        <v>0.28325415676959614</v>
      </c>
      <c r="D19" s="92" t="str">
        <f>IF($C$19&lt;nr_SolvMinShare,"WARNING: only "&amp;TEXT($C$19,"0.0%")&amp;" of CY exposure sits on/after this date - late-year targets are mathematically absurd","OK")</f>
        <v>OK</v>
      </c>
    </row>
    <row r="21" spans="2:10" x14ac:dyDescent="0.25">
      <c r="B21" s="12" t="s">
        <v>465</v>
      </c>
      <c r="C21" s="40">
        <v>0.25</v>
      </c>
    </row>
    <row r="22" spans="2:10" x14ac:dyDescent="0.25">
      <c r="B22" s="12" t="s">
        <v>466</v>
      </c>
      <c r="C22" s="40">
        <v>0.05</v>
      </c>
    </row>
    <row r="25" spans="2:10" ht="15.75" x14ac:dyDescent="0.25">
      <c r="B25" s="3" t="s">
        <v>467</v>
      </c>
    </row>
    <row r="26" spans="2:10" ht="84" x14ac:dyDescent="0.25">
      <c r="B26" s="12" t="s">
        <v>468</v>
      </c>
      <c r="C26" s="19">
        <v>0.05</v>
      </c>
      <c r="D26" s="17" t="s">
        <v>469</v>
      </c>
    </row>
    <row r="28" spans="2:10" ht="75" x14ac:dyDescent="0.25">
      <c r="B28" s="38" t="s">
        <v>470</v>
      </c>
      <c r="C28" s="38" t="s">
        <v>153</v>
      </c>
      <c r="D28" s="38" t="s">
        <v>471</v>
      </c>
      <c r="E28" s="38" t="s">
        <v>472</v>
      </c>
      <c r="F28" s="38" t="s">
        <v>433</v>
      </c>
      <c r="G28" s="38" t="s">
        <v>473</v>
      </c>
      <c r="H28" s="38" t="s">
        <v>474</v>
      </c>
      <c r="I28" s="105" t="s">
        <v>475</v>
      </c>
      <c r="J28" s="105" t="s">
        <v>476</v>
      </c>
    </row>
    <row r="29" spans="2:10" x14ac:dyDescent="0.25">
      <c r="B29" s="100" t="str">
        <f>TEXT(DATE(nr_PlanYear,1,1),"mmm yyyy")</f>
        <v>Jan 2027</v>
      </c>
      <c r="C29" s="172">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5">
        <f>IF($H29="YES",1,0)</f>
        <v>1</v>
      </c>
      <c r="J29" s="173">
        <f t="shared" ref="J29:J40" si="3">IF($C$7="","",$C$7)</f>
        <v>0.63357323744376037</v>
      </c>
    </row>
    <row r="30" spans="2:10" x14ac:dyDescent="0.25">
      <c r="B30" s="100" t="str">
        <f>TEXT(DATE(nr_PlanYear,2,1),"mmm yyyy")</f>
        <v>Feb 2027</v>
      </c>
      <c r="C30" s="172">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5">
        <f>IF($H30="YES",2,0)</f>
        <v>2</v>
      </c>
      <c r="J30" s="173">
        <f t="shared" si="3"/>
        <v>0.63357323744376037</v>
      </c>
    </row>
    <row r="31" spans="2:10" x14ac:dyDescent="0.25">
      <c r="B31" s="100" t="str">
        <f>TEXT(DATE(nr_PlanYear,3,1),"mmm yyyy")</f>
        <v>Mar 2027</v>
      </c>
      <c r="C31" s="172">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5">
        <f>IF($H31="YES",3,0)</f>
        <v>3</v>
      </c>
      <c r="J31" s="173">
        <f t="shared" si="3"/>
        <v>0.63357323744376037</v>
      </c>
    </row>
    <row r="32" spans="2:10" x14ac:dyDescent="0.25">
      <c r="B32" s="100" t="str">
        <f>TEXT(DATE(nr_PlanYear,4,1),"mmm yyyy")</f>
        <v>Apr 2027</v>
      </c>
      <c r="C32" s="172">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5">
        <f>IF($H32="YES",4,0)</f>
        <v>4</v>
      </c>
      <c r="J32" s="173">
        <f t="shared" si="3"/>
        <v>0.63357323744376037</v>
      </c>
    </row>
    <row r="33" spans="2:10" x14ac:dyDescent="0.25">
      <c r="B33" s="100" t="str">
        <f>TEXT(DATE(nr_PlanYear,5,1),"mmm yyyy")</f>
        <v>May 2027</v>
      </c>
      <c r="C33" s="172">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5">
        <f>IF($H33="YES",5,0)</f>
        <v>0</v>
      </c>
      <c r="J33" s="173">
        <f t="shared" si="3"/>
        <v>0.63357323744376037</v>
      </c>
    </row>
    <row r="34" spans="2:10" x14ac:dyDescent="0.25">
      <c r="B34" s="100" t="str">
        <f>TEXT(DATE(nr_PlanYear,6,1),"mmm yyyy")</f>
        <v>Jun 2027</v>
      </c>
      <c r="C34" s="172">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5">
        <f>IF($H34="YES",6,0)</f>
        <v>0</v>
      </c>
      <c r="J34" s="173">
        <f t="shared" si="3"/>
        <v>0.63357323744376037</v>
      </c>
    </row>
    <row r="35" spans="2:10" x14ac:dyDescent="0.25">
      <c r="B35" s="100" t="str">
        <f>TEXT(DATE(nr_PlanYear,7,1),"mmm yyyy")</f>
        <v>Jul 2027</v>
      </c>
      <c r="C35" s="172">
        <f>DATE(nr_PlanYear,7,1)</f>
        <v>46569</v>
      </c>
      <c r="D35" s="30">
        <f>_calc!$T$4704</f>
        <v>11.481600000000002</v>
      </c>
      <c r="E35" s="30">
        <f>slv_total-_calc!$T$4705+_calc!$U$4705</f>
        <v>1.6536</v>
      </c>
      <c r="F35" s="94">
        <f t="shared" si="0"/>
        <v>1.1014900000000003</v>
      </c>
      <c r="G35" s="93">
        <f t="shared" si="1"/>
        <v>0.63852711764919512</v>
      </c>
      <c r="H35" s="100" t="str">
        <f t="shared" si="2"/>
        <v>no</v>
      </c>
      <c r="I35" s="65">
        <f>IF($H35="YES",7,0)</f>
        <v>0</v>
      </c>
      <c r="J35" s="173">
        <f t="shared" si="3"/>
        <v>0.63357323744376037</v>
      </c>
    </row>
    <row r="36" spans="2:10" x14ac:dyDescent="0.25">
      <c r="B36" s="100" t="str">
        <f>TEXT(DATE(nr_PlanYear,8,1),"mmm yyyy")</f>
        <v>Aug 2027</v>
      </c>
      <c r="C36" s="172">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5">
        <f>IF($H36="YES",8,0)</f>
        <v>0</v>
      </c>
      <c r="J36" s="173">
        <f t="shared" si="3"/>
        <v>0.63357323744376037</v>
      </c>
    </row>
    <row r="37" spans="2:10" x14ac:dyDescent="0.25">
      <c r="B37" s="100" t="str">
        <f>TEXT(DATE(nr_PlanYear,9,1),"mmm yyyy")</f>
        <v>Sep 2027</v>
      </c>
      <c r="C37" s="172">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5">
        <f>IF($H37="YES",9,0)</f>
        <v>0</v>
      </c>
      <c r="J37" s="173">
        <f t="shared" si="3"/>
        <v>0.63357323744376037</v>
      </c>
    </row>
    <row r="38" spans="2:10" x14ac:dyDescent="0.25">
      <c r="B38" s="100" t="str">
        <f>TEXT(DATE(nr_PlanYear,10,1),"mmm yyyy")</f>
        <v>Oct 2027</v>
      </c>
      <c r="C38" s="172">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5">
        <f>IF($H38="YES",10,0)</f>
        <v>0</v>
      </c>
      <c r="J38" s="173">
        <f t="shared" si="3"/>
        <v>0.63357323744376037</v>
      </c>
    </row>
    <row r="39" spans="2:10" x14ac:dyDescent="0.25">
      <c r="B39" s="100" t="str">
        <f>TEXT(DATE(nr_PlanYear,11,1),"mmm yyyy")</f>
        <v>Nov 2027</v>
      </c>
      <c r="C39" s="172">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5">
        <f>IF($H39="YES",11,0)</f>
        <v>0</v>
      </c>
      <c r="J39" s="173">
        <f t="shared" si="3"/>
        <v>0.63357323744376037</v>
      </c>
    </row>
    <row r="40" spans="2:10" x14ac:dyDescent="0.25">
      <c r="B40" s="100" t="str">
        <f>TEXT(DATE(nr_PlanYear,12,1),"mmm yyyy")</f>
        <v>Dec 2027</v>
      </c>
      <c r="C40" s="172">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5">
        <f>IF($H40="YES",12,0)</f>
        <v>0</v>
      </c>
      <c r="J40" s="173">
        <f t="shared" si="3"/>
        <v>0.63357323744376037</v>
      </c>
    </row>
    <row r="42" spans="2:10" x14ac:dyDescent="0.25">
      <c r="B42" s="115" t="s">
        <v>477</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478</v>
      </c>
    </row>
    <row r="3" spans="2:6" x14ac:dyDescent="0.25">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75" x14ac:dyDescent="0.25">
      <c r="B5" s="3" t="s">
        <v>479</v>
      </c>
    </row>
    <row r="6" spans="2:6" ht="60" x14ac:dyDescent="0.25">
      <c r="B6" s="12" t="s">
        <v>480</v>
      </c>
      <c r="C6" s="43"/>
      <c r="D6" s="17" t="s">
        <v>481</v>
      </c>
    </row>
    <row r="7" spans="2:6" x14ac:dyDescent="0.25">
      <c r="B7" s="12" t="s">
        <v>482</v>
      </c>
      <c r="C7" s="175"/>
    </row>
    <row r="8" spans="2:6" x14ac:dyDescent="0.25">
      <c r="B8" s="12" t="s">
        <v>483</v>
      </c>
      <c r="C8" s="43"/>
    </row>
    <row r="9" spans="2:6" x14ac:dyDescent="0.25">
      <c r="B9" s="12" t="s">
        <v>484</v>
      </c>
      <c r="C9" s="43"/>
    </row>
    <row r="10" spans="2:6" x14ac:dyDescent="0.25">
      <c r="B10" s="115" t="s">
        <v>485</v>
      </c>
      <c r="C10" s="19"/>
    </row>
    <row r="12" spans="2:6" ht="15.75" x14ac:dyDescent="0.25">
      <c r="B12" s="3" t="s">
        <v>486</v>
      </c>
    </row>
    <row r="13" spans="2:6" ht="30" x14ac:dyDescent="0.25">
      <c r="B13" s="38" t="s">
        <v>218</v>
      </c>
      <c r="C13" s="38" t="s">
        <v>487</v>
      </c>
      <c r="D13" s="38" t="s">
        <v>488</v>
      </c>
      <c r="E13" s="38" t="s">
        <v>489</v>
      </c>
      <c r="F13" s="38" t="s">
        <v>490</v>
      </c>
    </row>
    <row r="14" spans="2:6" x14ac:dyDescent="0.25">
      <c r="B14" s="67">
        <v>1</v>
      </c>
      <c r="C14" s="176">
        <f>IF(COUNTIF(_calc!$A$4268:$A$4507,1)=0,"",INDEX(rl_eff,MATCH(1,_calc!$A$4268:$A$4507,0)))</f>
        <v>46478</v>
      </c>
      <c r="D14" s="177">
        <f>IF($C14="","",INDEX(rl_reff,MATCH(1,_calc!$A$4268:$A$4507,0)))</f>
        <v>0.05</v>
      </c>
      <c r="E14" s="40"/>
      <c r="F14" s="175"/>
    </row>
    <row r="15" spans="2:6" x14ac:dyDescent="0.25">
      <c r="B15" s="67">
        <v>2</v>
      </c>
      <c r="C15" s="176" t="str">
        <f>IF(COUNTIF(_calc!$A$4268:$A$4507,2)=0,"",INDEX(rl_eff,MATCH(2,_calc!$A$4268:$A$4507,0)))</f>
        <v/>
      </c>
      <c r="D15" s="177" t="str">
        <f>IF($C15="","",INDEX(rl_reff,MATCH(2,_calc!$A$4268:$A$4507,0)))</f>
        <v/>
      </c>
      <c r="E15" s="40"/>
      <c r="F15" s="175"/>
    </row>
    <row r="16" spans="2:6" x14ac:dyDescent="0.25">
      <c r="B16" s="67">
        <v>3</v>
      </c>
      <c r="C16" s="176" t="str">
        <f>IF(COUNTIF(_calc!$A$4268:$A$4507,3)=0,"",INDEX(rl_eff,MATCH(3,_calc!$A$4268:$A$4507,0)))</f>
        <v/>
      </c>
      <c r="D16" s="177" t="str">
        <f>IF($C16="","",INDEX(rl_reff,MATCH(3,_calc!$A$4268:$A$4507,0)))</f>
        <v/>
      </c>
      <c r="E16" s="40"/>
      <c r="F16" s="175"/>
    </row>
    <row r="17" spans="2:6" x14ac:dyDescent="0.25">
      <c r="B17" s="67">
        <v>4</v>
      </c>
      <c r="C17" s="176" t="str">
        <f>IF(COUNTIF(_calc!$A$4268:$A$4507,4)=0,"",INDEX(rl_eff,MATCH(4,_calc!$A$4268:$A$4507,0)))</f>
        <v/>
      </c>
      <c r="D17" s="177" t="str">
        <f>IF($C17="","",INDEX(rl_reff,MATCH(4,_calc!$A$4268:$A$4507,0)))</f>
        <v/>
      </c>
      <c r="E17" s="40"/>
      <c r="F17" s="175"/>
    </row>
    <row r="18" spans="2:6" x14ac:dyDescent="0.25">
      <c r="B18" s="67">
        <v>5</v>
      </c>
      <c r="C18" s="176" t="str">
        <f>IF(COUNTIF(_calc!$A$4268:$A$4507,5)=0,"",INDEX(rl_eff,MATCH(5,_calc!$A$4268:$A$4507,0)))</f>
        <v/>
      </c>
      <c r="D18" s="177" t="str">
        <f>IF($C18="","",INDEX(rl_reff,MATCH(5,_calc!$A$4268:$A$4507,0)))</f>
        <v/>
      </c>
      <c r="E18" s="40"/>
      <c r="F18" s="175"/>
    </row>
    <row r="19" spans="2:6" x14ac:dyDescent="0.25">
      <c r="B19" s="67">
        <v>6</v>
      </c>
      <c r="C19" s="176" t="str">
        <f>IF(COUNTIF(_calc!$A$4268:$A$4507,6)=0,"",INDEX(rl_eff,MATCH(6,_calc!$A$4268:$A$4507,0)))</f>
        <v/>
      </c>
      <c r="D19" s="177" t="str">
        <f>IF($C19="","",INDEX(rl_reff,MATCH(6,_calc!$A$4268:$A$4507,0)))</f>
        <v/>
      </c>
      <c r="E19" s="40"/>
      <c r="F19" s="175"/>
    </row>
    <row r="20" spans="2:6" x14ac:dyDescent="0.25">
      <c r="B20" s="67">
        <v>7</v>
      </c>
      <c r="C20" s="176" t="str">
        <f>IF(COUNTIF(_calc!$A$4268:$A$4507,7)=0,"",INDEX(rl_eff,MATCH(7,_calc!$A$4268:$A$4507,0)))</f>
        <v/>
      </c>
      <c r="D20" s="177" t="str">
        <f>IF($C20="","",INDEX(rl_reff,MATCH(7,_calc!$A$4268:$A$4507,0)))</f>
        <v/>
      </c>
      <c r="E20" s="40"/>
      <c r="F20" s="175"/>
    </row>
    <row r="21" spans="2:6" x14ac:dyDescent="0.25">
      <c r="B21" s="67">
        <v>8</v>
      </c>
      <c r="C21" s="176" t="str">
        <f>IF(COUNTIF(_calc!$A$4268:$A$4507,8)=0,"",INDEX(rl_eff,MATCH(8,_calc!$A$4268:$A$4507,0)))</f>
        <v/>
      </c>
      <c r="D21" s="177" t="str">
        <f>IF($C21="","",INDEX(rl_reff,MATCH(8,_calc!$A$4268:$A$4507,0)))</f>
        <v/>
      </c>
      <c r="E21" s="40"/>
      <c r="F21" s="175"/>
    </row>
    <row r="23" spans="2:6" ht="15.75" x14ac:dyDescent="0.25">
      <c r="B23" s="3" t="s">
        <v>491</v>
      </c>
    </row>
    <row r="24" spans="2:6" x14ac:dyDescent="0.25">
      <c r="B24" s="38" t="s">
        <v>293</v>
      </c>
      <c r="C24" s="38" t="s">
        <v>492</v>
      </c>
      <c r="D24" s="38" t="s">
        <v>493</v>
      </c>
      <c r="E24" s="38" t="s">
        <v>293</v>
      </c>
    </row>
    <row r="25" spans="2:6" x14ac:dyDescent="0.25">
      <c r="B25" s="115" t="s">
        <v>494</v>
      </c>
      <c r="D25" s="168">
        <f>nr_CYLR_P</f>
        <v>0.63357323744376037</v>
      </c>
    </row>
    <row r="26" spans="2:6" x14ac:dyDescent="0.25">
      <c r="B26" s="12" t="s">
        <v>495</v>
      </c>
      <c r="C26" s="94">
        <f>IF(nr_NetMode,1,nr_ECY_P/_calc!$B$4561)</f>
        <v>1</v>
      </c>
      <c r="D26" s="93">
        <f>$D25*$C26</f>
        <v>0.63357323744376037</v>
      </c>
      <c r="E26" s="95">
        <f>($D26-$D25)*100</f>
        <v>0</v>
      </c>
    </row>
    <row r="27" spans="2:6" x14ac:dyDescent="0.25">
      <c r="B27" s="12" t="s">
        <v>496</v>
      </c>
      <c r="C27" s="94">
        <f>IF(nr_NetMode,1,_calc!$B$4561/_calc!$B$4615)</f>
        <v>1</v>
      </c>
      <c r="D27" s="93">
        <f>$D26*$C27</f>
        <v>0.63357323744376037</v>
      </c>
      <c r="E27" s="95">
        <f>($D27-$D26)*100</f>
        <v>0</v>
      </c>
    </row>
    <row r="28" spans="2:6" x14ac:dyDescent="0.25">
      <c r="B28" s="12" t="s">
        <v>497</v>
      </c>
      <c r="C28" s="94">
        <f>IF(nr_NetMode,1,IF(AND(nr_ModAdjMaster="ON",nr_ModAdjRow="ON"),nr_MEarned_P/_calc!$B$4669,1))</f>
        <v>1</v>
      </c>
      <c r="D28" s="93">
        <f>$D27*$C28</f>
        <v>0.63357323744376037</v>
      </c>
      <c r="E28" s="95">
        <f>($D28-$D27)*100</f>
        <v>0</v>
      </c>
    </row>
    <row r="29" spans="2:6" x14ac:dyDescent="0.25">
      <c r="B29" s="12" t="s">
        <v>498</v>
      </c>
      <c r="C29" s="94">
        <f>IF(N(att_actlr)=0,1,att_actlr/$D$28)</f>
        <v>1</v>
      </c>
      <c r="D29" s="93">
        <f>$D28*$C29</f>
        <v>0.63357323744376037</v>
      </c>
      <c r="E29" s="95">
        <f>($D29-$D28)*100</f>
        <v>0</v>
      </c>
    </row>
    <row r="30" spans="2:6" x14ac:dyDescent="0.25">
      <c r="B30" s="115" t="s">
        <v>499</v>
      </c>
      <c r="D30" s="97">
        <f>$D$29</f>
        <v>0.63357323744376037</v>
      </c>
    </row>
    <row r="32" spans="2:6" x14ac:dyDescent="0.25">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7" t="s">
        <v>500</v>
      </c>
    </row>
    <row r="36" spans="2:6" x14ac:dyDescent="0.25">
      <c r="B36" s="37" t="s">
        <v>308</v>
      </c>
    </row>
    <row r="37" spans="2:6" x14ac:dyDescent="0.25">
      <c r="B37" s="77" t="s">
        <v>293</v>
      </c>
      <c r="C37" s="77" t="s">
        <v>309</v>
      </c>
      <c r="D37" s="77" t="s">
        <v>310</v>
      </c>
      <c r="E37" s="77" t="s">
        <v>311</v>
      </c>
      <c r="F37" s="77" t="s">
        <v>312</v>
      </c>
    </row>
    <row r="38" spans="2:6" x14ac:dyDescent="0.25">
      <c r="B38" s="77" t="s">
        <v>494</v>
      </c>
      <c r="C38" s="49">
        <f>0</f>
        <v>0</v>
      </c>
      <c r="D38" s="49">
        <f>0</f>
        <v>0</v>
      </c>
      <c r="E38" s="49">
        <f>0</f>
        <v>0</v>
      </c>
      <c r="F38" s="49">
        <f>$D$25</f>
        <v>0.63357323744376037</v>
      </c>
    </row>
    <row r="39" spans="2:6" x14ac:dyDescent="0.25">
      <c r="B39" s="77" t="s">
        <v>501</v>
      </c>
      <c r="C39" s="49">
        <f>MIN($D$25,$D$26)</f>
        <v>0.63357323744376037</v>
      </c>
      <c r="D39" s="49">
        <f>MAX(0,$D$26-$D$25)</f>
        <v>0</v>
      </c>
      <c r="E39" s="49">
        <f>MAX(0,$D$25-$D$26)</f>
        <v>0</v>
      </c>
      <c r="F39" s="49">
        <f>0</f>
        <v>0</v>
      </c>
    </row>
    <row r="40" spans="2:6" x14ac:dyDescent="0.25">
      <c r="B40" s="77" t="s">
        <v>502</v>
      </c>
      <c r="C40" s="49">
        <f>MIN($D$26,$D$27)</f>
        <v>0.63357323744376037</v>
      </c>
      <c r="D40" s="49">
        <f>MAX(0,$D$27-$D$26)</f>
        <v>0</v>
      </c>
      <c r="E40" s="49">
        <f>MAX(0,$D$26-$D$27)</f>
        <v>0</v>
      </c>
      <c r="F40" s="49">
        <f>0</f>
        <v>0</v>
      </c>
    </row>
    <row r="41" spans="2:6" x14ac:dyDescent="0.25">
      <c r="B41" s="77" t="s">
        <v>315</v>
      </c>
      <c r="C41" s="49">
        <f>MIN($D$27,$D$28)</f>
        <v>0.63357323744376037</v>
      </c>
      <c r="D41" s="49">
        <f>MAX(0,$D$28-$D$27)</f>
        <v>0</v>
      </c>
      <c r="E41" s="49">
        <f>MAX(0,$D$27-$D$28)</f>
        <v>0</v>
      </c>
      <c r="F41" s="49">
        <f>0</f>
        <v>0</v>
      </c>
    </row>
    <row r="42" spans="2:6" x14ac:dyDescent="0.25">
      <c r="B42" s="77" t="s">
        <v>503</v>
      </c>
      <c r="C42" s="49">
        <f>MIN($D$28,$D$29)</f>
        <v>0.63357323744376037</v>
      </c>
      <c r="D42" s="49">
        <f>MAX(0,$D$29-$D$28)</f>
        <v>0</v>
      </c>
      <c r="E42" s="49">
        <f>MAX(0,$D$28-$D$29)</f>
        <v>0</v>
      </c>
      <c r="F42" s="49">
        <f>0</f>
        <v>0</v>
      </c>
    </row>
    <row r="43" spans="2:6" x14ac:dyDescent="0.25">
      <c r="B43" s="77" t="s">
        <v>499</v>
      </c>
      <c r="C43" s="49">
        <f>0</f>
        <v>0</v>
      </c>
      <c r="D43" s="49">
        <f>0</f>
        <v>0</v>
      </c>
      <c r="E43" s="49">
        <f>0</f>
        <v>0</v>
      </c>
      <c r="F43" s="49">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504</v>
      </c>
    </row>
    <row r="2" spans="1:8" x14ac:dyDescent="0.25">
      <c r="A2" s="2" t="s">
        <v>505</v>
      </c>
    </row>
    <row r="3" spans="1:8" x14ac:dyDescent="0.25">
      <c r="A3" s="115" t="s">
        <v>506</v>
      </c>
      <c r="C3" s="174" t="str">
        <f>IF(COUNTIF($G$6:$G$48,"FAIL")=0,"ALL CHECKS PASS","CHECKS FAILING: "&amp;COUNTIF($G$6:$G$48,"FAIL"))</f>
        <v>ALL CHECKS PASS</v>
      </c>
      <c r="E3" s="77" t="str">
        <f>COUNTIF($G$6:$G$48,"WARN")&amp;" warning(s), "&amp;COUNTIF($G$6:$G$48,"N/A")&amp;" not applicable"</f>
        <v>0 warning(s), 1 not applicable</v>
      </c>
    </row>
    <row r="5" spans="1:8" x14ac:dyDescent="0.25">
      <c r="A5" s="38" t="s">
        <v>218</v>
      </c>
      <c r="B5" s="38" t="s">
        <v>507</v>
      </c>
      <c r="C5" s="38" t="s">
        <v>508</v>
      </c>
      <c r="D5" s="38" t="s">
        <v>509</v>
      </c>
      <c r="E5" s="38" t="s">
        <v>510</v>
      </c>
      <c r="F5" s="38" t="s">
        <v>511</v>
      </c>
      <c r="G5" s="38" t="s">
        <v>155</v>
      </c>
      <c r="H5" s="38"/>
    </row>
    <row r="6" spans="1:8" x14ac:dyDescent="0.25">
      <c r="A6" s="67">
        <v>1</v>
      </c>
      <c r="B6" s="77" t="s">
        <v>512</v>
      </c>
      <c r="C6" s="12" t="s">
        <v>513</v>
      </c>
      <c r="D6" s="179">
        <f>0</f>
        <v>0</v>
      </c>
      <c r="E6" s="179">
        <f>MAX(re_rowsum_chk)</f>
        <v>2.2204460492503131E-16</v>
      </c>
      <c r="F6" s="67">
        <v>1.0000000000000001E-9</v>
      </c>
      <c r="G6" s="180" t="str">
        <f t="shared" ref="G6:G14" si="0">IF(ABS($E6-$D6)&lt;=$F6,"PASS","FAIL")</f>
        <v>PASS</v>
      </c>
    </row>
    <row r="7" spans="1:8" x14ac:dyDescent="0.25">
      <c r="A7" s="67">
        <v>2</v>
      </c>
      <c r="B7" s="77" t="s">
        <v>512</v>
      </c>
      <c r="C7" s="12" t="s">
        <v>514</v>
      </c>
      <c r="D7" s="179">
        <f>0</f>
        <v>0</v>
      </c>
      <c r="E7" s="179">
        <f>MAX(re_viol_row)</f>
        <v>2.2204460492503131E-16</v>
      </c>
      <c r="F7" s="67">
        <v>1.0000000000000001E-9</v>
      </c>
      <c r="G7" s="180" t="str">
        <f t="shared" si="0"/>
        <v>PASS</v>
      </c>
    </row>
    <row r="8" spans="1:8" x14ac:dyDescent="0.25">
      <c r="A8" s="67">
        <v>3</v>
      </c>
      <c r="B8" s="77" t="s">
        <v>512</v>
      </c>
      <c r="C8" s="12" t="s">
        <v>515</v>
      </c>
      <c r="D8" s="179">
        <f>nr_ECY_P</f>
        <v>1.1101025000000002</v>
      </c>
      <c r="E8" s="179">
        <f>re_ecy_matrix</f>
        <v>1.1101024999999998</v>
      </c>
      <c r="F8" s="67">
        <v>1.0000000000000001E-9</v>
      </c>
      <c r="G8" s="180" t="str">
        <f t="shared" si="0"/>
        <v>PASS</v>
      </c>
    </row>
    <row r="9" spans="1:8" x14ac:dyDescent="0.25">
      <c r="A9" s="67">
        <v>4</v>
      </c>
      <c r="B9" s="77" t="s">
        <v>512</v>
      </c>
      <c r="C9" s="12" t="s">
        <v>516</v>
      </c>
      <c r="D9" s="179">
        <f>0</f>
        <v>0</v>
      </c>
      <c r="E9" s="179">
        <f>IF(br_selrow=0,0,ABS(INDEX(calc_ecy_p,br_selrow)-nr_ECY_P))</f>
        <v>0</v>
      </c>
      <c r="F9" s="67">
        <v>1.0000000000000001E-9</v>
      </c>
      <c r="G9" s="180" t="str">
        <f t="shared" si="0"/>
        <v>PASS</v>
      </c>
    </row>
    <row r="10" spans="1:8" x14ac:dyDescent="0.25">
      <c r="A10" s="67">
        <v>5</v>
      </c>
      <c r="B10" s="77" t="s">
        <v>512</v>
      </c>
      <c r="C10" s="12" t="s">
        <v>517</v>
      </c>
      <c r="D10" s="179">
        <f>0</f>
        <v>0</v>
      </c>
      <c r="E10" s="179">
        <f>IF(br_selrow=0,0,ABS(INDEX(calc_crl,br_selrow)-nr_CRLind))</f>
        <v>0</v>
      </c>
      <c r="F10" s="67">
        <v>1.0000000000000001E-9</v>
      </c>
      <c r="G10" s="180" t="str">
        <f t="shared" si="0"/>
        <v>PASS</v>
      </c>
    </row>
    <row r="11" spans="1:8" x14ac:dyDescent="0.25">
      <c r="A11" s="67">
        <v>6</v>
      </c>
      <c r="B11" s="77" t="s">
        <v>512</v>
      </c>
      <c r="C11" s="12" t="s">
        <v>518</v>
      </c>
      <c r="D11" s="179">
        <f>0</f>
        <v>0</v>
      </c>
      <c r="E11" s="179">
        <f>ABS(nr_LRcur*nr_Arate_P*nr_Amod_P*nr_AOther-nr_CYLR_P)</f>
        <v>0</v>
      </c>
      <c r="F11" s="67">
        <v>1.0000000000000001E-9</v>
      </c>
      <c r="G11" s="180" t="str">
        <f t="shared" si="0"/>
        <v>PASS</v>
      </c>
    </row>
    <row r="12" spans="1:8" x14ac:dyDescent="0.25">
      <c r="A12" s="67">
        <v>7</v>
      </c>
      <c r="B12" s="77" t="s">
        <v>512</v>
      </c>
      <c r="C12" s="12" t="s">
        <v>519</v>
      </c>
      <c r="D12" s="179">
        <f>0</f>
        <v>0</v>
      </c>
      <c r="E12" s="179">
        <f>ABS(nr_LRcur*(1+nr_Trend)*nr_Arate_P1*nr_Amod_P1*nr_AOther-nr_CYLR_P1)</f>
        <v>0</v>
      </c>
      <c r="F12" s="67">
        <v>1.0000000000000001E-9</v>
      </c>
      <c r="G12" s="180" t="str">
        <f t="shared" si="0"/>
        <v>PASS</v>
      </c>
    </row>
    <row r="13" spans="1:8" x14ac:dyDescent="0.25">
      <c r="A13" s="67">
        <v>8</v>
      </c>
      <c r="B13" s="77" t="s">
        <v>512</v>
      </c>
      <c r="C13" s="12" t="s">
        <v>520</v>
      </c>
      <c r="D13" s="179">
        <f>0</f>
        <v>0</v>
      </c>
      <c r="E13" s="179">
        <f>IF(br_selrow=0,0,ABS(INDEX(calc_cylr_p,br_selrow)-nr_CYLR_P))</f>
        <v>0</v>
      </c>
      <c r="F13" s="67">
        <v>1.0000000000000001E-9</v>
      </c>
      <c r="G13" s="180" t="str">
        <f t="shared" si="0"/>
        <v>PASS</v>
      </c>
    </row>
    <row r="14" spans="1:8" x14ac:dyDescent="0.25">
      <c r="A14" s="67">
        <v>9</v>
      </c>
      <c r="B14" s="77" t="s">
        <v>512</v>
      </c>
      <c r="C14" s="12" t="s">
        <v>521</v>
      </c>
      <c r="D14" s="179">
        <f>0</f>
        <v>0</v>
      </c>
      <c r="E14" s="179">
        <f>IF(COUNT(sc_dpts,sc_shift,sc_ach,sc_dm1,sc_dnet)&gt;0,0,ABS(INDEX(sc_res_cylr,2)-nr_CYLR_P))</f>
        <v>0</v>
      </c>
      <c r="F14" s="67">
        <v>1.0000000000000001E-9</v>
      </c>
      <c r="G14" s="180" t="str">
        <f t="shared" si="0"/>
        <v>PASS</v>
      </c>
    </row>
    <row r="15" spans="1:8" x14ac:dyDescent="0.25">
      <c r="A15" s="67">
        <v>10</v>
      </c>
      <c r="B15" s="77" t="s">
        <v>522</v>
      </c>
      <c r="C15" s="12" t="s">
        <v>523</v>
      </c>
      <c r="D15" s="181">
        <f>me_identity</f>
        <v>0.86603938730853391</v>
      </c>
      <c r="E15" s="181">
        <f>nr_MEarned_P</f>
        <v>0.8659874179431073</v>
      </c>
      <c r="F15" s="67">
        <v>2.0000000000000001E-4</v>
      </c>
      <c r="G15" s="180" t="str">
        <f>IF(NOT(me_identity_ok),"N/A",IF(ABS(nr_MEarned_P-me_identity)&lt;=0.0002,"PASS","FAIL"))</f>
        <v>PASS</v>
      </c>
    </row>
    <row r="16" spans="1:8" x14ac:dyDescent="0.25">
      <c r="A16" s="67">
        <v>11</v>
      </c>
      <c r="B16" s="77" t="s">
        <v>512</v>
      </c>
      <c r="C16" s="12" t="s">
        <v>524</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25">
      <c r="A17" s="67">
        <v>12</v>
      </c>
      <c r="B17" s="77" t="s">
        <v>525</v>
      </c>
      <c r="C17" s="12" t="s">
        <v>526</v>
      </c>
      <c r="D17" s="179">
        <f>orc_crl</f>
        <v>1.1024</v>
      </c>
      <c r="E17" s="179">
        <f>nr_CRLind</f>
        <v>1.1024</v>
      </c>
      <c r="F17" s="67">
        <v>9.9999999999999995E-7</v>
      </c>
      <c r="G17" s="180" t="str">
        <f t="shared" ref="G17:G27" si="1">IF(NOT(orc_fp),"N/A",IF(ABS($E17-$D17)&lt;=$F17,"PASS","FAIL"))</f>
        <v>PASS</v>
      </c>
    </row>
    <row r="18" spans="1:7" x14ac:dyDescent="0.25">
      <c r="A18" s="67">
        <v>13</v>
      </c>
      <c r="B18" s="77" t="s">
        <v>525</v>
      </c>
      <c r="C18" s="12" t="s">
        <v>527</v>
      </c>
      <c r="D18" s="179">
        <f>orc_ecy_pm1</f>
        <v>1.0427999999999999</v>
      </c>
      <c r="E18" s="179">
        <f>nr_ECY_Pm1</f>
        <v>1.0428000000000002</v>
      </c>
      <c r="F18" s="67">
        <v>9.9999999999999995E-7</v>
      </c>
      <c r="G18" s="180" t="str">
        <f t="shared" si="1"/>
        <v>PASS</v>
      </c>
    </row>
    <row r="19" spans="1:7" x14ac:dyDescent="0.25">
      <c r="A19" s="67">
        <v>14</v>
      </c>
      <c r="B19" s="77" t="s">
        <v>525</v>
      </c>
      <c r="C19" s="12" t="s">
        <v>528</v>
      </c>
      <c r="D19" s="179">
        <f>orc_ecy_p</f>
        <v>1.1101025</v>
      </c>
      <c r="E19" s="179">
        <f>nr_ECY_P</f>
        <v>1.1101025000000002</v>
      </c>
      <c r="F19" s="67">
        <v>9.9999999999999995E-7</v>
      </c>
      <c r="G19" s="180" t="str">
        <f t="shared" si="1"/>
        <v>PASS</v>
      </c>
    </row>
    <row r="20" spans="1:7" x14ac:dyDescent="0.25">
      <c r="A20" s="67">
        <v>15</v>
      </c>
      <c r="B20" s="77" t="s">
        <v>525</v>
      </c>
      <c r="C20" s="12" t="s">
        <v>529</v>
      </c>
      <c r="D20" s="179">
        <f>orc_ecy_p1</f>
        <v>1.1557975</v>
      </c>
      <c r="E20" s="179">
        <f>nr_ECY_P1</f>
        <v>1.1557975</v>
      </c>
      <c r="F20" s="67">
        <v>9.9999999999999995E-7</v>
      </c>
      <c r="G20" s="180" t="str">
        <f t="shared" si="1"/>
        <v>PASS</v>
      </c>
    </row>
    <row r="21" spans="1:7" x14ac:dyDescent="0.25">
      <c r="A21" s="67">
        <v>16</v>
      </c>
      <c r="B21" s="77" t="s">
        <v>525</v>
      </c>
      <c r="C21" s="12" t="s">
        <v>530</v>
      </c>
      <c r="D21" s="179">
        <f>orc_mbar_p</f>
        <v>0.8659874179431073</v>
      </c>
      <c r="E21" s="179">
        <f>nr_MEarned_P</f>
        <v>0.8659874179431073</v>
      </c>
      <c r="F21" s="67">
        <v>9.9999999999999995E-7</v>
      </c>
      <c r="G21" s="180" t="str">
        <f t="shared" si="1"/>
        <v>PASS</v>
      </c>
    </row>
    <row r="22" spans="1:7" x14ac:dyDescent="0.25">
      <c r="A22" s="67">
        <v>17</v>
      </c>
      <c r="B22" s="77" t="s">
        <v>525</v>
      </c>
      <c r="C22" s="12" t="s">
        <v>531</v>
      </c>
      <c r="D22" s="179">
        <f>orc_arate_p</f>
        <v>0.99306145153262859</v>
      </c>
      <c r="E22" s="179">
        <f>nr_Arate_P</f>
        <v>0.99306145153262859</v>
      </c>
      <c r="F22" s="67">
        <v>9.9999999999999995E-7</v>
      </c>
      <c r="G22" s="180" t="str">
        <f t="shared" si="1"/>
        <v>PASS</v>
      </c>
    </row>
    <row r="23" spans="1:7" x14ac:dyDescent="0.25">
      <c r="A23" s="67">
        <v>18</v>
      </c>
      <c r="B23" s="77" t="s">
        <v>525</v>
      </c>
      <c r="C23" s="12" t="s">
        <v>532</v>
      </c>
      <c r="D23" s="179">
        <f>orc_arate_p1</f>
        <v>0.95380029806259314</v>
      </c>
      <c r="E23" s="179">
        <f>nr_Arate_P1</f>
        <v>0.95380029806259314</v>
      </c>
      <c r="F23" s="67">
        <v>9.9999999999999995E-7</v>
      </c>
      <c r="G23" s="180" t="str">
        <f t="shared" si="1"/>
        <v>PASS</v>
      </c>
    </row>
    <row r="24" spans="1:7" x14ac:dyDescent="0.25">
      <c r="A24" s="67">
        <v>19</v>
      </c>
      <c r="B24" s="77" t="s">
        <v>525</v>
      </c>
      <c r="C24" s="12" t="s">
        <v>533</v>
      </c>
      <c r="D24" s="179">
        <f>orc_amod_p</f>
        <v>0.98153851013092008</v>
      </c>
      <c r="E24" s="179">
        <f>nr_Amod_P</f>
        <v>0.98153851013092008</v>
      </c>
      <c r="F24" s="67">
        <v>9.9999999999999995E-7</v>
      </c>
      <c r="G24" s="180" t="str">
        <f t="shared" si="1"/>
        <v>PASS</v>
      </c>
    </row>
    <row r="25" spans="1:7" x14ac:dyDescent="0.25">
      <c r="A25" s="67">
        <v>20</v>
      </c>
      <c r="B25" s="77" t="s">
        <v>525</v>
      </c>
      <c r="C25" s="12" t="s">
        <v>534</v>
      </c>
      <c r="D25" s="179">
        <f>orc_cylr_p</f>
        <v>0.63357323744376037</v>
      </c>
      <c r="E25" s="179">
        <f>nr_CYLR_P</f>
        <v>0.63357323744376037</v>
      </c>
      <c r="F25" s="67">
        <v>9.9999999999999995E-7</v>
      </c>
      <c r="G25" s="180" t="str">
        <f t="shared" si="1"/>
        <v>PASS</v>
      </c>
    </row>
    <row r="26" spans="1:7" x14ac:dyDescent="0.25">
      <c r="A26" s="67">
        <v>21</v>
      </c>
      <c r="B26" s="77" t="s">
        <v>525</v>
      </c>
      <c r="C26" s="12" t="s">
        <v>535</v>
      </c>
      <c r="D26" s="179">
        <f>orc_cylr_p1</f>
        <v>0.59480029614224839</v>
      </c>
      <c r="E26" s="179">
        <f>nr_CYLR_P1</f>
        <v>0.59480029614224839</v>
      </c>
      <c r="F26" s="67">
        <v>9.9999999999999995E-7</v>
      </c>
      <c r="G26" s="180" t="str">
        <f t="shared" si="1"/>
        <v>PASS</v>
      </c>
    </row>
    <row r="27" spans="1:7" x14ac:dyDescent="0.25">
      <c r="A27" s="67">
        <v>22</v>
      </c>
      <c r="B27" s="77" t="s">
        <v>525</v>
      </c>
      <c r="C27" s="12" t="s">
        <v>536</v>
      </c>
      <c r="D27" s="179">
        <f>orc_cylr_p_cont</f>
        <v>0.63356403229997393</v>
      </c>
      <c r="E27" s="179">
        <f>nr_CYLR_P</f>
        <v>0.63357323744376037</v>
      </c>
      <c r="F27" s="67">
        <v>1E-3</v>
      </c>
      <c r="G27" s="180" t="str">
        <f t="shared" si="1"/>
        <v>PASS</v>
      </c>
    </row>
    <row r="28" spans="1:7" x14ac:dyDescent="0.25">
      <c r="A28" s="67">
        <v>23</v>
      </c>
      <c r="B28" s="77" t="s">
        <v>525</v>
      </c>
      <c r="C28" s="12" t="s">
        <v>537</v>
      </c>
      <c r="D28" s="182">
        <f>orc_solver_r</f>
        <v>5.0000000000000933E-2</v>
      </c>
      <c r="E28" s="182">
        <f>IF(ISNUMBER(nr_SolverR),nr_SolverR,-999)</f>
        <v>5.0000000000000933E-2</v>
      </c>
      <c r="F28" s="67">
        <v>9.9999999999999995E-7</v>
      </c>
      <c r="G28" s="180" t="str">
        <f>IF(OR(NOT(orc_fp),ABS(Solver!$C$7-orc_cylr_p)&gt;0.000001,Solver!$C$8&lt;&gt;DATE(nr_PlanYear,4,1)),"N/A",IF(ABS($E28-$D28)&lt;=$F28,"PASS","FAIL"))</f>
        <v>PASS</v>
      </c>
    </row>
    <row r="29" spans="1:7" x14ac:dyDescent="0.25">
      <c r="A29" s="67">
        <v>24</v>
      </c>
      <c r="B29" s="77" t="s">
        <v>525</v>
      </c>
      <c r="C29" s="12" t="s">
        <v>538</v>
      </c>
      <c r="D29" s="93">
        <f>orc_cylr_p</f>
        <v>0.63357323744376037</v>
      </c>
      <c r="E29" s="93">
        <f>Solver!$G$32</f>
        <v>0.63357323744376037</v>
      </c>
      <c r="F29" s="67">
        <v>9.9999999999999995E-7</v>
      </c>
      <c r="G29" s="180" t="str">
        <f>IF(OR(NOT(orc_fp),Solver!$C$26&lt;&gt;0.05),"N/A",IF(ABS($E29-$D29)&lt;=$F29,"PASS","FAIL"))</f>
        <v>PASS</v>
      </c>
    </row>
    <row r="30" spans="1:7" x14ac:dyDescent="0.25">
      <c r="A30" s="67">
        <v>25</v>
      </c>
      <c r="B30" s="77" t="s">
        <v>539</v>
      </c>
      <c r="C30" s="12" t="s">
        <v>540</v>
      </c>
      <c r="D30" s="179">
        <f>0</f>
        <v>0</v>
      </c>
      <c r="E30" s="179">
        <f>COUNTIF(rl_ach,"&gt;1.5")+COUNTIF(rl_ach,"&lt;0")</f>
        <v>0</v>
      </c>
      <c r="F30" s="67">
        <v>0</v>
      </c>
      <c r="G30" s="180" t="str">
        <f t="shared" ref="G30:G38" si="2">IF(ABS($E30-$D30)&lt;=$F30,"PASS","FAIL")</f>
        <v>PASS</v>
      </c>
    </row>
    <row r="31" spans="1:7" x14ac:dyDescent="0.25">
      <c r="A31" s="67">
        <v>26</v>
      </c>
      <c r="B31" s="77" t="s">
        <v>539</v>
      </c>
      <c r="C31" s="12" t="s">
        <v>541</v>
      </c>
      <c r="D31" s="179">
        <f>0</f>
        <v>0</v>
      </c>
      <c r="E31" s="179">
        <f>COUNTIF(lr_mind,"&gt;1.5")+COUNTIF(lr_mind,"&lt;0.5")+COUNTIF(lr_m0,"&gt;1.5")+COUNTIF(lr_m0,"&lt;0.5")+COUNTIF(lr_m1,"&gt;1.5")+COUNTIF(lr_m1,"&lt;0.5")</f>
        <v>0</v>
      </c>
      <c r="F31" s="67">
        <v>0</v>
      </c>
      <c r="G31" s="180" t="str">
        <f t="shared" si="2"/>
        <v>PASS</v>
      </c>
    </row>
    <row r="32" spans="1:7" x14ac:dyDescent="0.25">
      <c r="A32" s="67">
        <v>27</v>
      </c>
      <c r="B32" s="77" t="s">
        <v>539</v>
      </c>
      <c r="C32" s="12" t="s">
        <v>542</v>
      </c>
      <c r="D32" s="179">
        <f>0</f>
        <v>0</v>
      </c>
      <c r="E32" s="179">
        <f>COUNTIF(lr_mprior,"&gt;1.5")+COUNTIF(lr_mprior,"&lt;0.5")+COUNTIF(lr_m2,"&gt;1.5")+COUNTIF(lr_m2,"&lt;0.5")</f>
        <v>0</v>
      </c>
      <c r="F32" s="67">
        <v>0</v>
      </c>
      <c r="G32" s="180" t="str">
        <f t="shared" si="2"/>
        <v>PASS</v>
      </c>
    </row>
    <row r="33" spans="1:7" x14ac:dyDescent="0.25">
      <c r="A33" s="67">
        <v>28</v>
      </c>
      <c r="B33" s="77" t="s">
        <v>539</v>
      </c>
      <c r="C33" s="12" t="s">
        <v>543</v>
      </c>
      <c r="D33" s="179">
        <f>0</f>
        <v>0</v>
      </c>
      <c r="E33" s="179">
        <f>COUNTIF(rl_reff,"&lt;=-1")</f>
        <v>0</v>
      </c>
      <c r="F33" s="67">
        <v>0</v>
      </c>
      <c r="G33" s="180" t="str">
        <f t="shared" si="2"/>
        <v>PASS</v>
      </c>
    </row>
    <row r="34" spans="1:7" x14ac:dyDescent="0.25">
      <c r="A34" s="67">
        <v>29</v>
      </c>
      <c r="B34" s="77" t="s">
        <v>539</v>
      </c>
      <c r="C34" s="12" t="s">
        <v>544</v>
      </c>
      <c r="D34" s="179">
        <f>0</f>
        <v>0</v>
      </c>
      <c r="E34" s="179">
        <f>SUMPRODUCT((lr_key&lt;&gt;"")*(N(lr_m0asof)&gt;=DATE(nr_PlanYear,12,31))*1)</f>
        <v>0</v>
      </c>
      <c r="F34" s="67">
        <v>0</v>
      </c>
      <c r="G34" s="180" t="str">
        <f t="shared" si="2"/>
        <v>PASS</v>
      </c>
    </row>
    <row r="35" spans="1:7" x14ac:dyDescent="0.25">
      <c r="A35" s="67">
        <v>30</v>
      </c>
      <c r="B35" s="77" t="s">
        <v>539</v>
      </c>
      <c r="C35" s="12" t="s">
        <v>545</v>
      </c>
      <c r="D35" s="179">
        <f>0</f>
        <v>0</v>
      </c>
      <c r="E35" s="179">
        <f>SUMPRODUCT((rl_key&lt;&gt;"")*(rl_status&lt;&gt;"taken")*(rl_status&lt;&gt;"planned")*1)</f>
        <v>0</v>
      </c>
      <c r="F35" s="67">
        <v>0</v>
      </c>
      <c r="G35" s="180" t="str">
        <f t="shared" si="2"/>
        <v>PASS</v>
      </c>
    </row>
    <row r="36" spans="1:7" x14ac:dyDescent="0.25">
      <c r="A36" s="67">
        <v>31</v>
      </c>
      <c r="B36" s="77" t="s">
        <v>539</v>
      </c>
      <c r="C36" s="12" t="s">
        <v>546</v>
      </c>
      <c r="D36" s="179">
        <f>0</f>
        <v>0</v>
      </c>
      <c r="E36" s="179">
        <f>SUMPRODUCT((lr_basis&lt;&gt;"current")*(lr_basis&lt;&gt;"proposed")*(lr_basis&lt;&gt;"")*1)</f>
        <v>0</v>
      </c>
      <c r="F36" s="67">
        <v>0</v>
      </c>
      <c r="G36" s="180" t="str">
        <f t="shared" si="2"/>
        <v>PASS</v>
      </c>
    </row>
    <row r="37" spans="1:7" x14ac:dyDescent="0.25">
      <c r="A37" s="67">
        <v>32</v>
      </c>
      <c r="B37" s="77" t="s">
        <v>539</v>
      </c>
      <c r="C37" s="12" t="s">
        <v>547</v>
      </c>
      <c r="D37" s="179">
        <f>0</f>
        <v>0</v>
      </c>
      <c r="E37" s="179">
        <f>COUNTIF(lr_ep,"&lt;0")</f>
        <v>0</v>
      </c>
      <c r="F37" s="67">
        <v>0</v>
      </c>
      <c r="G37" s="180" t="str">
        <f t="shared" si="2"/>
        <v>PASS</v>
      </c>
    </row>
    <row r="38" spans="1:7" x14ac:dyDescent="0.25">
      <c r="A38" s="67">
        <v>33</v>
      </c>
      <c r="B38" s="77" t="s">
        <v>539</v>
      </c>
      <c r="C38" s="12" t="s">
        <v>548</v>
      </c>
      <c r="D38" s="179">
        <f>0</f>
        <v>0</v>
      </c>
      <c r="E38" s="179">
        <f>COUNTIF(lr_netp,"&gt;1")+COUNTIF(lr_netp,"&lt;-0.5")+COUNTIF(lr_netp1,"&gt;1")+COUNTIF(lr_netp1,"&lt;-0.5")</f>
        <v>0</v>
      </c>
      <c r="F38" s="67">
        <v>0</v>
      </c>
      <c r="G38" s="180" t="str">
        <f t="shared" si="2"/>
        <v>PASS</v>
      </c>
    </row>
    <row r="39" spans="1:7" x14ac:dyDescent="0.25">
      <c r="A39" s="67">
        <v>34</v>
      </c>
      <c r="B39" s="77" t="s">
        <v>549</v>
      </c>
      <c r="C39" s="12" t="s">
        <v>550</v>
      </c>
      <c r="D39" s="179">
        <f>0</f>
        <v>0</v>
      </c>
      <c r="E39" s="179">
        <f>SUMPRODUCT((rl_status="planned")*(rl_cons="Y")*1)</f>
        <v>0</v>
      </c>
      <c r="F39" s="67">
        <v>0</v>
      </c>
      <c r="G39" s="180" t="str">
        <f t="shared" ref="G39:G48" si="3">IF(ABS($E39-$D39)&lt;=$F39,"PASS","WARN")</f>
        <v>PASS</v>
      </c>
    </row>
    <row r="40" spans="1:7" x14ac:dyDescent="0.25">
      <c r="A40" s="67">
        <v>35</v>
      </c>
      <c r="B40" s="77" t="s">
        <v>549</v>
      </c>
      <c r="C40" s="12" t="s">
        <v>551</v>
      </c>
      <c r="D40" s="179">
        <f>0</f>
        <v>0</v>
      </c>
      <c r="E40" s="179">
        <f>SUM(rl_dup)</f>
        <v>0</v>
      </c>
      <c r="F40" s="67">
        <v>0</v>
      </c>
      <c r="G40" s="180" t="str">
        <f t="shared" si="3"/>
        <v>PASS</v>
      </c>
    </row>
    <row r="41" spans="1:7" x14ac:dyDescent="0.25">
      <c r="A41" s="67">
        <v>36</v>
      </c>
      <c r="B41" s="77" t="s">
        <v>549</v>
      </c>
      <c r="C41" s="12" t="s">
        <v>552</v>
      </c>
      <c r="D41" s="179">
        <f>0</f>
        <v>0</v>
      </c>
      <c r="E41" s="179">
        <f>COUNTIF(rl_eff,"&lt;"&amp;DATE(nr_PlanYear-2,1,1))+COUNTIF(rl_eff,"&gt;"&amp;DATE(nr_PlanYear+1,12,31))</f>
        <v>0</v>
      </c>
      <c r="F41" s="67">
        <v>0</v>
      </c>
      <c r="G41" s="180" t="str">
        <f t="shared" si="3"/>
        <v>PASS</v>
      </c>
    </row>
    <row r="42" spans="1:7" x14ac:dyDescent="0.25">
      <c r="A42" s="67">
        <v>37</v>
      </c>
      <c r="B42" s="77" t="s">
        <v>549</v>
      </c>
      <c r="C42" s="12" t="s">
        <v>553</v>
      </c>
      <c r="D42" s="179">
        <f>0</f>
        <v>0</v>
      </c>
      <c r="E42" s="179">
        <f>SUMPRODUCT((lr_key&lt;&gt;"")*(lr_aother&lt;&gt;"")*(lr_aother&lt;&gt;1)*(lr_aotherlbl="")*1)</f>
        <v>0</v>
      </c>
      <c r="F42" s="67">
        <v>0</v>
      </c>
      <c r="G42" s="180" t="str">
        <f t="shared" si="3"/>
        <v>PASS</v>
      </c>
    </row>
    <row r="43" spans="1:7" x14ac:dyDescent="0.25">
      <c r="A43" s="67">
        <v>38</v>
      </c>
      <c r="B43" s="77" t="s">
        <v>549</v>
      </c>
      <c r="C43" s="12" t="s">
        <v>554</v>
      </c>
      <c r="D43" s="179">
        <f>0</f>
        <v>0</v>
      </c>
      <c r="E43" s="179">
        <f>SUMPRODUCT((se_state&lt;&gt;"")*(N(se_sum)=0)*1)</f>
        <v>0</v>
      </c>
      <c r="F43" s="67">
        <v>0</v>
      </c>
      <c r="G43" s="180" t="str">
        <f t="shared" si="3"/>
        <v>PASS</v>
      </c>
    </row>
    <row r="44" spans="1:7" x14ac:dyDescent="0.25">
      <c r="A44" s="67">
        <v>39</v>
      </c>
      <c r="B44" s="77" t="s">
        <v>549</v>
      </c>
      <c r="C44" s="12" t="s">
        <v>555</v>
      </c>
      <c r="D44" s="179">
        <f>0</f>
        <v>0</v>
      </c>
      <c r="E44" s="179">
        <f>SUMPRODUCT((rl_key&lt;&gt;"")*(rl_cons&lt;&gt;"Y")*(rl_cons&lt;&gt;"N")*(rl_cons&lt;&gt;"")*1)</f>
        <v>0</v>
      </c>
      <c r="F44" s="67">
        <v>0</v>
      </c>
      <c r="G44" s="180" t="str">
        <f t="shared" si="3"/>
        <v>PASS</v>
      </c>
    </row>
    <row r="45" spans="1:7" x14ac:dyDescent="0.25">
      <c r="A45" s="67">
        <v>40</v>
      </c>
      <c r="B45" s="77" t="s">
        <v>549</v>
      </c>
      <c r="C45" s="12" t="s">
        <v>556</v>
      </c>
      <c r="D45" s="179">
        <f>0</f>
        <v>0</v>
      </c>
      <c r="E45" s="179">
        <f>SUMPRODUCT((lr_key&lt;&gt;"")*(COUNTIF(lr_key,lr_key)&gt;1)*1)</f>
        <v>0</v>
      </c>
      <c r="F45" s="67">
        <v>0</v>
      </c>
      <c r="G45" s="180" t="str">
        <f t="shared" si="3"/>
        <v>PASS</v>
      </c>
    </row>
    <row r="46" spans="1:7" x14ac:dyDescent="0.25">
      <c r="A46" s="67">
        <v>41</v>
      </c>
      <c r="B46" s="77" t="s">
        <v>549</v>
      </c>
      <c r="C46" s="12" t="s">
        <v>557</v>
      </c>
      <c r="D46" s="179">
        <f>0</f>
        <v>0</v>
      </c>
      <c r="E46" s="179">
        <f>SUMPRODUCT((lr_key&lt;&gt;"")*(1-ISBLANK(lr_netp))*(lr_modadj="OFF")*1)</f>
        <v>0</v>
      </c>
      <c r="F46" s="67">
        <v>0</v>
      </c>
      <c r="G46" s="180" t="str">
        <f t="shared" si="3"/>
        <v>PASS</v>
      </c>
    </row>
    <row r="47" spans="1:7" x14ac:dyDescent="0.25">
      <c r="A47" s="67">
        <v>42</v>
      </c>
      <c r="B47" s="77" t="s">
        <v>549</v>
      </c>
      <c r="C47" s="12" t="s">
        <v>558</v>
      </c>
      <c r="D47" s="179">
        <f>0</f>
        <v>0</v>
      </c>
      <c r="E47" s="179">
        <f>IF(NOT(nr_NetMode),0,COUNTIFS(rl_key,nr_SelKey,rl_status,"planned",rl_eff,"&gt;="&amp;DATE(nr_PlanYear,1,1)))</f>
        <v>0</v>
      </c>
      <c r="F47" s="67">
        <v>0</v>
      </c>
      <c r="G47" s="180" t="str">
        <f t="shared" si="3"/>
        <v>PASS</v>
      </c>
    </row>
    <row r="48" spans="1:7" x14ac:dyDescent="0.25">
      <c r="A48" s="67">
        <v>43</v>
      </c>
      <c r="B48" s="77" t="s">
        <v>549</v>
      </c>
      <c r="C48" s="12" t="s">
        <v>559</v>
      </c>
      <c r="D48" s="179">
        <f>0</f>
        <v>0</v>
      </c>
      <c r="E48" s="179">
        <f>IF(nr_SelOK,0,1)</f>
        <v>0</v>
      </c>
      <c r="F48" s="67">
        <v>0</v>
      </c>
      <c r="G48" s="180" t="str">
        <f t="shared" si="3"/>
        <v>PASS</v>
      </c>
    </row>
    <row r="50" spans="1:1" ht="409.5" x14ac:dyDescent="0.25">
      <c r="A50" s="17" t="s">
        <v>560</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561</v>
      </c>
    </row>
    <row r="3" spans="2:2" x14ac:dyDescent="0.25">
      <c r="B3" s="2" t="s">
        <v>562</v>
      </c>
    </row>
    <row r="4" spans="2:2" ht="15.75" x14ac:dyDescent="0.25">
      <c r="B4" s="3" t="s">
        <v>563</v>
      </c>
    </row>
    <row r="5" spans="2:2" ht="78" customHeight="1" x14ac:dyDescent="0.25">
      <c r="B5" s="4" t="s">
        <v>564</v>
      </c>
    </row>
    <row r="6" spans="2:2" ht="39" customHeight="1" x14ac:dyDescent="0.25">
      <c r="B6" s="4" t="s">
        <v>565</v>
      </c>
    </row>
    <row r="8" spans="2:2" ht="15.75" x14ac:dyDescent="0.25">
      <c r="B8" s="3" t="s">
        <v>566</v>
      </c>
    </row>
    <row r="9" spans="2:2" ht="51.95" customHeight="1" x14ac:dyDescent="0.25">
      <c r="B9" s="4" t="s">
        <v>567</v>
      </c>
    </row>
    <row r="11" spans="2:2" ht="15.75" x14ac:dyDescent="0.25">
      <c r="B11" s="3" t="s">
        <v>568</v>
      </c>
    </row>
    <row r="12" spans="2:2" ht="39" customHeight="1" x14ac:dyDescent="0.25">
      <c r="B12" s="4" t="s">
        <v>569</v>
      </c>
    </row>
    <row r="13" spans="2:2" ht="39" customHeight="1" x14ac:dyDescent="0.25">
      <c r="B13" s="4" t="s">
        <v>570</v>
      </c>
    </row>
    <row r="14" spans="2:2" ht="39" customHeight="1" x14ac:dyDescent="0.25">
      <c r="B14" s="4" t="s">
        <v>571</v>
      </c>
    </row>
    <row r="15" spans="2:2" ht="39" customHeight="1" x14ac:dyDescent="0.25">
      <c r="B15" s="4" t="s">
        <v>572</v>
      </c>
    </row>
    <row r="16" spans="2:2" ht="39" customHeight="1" x14ac:dyDescent="0.25">
      <c r="B16" s="4" t="s">
        <v>573</v>
      </c>
    </row>
    <row r="18" spans="2:2" ht="15.75" x14ac:dyDescent="0.25">
      <c r="B18" s="3" t="s">
        <v>574</v>
      </c>
    </row>
    <row r="19" spans="2:2" ht="39" customHeight="1" x14ac:dyDescent="0.25">
      <c r="B19" s="4" t="s">
        <v>575</v>
      </c>
    </row>
    <row r="20" spans="2:2" ht="39" customHeight="1" x14ac:dyDescent="0.25">
      <c r="B20" s="4" t="s">
        <v>576</v>
      </c>
    </row>
    <row r="21" spans="2:2" ht="39" customHeight="1" x14ac:dyDescent="0.25">
      <c r="B21" s="4" t="s">
        <v>577</v>
      </c>
    </row>
    <row r="23" spans="2:2" ht="15.75" x14ac:dyDescent="0.25">
      <c r="B23" s="3" t="s">
        <v>578</v>
      </c>
    </row>
    <row r="24" spans="2:2" ht="51.95" customHeight="1" x14ac:dyDescent="0.25">
      <c r="B24" s="4" t="s">
        <v>579</v>
      </c>
    </row>
    <row r="25" spans="2:2" ht="51.95" customHeight="1" x14ac:dyDescent="0.25">
      <c r="B25" s="4" t="s">
        <v>580</v>
      </c>
    </row>
    <row r="26" spans="2:2" ht="39" customHeight="1" x14ac:dyDescent="0.25">
      <c r="B26" s="4" t="s">
        <v>581</v>
      </c>
    </row>
    <row r="28" spans="2:2" ht="15.75" x14ac:dyDescent="0.25">
      <c r="B28" s="3" t="s">
        <v>582</v>
      </c>
    </row>
    <row r="29" spans="2:2" ht="39" customHeight="1" x14ac:dyDescent="0.25">
      <c r="B29" s="4" t="s">
        <v>583</v>
      </c>
    </row>
    <row r="30" spans="2:2" ht="39" customHeight="1" x14ac:dyDescent="0.25">
      <c r="B30" s="4" t="s">
        <v>584</v>
      </c>
    </row>
    <row r="32" spans="2:2" ht="15.75" x14ac:dyDescent="0.25">
      <c r="B32" s="3" t="s">
        <v>585</v>
      </c>
    </row>
    <row r="33" spans="2:2" ht="78" customHeight="1" x14ac:dyDescent="0.25">
      <c r="B33" s="4" t="s">
        <v>586</v>
      </c>
    </row>
    <row r="34" spans="2:2" ht="78" customHeight="1" x14ac:dyDescent="0.25">
      <c r="B34" s="4" t="s">
        <v>587</v>
      </c>
    </row>
    <row r="36" spans="2:2" ht="15.75" x14ac:dyDescent="0.25">
      <c r="B36" s="3" t="s">
        <v>588</v>
      </c>
    </row>
    <row r="37" spans="2:2" ht="65.099999999999994" customHeight="1" x14ac:dyDescent="0.25">
      <c r="B37" s="4" t="s">
        <v>589</v>
      </c>
    </row>
    <row r="39" spans="2:2" ht="15.75" x14ac:dyDescent="0.25">
      <c r="B39" s="3" t="s">
        <v>590</v>
      </c>
    </row>
    <row r="40" spans="2:2" ht="51.95" customHeight="1" x14ac:dyDescent="0.25">
      <c r="B40" s="4" t="s">
        <v>591</v>
      </c>
    </row>
    <row r="42" spans="2:2" ht="15.75" x14ac:dyDescent="0.25">
      <c r="B42" s="3" t="s">
        <v>592</v>
      </c>
    </row>
    <row r="43" spans="2:2" ht="26.1" customHeight="1" x14ac:dyDescent="0.25">
      <c r="B43" s="4" t="s">
        <v>593</v>
      </c>
    </row>
    <row r="44" spans="2:2" ht="26.1" customHeight="1" x14ac:dyDescent="0.25">
      <c r="B44" s="4" t="s">
        <v>594</v>
      </c>
    </row>
    <row r="45" spans="2:2" ht="26.1" customHeight="1" x14ac:dyDescent="0.25">
      <c r="B45" s="4" t="s">
        <v>595</v>
      </c>
    </row>
    <row r="46" spans="2:2" ht="26.1" customHeight="1" x14ac:dyDescent="0.25">
      <c r="B46" s="4" t="s">
        <v>596</v>
      </c>
    </row>
    <row r="47" spans="2:2" ht="26.1" customHeight="1" x14ac:dyDescent="0.25">
      <c r="B47" s="4" t="s">
        <v>597</v>
      </c>
    </row>
    <row r="48" spans="2:2" ht="26.1" customHeight="1" x14ac:dyDescent="0.25">
      <c r="B48" s="4" t="s">
        <v>598</v>
      </c>
    </row>
    <row r="49" spans="2:4" ht="26.1" customHeight="1" x14ac:dyDescent="0.25">
      <c r="B49" s="4" t="s">
        <v>599</v>
      </c>
    </row>
    <row r="50" spans="2:4" ht="26.1" customHeight="1" x14ac:dyDescent="0.25">
      <c r="B50" s="4" t="s">
        <v>600</v>
      </c>
    </row>
    <row r="52" spans="2:4" ht="15.75" x14ac:dyDescent="0.25">
      <c r="B52" s="3" t="s">
        <v>601</v>
      </c>
    </row>
    <row r="53" spans="2:4" x14ac:dyDescent="0.25">
      <c r="B53" s="28" t="s">
        <v>602</v>
      </c>
      <c r="C53" s="28" t="s">
        <v>603</v>
      </c>
      <c r="D53" s="28" t="s">
        <v>604</v>
      </c>
    </row>
    <row r="54" spans="2:4" x14ac:dyDescent="0.25">
      <c r="B54" s="183" t="s">
        <v>605</v>
      </c>
      <c r="C54" s="77" t="s">
        <v>606</v>
      </c>
      <c r="D54" s="77" t="s">
        <v>607</v>
      </c>
    </row>
    <row r="55" spans="2:4" x14ac:dyDescent="0.25">
      <c r="B55" s="183" t="s">
        <v>608</v>
      </c>
      <c r="C55" s="77" t="s">
        <v>609</v>
      </c>
      <c r="D55" s="77" t="s">
        <v>610</v>
      </c>
    </row>
    <row r="56" spans="2:4" x14ac:dyDescent="0.25">
      <c r="B56" s="183" t="s">
        <v>611</v>
      </c>
      <c r="C56" s="77" t="s">
        <v>612</v>
      </c>
      <c r="D56" s="77" t="s">
        <v>613</v>
      </c>
    </row>
    <row r="57" spans="2:4" x14ac:dyDescent="0.25">
      <c r="B57" s="183" t="s">
        <v>614</v>
      </c>
      <c r="C57" s="77" t="s">
        <v>615</v>
      </c>
      <c r="D57" s="77" t="s">
        <v>616</v>
      </c>
    </row>
    <row r="58" spans="2:4" x14ac:dyDescent="0.25">
      <c r="B58" s="183" t="s">
        <v>617</v>
      </c>
      <c r="C58" s="77" t="s">
        <v>618</v>
      </c>
      <c r="D58" s="77" t="s">
        <v>619</v>
      </c>
    </row>
    <row r="59" spans="2:4" x14ac:dyDescent="0.25">
      <c r="B59" s="183" t="s">
        <v>620</v>
      </c>
      <c r="C59" s="77" t="s">
        <v>621</v>
      </c>
      <c r="D59" s="77" t="s">
        <v>622</v>
      </c>
    </row>
    <row r="60" spans="2:4" x14ac:dyDescent="0.25">
      <c r="B60" s="183" t="s">
        <v>623</v>
      </c>
      <c r="C60" s="77" t="s">
        <v>624</v>
      </c>
      <c r="D60" s="77" t="s">
        <v>625</v>
      </c>
    </row>
    <row r="61" spans="2:4" x14ac:dyDescent="0.25">
      <c r="B61" s="183" t="s">
        <v>626</v>
      </c>
      <c r="C61" s="77" t="s">
        <v>627</v>
      </c>
      <c r="D61" s="77" t="s">
        <v>628</v>
      </c>
    </row>
    <row r="62" spans="2:4" x14ac:dyDescent="0.25">
      <c r="B62" s="183" t="s">
        <v>629</v>
      </c>
      <c r="C62" s="77" t="s">
        <v>630</v>
      </c>
      <c r="D62" s="77" t="s">
        <v>631</v>
      </c>
    </row>
    <row r="63" spans="2:4" x14ac:dyDescent="0.25">
      <c r="B63" s="183" t="s">
        <v>632</v>
      </c>
      <c r="C63" s="77" t="s">
        <v>633</v>
      </c>
      <c r="D63" s="77" t="s">
        <v>634</v>
      </c>
    </row>
    <row r="64" spans="2:4" x14ac:dyDescent="0.25">
      <c r="B64" s="183" t="s">
        <v>635</v>
      </c>
      <c r="C64" s="77" t="s">
        <v>636</v>
      </c>
      <c r="D64" s="77" t="s">
        <v>637</v>
      </c>
    </row>
    <row r="65" spans="2:4" x14ac:dyDescent="0.25">
      <c r="B65" s="183" t="s">
        <v>638</v>
      </c>
      <c r="C65" s="77" t="s">
        <v>639</v>
      </c>
      <c r="D65" s="77" t="s">
        <v>640</v>
      </c>
    </row>
    <row r="66" spans="2:4" x14ac:dyDescent="0.25">
      <c r="B66" s="183" t="s">
        <v>641</v>
      </c>
      <c r="C66" s="77" t="s">
        <v>642</v>
      </c>
      <c r="D66" s="77" t="s">
        <v>643</v>
      </c>
    </row>
    <row r="67" spans="2:4" x14ac:dyDescent="0.25">
      <c r="B67" s="183" t="s">
        <v>644</v>
      </c>
      <c r="C67" s="77" t="s">
        <v>645</v>
      </c>
      <c r="D67" s="77" t="s">
        <v>646</v>
      </c>
    </row>
    <row r="68" spans="2:4" x14ac:dyDescent="0.25">
      <c r="B68" s="183" t="s">
        <v>647</v>
      </c>
      <c r="C68" s="77" t="s">
        <v>648</v>
      </c>
      <c r="D68" s="77" t="s">
        <v>649</v>
      </c>
    </row>
    <row r="69" spans="2:4" x14ac:dyDescent="0.25">
      <c r="B69" s="183" t="s">
        <v>650</v>
      </c>
      <c r="C69" s="77" t="s">
        <v>651</v>
      </c>
      <c r="D69" s="77" t="s">
        <v>652</v>
      </c>
    </row>
    <row r="70" spans="2:4" x14ac:dyDescent="0.25">
      <c r="B70" s="183" t="s">
        <v>653</v>
      </c>
      <c r="C70" s="77" t="s">
        <v>654</v>
      </c>
      <c r="D70" s="77" t="s">
        <v>655</v>
      </c>
    </row>
    <row r="71" spans="2:4" x14ac:dyDescent="0.25">
      <c r="B71" s="183" t="s">
        <v>656</v>
      </c>
      <c r="C71" s="77" t="s">
        <v>657</v>
      </c>
      <c r="D71" s="77" t="s">
        <v>658</v>
      </c>
    </row>
    <row r="72" spans="2:4" x14ac:dyDescent="0.25">
      <c r="B72" s="183" t="s">
        <v>659</v>
      </c>
      <c r="C72" s="77" t="s">
        <v>660</v>
      </c>
      <c r="D72" s="77" t="s">
        <v>661</v>
      </c>
    </row>
    <row r="73" spans="2:4" x14ac:dyDescent="0.25">
      <c r="B73" s="183" t="s">
        <v>662</v>
      </c>
      <c r="C73" s="77" t="s">
        <v>663</v>
      </c>
      <c r="D73" s="77" t="s">
        <v>664</v>
      </c>
    </row>
    <row r="74" spans="2:4" x14ac:dyDescent="0.25">
      <c r="B74" s="183" t="s">
        <v>665</v>
      </c>
      <c r="C74" s="77" t="s">
        <v>666</v>
      </c>
      <c r="D74" s="77" t="s">
        <v>667</v>
      </c>
    </row>
    <row r="75" spans="2:4" x14ac:dyDescent="0.25">
      <c r="B75" s="183" t="s">
        <v>668</v>
      </c>
      <c r="C75" s="77" t="s">
        <v>669</v>
      </c>
      <c r="D75" s="77" t="s">
        <v>670</v>
      </c>
    </row>
    <row r="76" spans="2:4" x14ac:dyDescent="0.25">
      <c r="B76" s="183" t="s">
        <v>671</v>
      </c>
      <c r="C76" s="77" t="s">
        <v>672</v>
      </c>
      <c r="D76" s="77" t="s">
        <v>673</v>
      </c>
    </row>
    <row r="77" spans="2:4" x14ac:dyDescent="0.25">
      <c r="B77" s="183" t="s">
        <v>674</v>
      </c>
      <c r="C77" s="77" t="s">
        <v>675</v>
      </c>
      <c r="D77" s="77" t="s">
        <v>676</v>
      </c>
    </row>
    <row r="78" spans="2:4" x14ac:dyDescent="0.25">
      <c r="B78" s="183" t="s">
        <v>677</v>
      </c>
      <c r="C78" s="77" t="s">
        <v>678</v>
      </c>
      <c r="D78" s="77" t="s">
        <v>679</v>
      </c>
    </row>
    <row r="79" spans="2:4" x14ac:dyDescent="0.25">
      <c r="B79" s="183" t="s">
        <v>680</v>
      </c>
      <c r="C79" s="77" t="s">
        <v>681</v>
      </c>
      <c r="D79" s="77" t="s">
        <v>682</v>
      </c>
    </row>
    <row r="80" spans="2:4" x14ac:dyDescent="0.25">
      <c r="B80" s="183" t="s">
        <v>683</v>
      </c>
      <c r="C80" s="77" t="s">
        <v>684</v>
      </c>
      <c r="D80" s="77" t="s">
        <v>685</v>
      </c>
    </row>
    <row r="81" spans="2:4" x14ac:dyDescent="0.25">
      <c r="B81" s="183" t="s">
        <v>686</v>
      </c>
      <c r="C81" s="77" t="s">
        <v>687</v>
      </c>
      <c r="D81" s="77" t="s">
        <v>688</v>
      </c>
    </row>
    <row r="82" spans="2:4" x14ac:dyDescent="0.25">
      <c r="B82" s="183" t="s">
        <v>689</v>
      </c>
      <c r="C82" s="77" t="s">
        <v>690</v>
      </c>
      <c r="D82" s="77" t="s">
        <v>691</v>
      </c>
    </row>
    <row r="83" spans="2:4" x14ac:dyDescent="0.25">
      <c r="B83" s="183" t="s">
        <v>692</v>
      </c>
      <c r="C83" s="77" t="s">
        <v>693</v>
      </c>
      <c r="D83" s="77" t="s">
        <v>694</v>
      </c>
    </row>
    <row r="84" spans="2:4" x14ac:dyDescent="0.25">
      <c r="B84" s="183" t="s">
        <v>695</v>
      </c>
      <c r="C84" s="77" t="s">
        <v>696</v>
      </c>
      <c r="D84" s="77" t="s">
        <v>697</v>
      </c>
    </row>
    <row r="85" spans="2:4" x14ac:dyDescent="0.25">
      <c r="B85" s="183" t="s">
        <v>698</v>
      </c>
      <c r="C85" s="77" t="s">
        <v>699</v>
      </c>
      <c r="D85" s="77" t="s">
        <v>700</v>
      </c>
    </row>
    <row r="86" spans="2:4" x14ac:dyDescent="0.25">
      <c r="B86" s="183" t="s">
        <v>701</v>
      </c>
      <c r="C86" s="77" t="s">
        <v>702</v>
      </c>
      <c r="D86" s="77" t="s">
        <v>703</v>
      </c>
    </row>
    <row r="87" spans="2:4" x14ac:dyDescent="0.25">
      <c r="B87" s="183" t="s">
        <v>704</v>
      </c>
      <c r="C87" s="77" t="s">
        <v>705</v>
      </c>
      <c r="D87" s="77" t="s">
        <v>706</v>
      </c>
    </row>
    <row r="88" spans="2:4" x14ac:dyDescent="0.25">
      <c r="B88" s="183" t="s">
        <v>707</v>
      </c>
      <c r="C88" s="77" t="s">
        <v>708</v>
      </c>
      <c r="D88" s="77" t="s">
        <v>709</v>
      </c>
    </row>
    <row r="89" spans="2:4" x14ac:dyDescent="0.25">
      <c r="B89" s="183" t="s">
        <v>710</v>
      </c>
      <c r="C89" s="77" t="s">
        <v>711</v>
      </c>
      <c r="D89" s="77" t="s">
        <v>712</v>
      </c>
    </row>
    <row r="90" spans="2:4" x14ac:dyDescent="0.25">
      <c r="B90" s="183" t="s">
        <v>713</v>
      </c>
      <c r="C90" s="77" t="s">
        <v>714</v>
      </c>
      <c r="D90" s="77" t="s">
        <v>715</v>
      </c>
    </row>
    <row r="91" spans="2:4" x14ac:dyDescent="0.25">
      <c r="B91" s="183" t="s">
        <v>716</v>
      </c>
      <c r="C91" s="77" t="s">
        <v>717</v>
      </c>
      <c r="D91" s="77" t="s">
        <v>718</v>
      </c>
    </row>
    <row r="92" spans="2:4" x14ac:dyDescent="0.25">
      <c r="B92" s="183" t="s">
        <v>719</v>
      </c>
      <c r="C92" s="77" t="s">
        <v>720</v>
      </c>
      <c r="D92" s="77" t="s">
        <v>721</v>
      </c>
    </row>
    <row r="93" spans="2:4" x14ac:dyDescent="0.25">
      <c r="B93" s="183" t="s">
        <v>722</v>
      </c>
      <c r="C93" s="77" t="s">
        <v>723</v>
      </c>
      <c r="D93" s="77" t="s">
        <v>724</v>
      </c>
    </row>
    <row r="94" spans="2:4" x14ac:dyDescent="0.25">
      <c r="B94" s="183" t="s">
        <v>725</v>
      </c>
      <c r="C94" s="77" t="s">
        <v>726</v>
      </c>
      <c r="D94" s="77" t="s">
        <v>727</v>
      </c>
    </row>
    <row r="95" spans="2:4" x14ac:dyDescent="0.25">
      <c r="B95" s="183" t="s">
        <v>728</v>
      </c>
      <c r="C95" s="77" t="s">
        <v>729</v>
      </c>
      <c r="D95" s="77" t="s">
        <v>730</v>
      </c>
    </row>
    <row r="96" spans="2:4" x14ac:dyDescent="0.25">
      <c r="B96" s="183" t="s">
        <v>731</v>
      </c>
      <c r="C96" s="77" t="s">
        <v>732</v>
      </c>
      <c r="D96" s="77" t="s">
        <v>733</v>
      </c>
    </row>
    <row r="97" spans="2:4" x14ac:dyDescent="0.25">
      <c r="B97" s="183" t="s">
        <v>734</v>
      </c>
      <c r="C97" s="77" t="s">
        <v>735</v>
      </c>
      <c r="D97" s="77" t="s">
        <v>736</v>
      </c>
    </row>
    <row r="98" spans="2:4" x14ac:dyDescent="0.25">
      <c r="B98" s="183" t="s">
        <v>737</v>
      </c>
      <c r="C98" s="77" t="s">
        <v>738</v>
      </c>
      <c r="D98" s="77" t="s">
        <v>739</v>
      </c>
    </row>
    <row r="99" spans="2:4" x14ac:dyDescent="0.25">
      <c r="B99" s="183" t="s">
        <v>740</v>
      </c>
      <c r="C99" s="77" t="s">
        <v>741</v>
      </c>
      <c r="D99" s="77" t="s">
        <v>742</v>
      </c>
    </row>
    <row r="100" spans="2:4" x14ac:dyDescent="0.25">
      <c r="B100" s="183" t="s">
        <v>743</v>
      </c>
      <c r="C100" s="77" t="s">
        <v>744</v>
      </c>
      <c r="D100" s="77" t="s">
        <v>745</v>
      </c>
    </row>
    <row r="101" spans="2:4" x14ac:dyDescent="0.25">
      <c r="B101" s="183" t="s">
        <v>746</v>
      </c>
      <c r="C101" s="77" t="s">
        <v>747</v>
      </c>
      <c r="D101" s="77" t="s">
        <v>748</v>
      </c>
    </row>
    <row r="102" spans="2:4" x14ac:dyDescent="0.25">
      <c r="B102" s="183" t="s">
        <v>749</v>
      </c>
      <c r="C102" s="77" t="s">
        <v>750</v>
      </c>
      <c r="D102" s="77" t="s">
        <v>751</v>
      </c>
    </row>
    <row r="103" spans="2:4" x14ac:dyDescent="0.25">
      <c r="B103" s="183" t="s">
        <v>752</v>
      </c>
      <c r="C103" s="77" t="s">
        <v>753</v>
      </c>
      <c r="D103" s="77" t="s">
        <v>754</v>
      </c>
    </row>
    <row r="104" spans="2:4" x14ac:dyDescent="0.25">
      <c r="B104" s="183" t="s">
        <v>755</v>
      </c>
      <c r="C104" s="77" t="s">
        <v>756</v>
      </c>
      <c r="D104" s="77" t="s">
        <v>757</v>
      </c>
    </row>
    <row r="105" spans="2:4" x14ac:dyDescent="0.25">
      <c r="B105" s="183" t="s">
        <v>758</v>
      </c>
      <c r="C105" s="77" t="s">
        <v>759</v>
      </c>
      <c r="D105" s="77" t="s">
        <v>760</v>
      </c>
    </row>
    <row r="106" spans="2:4" x14ac:dyDescent="0.25">
      <c r="B106" s="183" t="s">
        <v>761</v>
      </c>
      <c r="C106" s="77" t="s">
        <v>762</v>
      </c>
      <c r="D106" s="77" t="s">
        <v>763</v>
      </c>
    </row>
    <row r="107" spans="2:4" x14ac:dyDescent="0.25">
      <c r="B107" s="183" t="s">
        <v>764</v>
      </c>
      <c r="C107" s="77" t="s">
        <v>765</v>
      </c>
      <c r="D107" s="77" t="s">
        <v>766</v>
      </c>
    </row>
    <row r="108" spans="2:4" x14ac:dyDescent="0.25">
      <c r="B108" s="183" t="s">
        <v>767</v>
      </c>
      <c r="C108" s="77" t="s">
        <v>768</v>
      </c>
      <c r="D108" s="77" t="s">
        <v>769</v>
      </c>
    </row>
    <row r="109" spans="2:4" x14ac:dyDescent="0.25">
      <c r="B109" s="183" t="s">
        <v>770</v>
      </c>
      <c r="C109" s="77" t="s">
        <v>771</v>
      </c>
      <c r="D109" s="77" t="s">
        <v>772</v>
      </c>
    </row>
    <row r="110" spans="2:4" x14ac:dyDescent="0.25">
      <c r="B110" s="183" t="s">
        <v>773</v>
      </c>
      <c r="C110" s="77" t="s">
        <v>774</v>
      </c>
      <c r="D110" s="77" t="s">
        <v>775</v>
      </c>
    </row>
    <row r="111" spans="2:4" x14ac:dyDescent="0.25">
      <c r="B111" s="183" t="s">
        <v>776</v>
      </c>
      <c r="C111" s="77" t="s">
        <v>777</v>
      </c>
      <c r="D111" s="77" t="s">
        <v>778</v>
      </c>
    </row>
    <row r="112" spans="2:4" x14ac:dyDescent="0.25">
      <c r="B112" s="183" t="s">
        <v>779</v>
      </c>
      <c r="C112" s="77" t="s">
        <v>780</v>
      </c>
      <c r="D112" s="77" t="s">
        <v>781</v>
      </c>
    </row>
    <row r="113" spans="2:4" x14ac:dyDescent="0.25">
      <c r="B113" s="183" t="s">
        <v>782</v>
      </c>
      <c r="C113" s="77" t="s">
        <v>783</v>
      </c>
      <c r="D113" s="77" t="s">
        <v>784</v>
      </c>
    </row>
    <row r="114" spans="2:4" x14ac:dyDescent="0.25">
      <c r="B114" s="183" t="s">
        <v>785</v>
      </c>
      <c r="C114" s="77" t="s">
        <v>786</v>
      </c>
      <c r="D114" s="77" t="s">
        <v>787</v>
      </c>
    </row>
    <row r="115" spans="2:4" x14ac:dyDescent="0.25">
      <c r="B115" s="183" t="s">
        <v>788</v>
      </c>
      <c r="C115" s="77" t="s">
        <v>789</v>
      </c>
      <c r="D115" s="77" t="s">
        <v>790</v>
      </c>
    </row>
    <row r="116" spans="2:4" x14ac:dyDescent="0.25">
      <c r="B116" s="183" t="s">
        <v>791</v>
      </c>
      <c r="C116" s="77" t="s">
        <v>792</v>
      </c>
      <c r="D116" s="77" t="s">
        <v>793</v>
      </c>
    </row>
    <row r="117" spans="2:4" x14ac:dyDescent="0.25">
      <c r="B117" s="183" t="s">
        <v>794</v>
      </c>
      <c r="C117" s="77" t="s">
        <v>795</v>
      </c>
      <c r="D117" s="77" t="s">
        <v>796</v>
      </c>
    </row>
    <row r="118" spans="2:4" x14ac:dyDescent="0.25">
      <c r="B118" s="183" t="s">
        <v>797</v>
      </c>
      <c r="C118" s="77" t="s">
        <v>798</v>
      </c>
      <c r="D118" s="77" t="s">
        <v>799</v>
      </c>
    </row>
    <row r="119" spans="2:4" x14ac:dyDescent="0.25">
      <c r="B119" s="183" t="s">
        <v>800</v>
      </c>
      <c r="C119" s="77" t="s">
        <v>801</v>
      </c>
      <c r="D119" s="77" t="s">
        <v>802</v>
      </c>
    </row>
    <row r="120" spans="2:4" x14ac:dyDescent="0.25">
      <c r="B120" s="183" t="s">
        <v>803</v>
      </c>
      <c r="C120" s="77" t="s">
        <v>804</v>
      </c>
      <c r="D120" s="77" t="s">
        <v>110</v>
      </c>
    </row>
    <row r="121" spans="2:4" x14ac:dyDescent="0.25">
      <c r="B121" s="183" t="s">
        <v>805</v>
      </c>
      <c r="C121" s="77" t="s">
        <v>806</v>
      </c>
      <c r="D121" s="77" t="s">
        <v>807</v>
      </c>
    </row>
    <row r="122" spans="2:4" x14ac:dyDescent="0.25">
      <c r="B122" s="183" t="s">
        <v>808</v>
      </c>
      <c r="C122" s="77" t="s">
        <v>809</v>
      </c>
      <c r="D122" s="77" t="s">
        <v>810</v>
      </c>
    </row>
    <row r="123" spans="2:4" x14ac:dyDescent="0.25">
      <c r="B123" s="183" t="s">
        <v>811</v>
      </c>
      <c r="C123" s="77" t="s">
        <v>812</v>
      </c>
      <c r="D123" s="77" t="s">
        <v>813</v>
      </c>
    </row>
    <row r="124" spans="2:4" x14ac:dyDescent="0.25">
      <c r="B124" s="183" t="s">
        <v>814</v>
      </c>
      <c r="C124" s="77" t="s">
        <v>815</v>
      </c>
      <c r="D124" s="77" t="s">
        <v>816</v>
      </c>
    </row>
    <row r="125" spans="2:4" x14ac:dyDescent="0.25">
      <c r="B125" s="183" t="s">
        <v>817</v>
      </c>
      <c r="C125" s="77" t="s">
        <v>818</v>
      </c>
      <c r="D125" s="77" t="s">
        <v>819</v>
      </c>
    </row>
    <row r="126" spans="2:4" x14ac:dyDescent="0.25">
      <c r="B126" s="183" t="s">
        <v>820</v>
      </c>
      <c r="C126" s="77" t="s">
        <v>821</v>
      </c>
      <c r="D126" s="77" t="s">
        <v>822</v>
      </c>
    </row>
    <row r="127" spans="2:4" x14ac:dyDescent="0.25">
      <c r="B127" s="183" t="s">
        <v>823</v>
      </c>
      <c r="C127" s="77" t="s">
        <v>824</v>
      </c>
      <c r="D127" s="77" t="s">
        <v>825</v>
      </c>
    </row>
    <row r="128" spans="2:4" x14ac:dyDescent="0.25">
      <c r="B128" s="183" t="s">
        <v>826</v>
      </c>
      <c r="C128" s="77" t="s">
        <v>827</v>
      </c>
      <c r="D128" s="77" t="s">
        <v>828</v>
      </c>
    </row>
    <row r="129" spans="2:4" x14ac:dyDescent="0.25">
      <c r="B129" s="183" t="s">
        <v>829</v>
      </c>
      <c r="C129" s="77" t="s">
        <v>830</v>
      </c>
      <c r="D129" s="77" t="s">
        <v>831</v>
      </c>
    </row>
    <row r="130" spans="2:4" x14ac:dyDescent="0.25">
      <c r="B130" s="183" t="s">
        <v>832</v>
      </c>
      <c r="C130" s="77" t="s">
        <v>833</v>
      </c>
      <c r="D130" s="77" t="s">
        <v>834</v>
      </c>
    </row>
    <row r="131" spans="2:4" x14ac:dyDescent="0.25">
      <c r="B131" s="183" t="s">
        <v>835</v>
      </c>
      <c r="C131" s="77" t="s">
        <v>836</v>
      </c>
      <c r="D131" s="77" t="s">
        <v>837</v>
      </c>
    </row>
    <row r="132" spans="2:4" x14ac:dyDescent="0.25">
      <c r="B132" s="183" t="s">
        <v>838</v>
      </c>
      <c r="C132" s="77" t="s">
        <v>839</v>
      </c>
      <c r="D132" s="77" t="s">
        <v>840</v>
      </c>
    </row>
    <row r="133" spans="2:4" x14ac:dyDescent="0.25">
      <c r="B133" s="183" t="s">
        <v>841</v>
      </c>
      <c r="C133" s="77" t="s">
        <v>842</v>
      </c>
      <c r="D133" s="77" t="s">
        <v>843</v>
      </c>
    </row>
    <row r="134" spans="2:4" x14ac:dyDescent="0.25">
      <c r="B134" s="183" t="s">
        <v>844</v>
      </c>
      <c r="C134" s="77" t="s">
        <v>845</v>
      </c>
      <c r="D134" s="77" t="s">
        <v>846</v>
      </c>
    </row>
    <row r="135" spans="2:4" x14ac:dyDescent="0.25">
      <c r="B135" s="183" t="s">
        <v>847</v>
      </c>
      <c r="C135" s="77" t="s">
        <v>848</v>
      </c>
      <c r="D135" s="77" t="s">
        <v>849</v>
      </c>
    </row>
    <row r="136" spans="2:4" x14ac:dyDescent="0.25">
      <c r="B136" s="183" t="s">
        <v>850</v>
      </c>
      <c r="C136" s="77" t="s">
        <v>851</v>
      </c>
      <c r="D136" s="77" t="s">
        <v>852</v>
      </c>
    </row>
    <row r="137" spans="2:4" x14ac:dyDescent="0.25">
      <c r="B137" s="183" t="s">
        <v>853</v>
      </c>
      <c r="C137" s="77" t="s">
        <v>854</v>
      </c>
      <c r="D137" s="77" t="s">
        <v>855</v>
      </c>
    </row>
    <row r="138" spans="2:4" x14ac:dyDescent="0.25">
      <c r="B138" s="183" t="s">
        <v>856</v>
      </c>
      <c r="C138" s="77" t="s">
        <v>857</v>
      </c>
      <c r="D138" s="77" t="s">
        <v>858</v>
      </c>
    </row>
    <row r="139" spans="2:4" x14ac:dyDescent="0.25">
      <c r="B139" s="183" t="s">
        <v>859</v>
      </c>
      <c r="C139" s="77" t="s">
        <v>860</v>
      </c>
      <c r="D139" s="77" t="s">
        <v>861</v>
      </c>
    </row>
    <row r="140" spans="2:4" x14ac:dyDescent="0.25">
      <c r="B140" s="183" t="s">
        <v>862</v>
      </c>
      <c r="C140" s="77" t="s">
        <v>863</v>
      </c>
      <c r="D140" s="77" t="s">
        <v>864</v>
      </c>
    </row>
    <row r="141" spans="2:4" x14ac:dyDescent="0.25">
      <c r="B141" s="183" t="s">
        <v>865</v>
      </c>
      <c r="C141" s="77" t="s">
        <v>866</v>
      </c>
      <c r="D141" s="77" t="s">
        <v>867</v>
      </c>
    </row>
    <row r="142" spans="2:4" x14ac:dyDescent="0.25">
      <c r="B142" s="183" t="s">
        <v>868</v>
      </c>
      <c r="C142" s="77" t="s">
        <v>869</v>
      </c>
      <c r="D142" s="77" t="s">
        <v>870</v>
      </c>
    </row>
    <row r="143" spans="2:4" x14ac:dyDescent="0.25">
      <c r="B143" s="183" t="s">
        <v>871</v>
      </c>
      <c r="C143" s="77" t="s">
        <v>872</v>
      </c>
      <c r="D143" s="77" t="s">
        <v>873</v>
      </c>
    </row>
    <row r="144" spans="2:4" x14ac:dyDescent="0.25">
      <c r="B144" s="183" t="s">
        <v>874</v>
      </c>
      <c r="C144" s="77" t="s">
        <v>875</v>
      </c>
      <c r="D144" s="77" t="s">
        <v>876</v>
      </c>
    </row>
    <row r="145" spans="2:4" x14ac:dyDescent="0.25">
      <c r="B145" s="183" t="s">
        <v>877</v>
      </c>
      <c r="C145" s="77" t="s">
        <v>878</v>
      </c>
      <c r="D145" s="77" t="s">
        <v>879</v>
      </c>
    </row>
    <row r="146" spans="2:4" x14ac:dyDescent="0.25">
      <c r="B146" s="183" t="s">
        <v>880</v>
      </c>
      <c r="C146" s="77" t="s">
        <v>881</v>
      </c>
      <c r="D146" s="77" t="s">
        <v>882</v>
      </c>
    </row>
    <row r="147" spans="2:4" x14ac:dyDescent="0.25">
      <c r="B147" s="183" t="s">
        <v>883</v>
      </c>
      <c r="C147" s="77" t="s">
        <v>884</v>
      </c>
      <c r="D147" s="77" t="s">
        <v>885</v>
      </c>
    </row>
    <row r="148" spans="2:4" x14ac:dyDescent="0.25">
      <c r="B148" s="183" t="s">
        <v>886</v>
      </c>
      <c r="C148" s="77" t="s">
        <v>887</v>
      </c>
      <c r="D148" s="77" t="s">
        <v>888</v>
      </c>
    </row>
    <row r="149" spans="2:4" x14ac:dyDescent="0.25">
      <c r="B149" s="183" t="s">
        <v>889</v>
      </c>
      <c r="C149" s="77" t="s">
        <v>890</v>
      </c>
      <c r="D149" s="77" t="s">
        <v>891</v>
      </c>
    </row>
    <row r="150" spans="2:4" x14ac:dyDescent="0.25">
      <c r="B150" s="183" t="s">
        <v>892</v>
      </c>
      <c r="C150" s="77" t="s">
        <v>893</v>
      </c>
      <c r="D150" s="77" t="s">
        <v>894</v>
      </c>
    </row>
    <row r="151" spans="2:4" x14ac:dyDescent="0.25">
      <c r="B151" s="183" t="s">
        <v>895</v>
      </c>
      <c r="C151" s="77" t="s">
        <v>896</v>
      </c>
      <c r="D151" s="77" t="s">
        <v>897</v>
      </c>
    </row>
    <row r="152" spans="2:4" x14ac:dyDescent="0.25">
      <c r="B152" s="183" t="s">
        <v>898</v>
      </c>
      <c r="C152" s="77" t="s">
        <v>899</v>
      </c>
      <c r="D152" s="77" t="s">
        <v>900</v>
      </c>
    </row>
    <row r="153" spans="2:4" x14ac:dyDescent="0.25">
      <c r="B153" s="183" t="s">
        <v>901</v>
      </c>
      <c r="C153" s="77" t="s">
        <v>902</v>
      </c>
      <c r="D153" s="77" t="s">
        <v>903</v>
      </c>
    </row>
    <row r="154" spans="2:4" x14ac:dyDescent="0.25">
      <c r="B154" s="183" t="s">
        <v>904</v>
      </c>
      <c r="C154" s="77" t="s">
        <v>905</v>
      </c>
      <c r="D154" s="77" t="s">
        <v>906</v>
      </c>
    </row>
    <row r="155" spans="2:4" x14ac:dyDescent="0.25">
      <c r="B155" s="183" t="s">
        <v>907</v>
      </c>
      <c r="C155" s="77" t="s">
        <v>908</v>
      </c>
      <c r="D155" s="77" t="s">
        <v>909</v>
      </c>
    </row>
    <row r="156" spans="2:4" x14ac:dyDescent="0.25">
      <c r="B156" s="183" t="s">
        <v>910</v>
      </c>
      <c r="C156" s="77" t="s">
        <v>911</v>
      </c>
      <c r="D156" s="77" t="s">
        <v>912</v>
      </c>
    </row>
    <row r="157" spans="2:4" x14ac:dyDescent="0.25">
      <c r="B157" s="183" t="s">
        <v>913</v>
      </c>
      <c r="C157" s="77" t="s">
        <v>914</v>
      </c>
      <c r="D157" s="77" t="s">
        <v>915</v>
      </c>
    </row>
    <row r="158" spans="2:4" x14ac:dyDescent="0.25">
      <c r="B158" s="183" t="s">
        <v>916</v>
      </c>
      <c r="C158" s="77" t="s">
        <v>917</v>
      </c>
      <c r="D158" s="77" t="s">
        <v>918</v>
      </c>
    </row>
    <row r="159" spans="2:4" x14ac:dyDescent="0.25">
      <c r="B159" s="183" t="s">
        <v>919</v>
      </c>
      <c r="C159" s="77" t="s">
        <v>920</v>
      </c>
      <c r="D159" s="77" t="s">
        <v>921</v>
      </c>
    </row>
    <row r="160" spans="2:4" x14ac:dyDescent="0.25">
      <c r="B160" s="183" t="s">
        <v>922</v>
      </c>
      <c r="C160" s="77" t="s">
        <v>923</v>
      </c>
      <c r="D160" s="77" t="s">
        <v>924</v>
      </c>
    </row>
    <row r="161" spans="2:4" x14ac:dyDescent="0.25">
      <c r="B161" s="183" t="s">
        <v>925</v>
      </c>
      <c r="C161" s="77" t="s">
        <v>926</v>
      </c>
      <c r="D161" s="77" t="s">
        <v>927</v>
      </c>
    </row>
    <row r="162" spans="2:4" x14ac:dyDescent="0.25">
      <c r="B162" s="183" t="s">
        <v>928</v>
      </c>
      <c r="C162" s="77" t="s">
        <v>929</v>
      </c>
      <c r="D162" s="77" t="s">
        <v>930</v>
      </c>
    </row>
    <row r="163" spans="2:4" x14ac:dyDescent="0.25">
      <c r="B163" s="183" t="s">
        <v>931</v>
      </c>
      <c r="C163" s="77" t="s">
        <v>932</v>
      </c>
      <c r="D163" s="77" t="s">
        <v>933</v>
      </c>
    </row>
    <row r="164" spans="2:4" x14ac:dyDescent="0.25">
      <c r="B164" s="183" t="s">
        <v>934</v>
      </c>
      <c r="C164" s="77" t="s">
        <v>935</v>
      </c>
      <c r="D164" s="77" t="s">
        <v>936</v>
      </c>
    </row>
    <row r="165" spans="2:4" x14ac:dyDescent="0.25">
      <c r="B165" s="183" t="s">
        <v>937</v>
      </c>
      <c r="C165" s="77" t="s">
        <v>938</v>
      </c>
      <c r="D165" s="77" t="s">
        <v>939</v>
      </c>
    </row>
    <row r="166" spans="2:4" x14ac:dyDescent="0.25">
      <c r="B166" s="183" t="s">
        <v>940</v>
      </c>
      <c r="C166" s="77" t="s">
        <v>941</v>
      </c>
      <c r="D166" s="77" t="s">
        <v>942</v>
      </c>
    </row>
    <row r="167" spans="2:4" x14ac:dyDescent="0.25">
      <c r="B167" s="183" t="s">
        <v>943</v>
      </c>
      <c r="C167" s="77" t="s">
        <v>944</v>
      </c>
      <c r="D167" s="77" t="s">
        <v>945</v>
      </c>
    </row>
    <row r="168" spans="2:4" x14ac:dyDescent="0.25">
      <c r="B168" s="183" t="s">
        <v>946</v>
      </c>
      <c r="C168" s="77" t="s">
        <v>947</v>
      </c>
      <c r="D168" s="77" t="s">
        <v>948</v>
      </c>
    </row>
    <row r="169" spans="2:4" x14ac:dyDescent="0.25">
      <c r="B169" s="183" t="s">
        <v>949</v>
      </c>
      <c r="C169" s="77" t="s">
        <v>950</v>
      </c>
      <c r="D169" s="77" t="s">
        <v>951</v>
      </c>
    </row>
    <row r="170" spans="2:4" x14ac:dyDescent="0.25">
      <c r="B170" s="183" t="s">
        <v>952</v>
      </c>
      <c r="C170" s="77" t="s">
        <v>953</v>
      </c>
      <c r="D170" s="77" t="s">
        <v>954</v>
      </c>
    </row>
    <row r="171" spans="2:4" x14ac:dyDescent="0.25">
      <c r="B171" s="183" t="s">
        <v>955</v>
      </c>
      <c r="C171" s="77" t="s">
        <v>956</v>
      </c>
      <c r="D171" s="77" t="s">
        <v>957</v>
      </c>
    </row>
    <row r="172" spans="2:4" x14ac:dyDescent="0.25">
      <c r="B172" s="183" t="s">
        <v>958</v>
      </c>
      <c r="C172" s="77" t="s">
        <v>959</v>
      </c>
      <c r="D172" s="77" t="s">
        <v>960</v>
      </c>
    </row>
    <row r="173" spans="2:4" x14ac:dyDescent="0.25">
      <c r="B173" s="183" t="s">
        <v>961</v>
      </c>
      <c r="C173" s="77" t="s">
        <v>962</v>
      </c>
      <c r="D173" s="77" t="s">
        <v>963</v>
      </c>
    </row>
    <row r="174" spans="2:4" x14ac:dyDescent="0.25">
      <c r="B174" s="183" t="s">
        <v>964</v>
      </c>
      <c r="C174" s="77" t="s">
        <v>965</v>
      </c>
      <c r="D174" s="77" t="s">
        <v>966</v>
      </c>
    </row>
    <row r="175" spans="2:4" x14ac:dyDescent="0.25">
      <c r="B175" s="183" t="s">
        <v>967</v>
      </c>
      <c r="C175" s="77" t="s">
        <v>968</v>
      </c>
      <c r="D175" s="77" t="s">
        <v>969</v>
      </c>
    </row>
    <row r="176" spans="2:4" x14ac:dyDescent="0.25">
      <c r="B176" s="183" t="s">
        <v>970</v>
      </c>
      <c r="C176" s="77" t="s">
        <v>971</v>
      </c>
      <c r="D176" s="77" t="s">
        <v>972</v>
      </c>
    </row>
    <row r="177" spans="2:4" x14ac:dyDescent="0.25">
      <c r="B177" s="183" t="s">
        <v>973</v>
      </c>
      <c r="C177" s="77" t="s">
        <v>974</v>
      </c>
      <c r="D177" s="77" t="s">
        <v>975</v>
      </c>
    </row>
    <row r="178" spans="2:4" x14ac:dyDescent="0.25">
      <c r="B178" s="183" t="s">
        <v>976</v>
      </c>
      <c r="C178" s="77" t="s">
        <v>977</v>
      </c>
      <c r="D178" s="77" t="s">
        <v>978</v>
      </c>
    </row>
    <row r="179" spans="2:4" x14ac:dyDescent="0.25">
      <c r="B179" s="183" t="s">
        <v>979</v>
      </c>
      <c r="C179" s="77" t="s">
        <v>980</v>
      </c>
      <c r="D179" s="77" t="s">
        <v>981</v>
      </c>
    </row>
    <row r="180" spans="2:4" x14ac:dyDescent="0.25">
      <c r="B180" s="183" t="s">
        <v>982</v>
      </c>
      <c r="C180" s="77" t="s">
        <v>983</v>
      </c>
      <c r="D180" s="77" t="s">
        <v>984</v>
      </c>
    </row>
    <row r="181" spans="2:4" x14ac:dyDescent="0.25">
      <c r="B181" s="183" t="s">
        <v>985</v>
      </c>
      <c r="C181" s="77" t="s">
        <v>986</v>
      </c>
      <c r="D181" s="77" t="s">
        <v>987</v>
      </c>
    </row>
    <row r="182" spans="2:4" x14ac:dyDescent="0.25">
      <c r="B182" s="183" t="s">
        <v>988</v>
      </c>
      <c r="C182" s="77" t="s">
        <v>989</v>
      </c>
      <c r="D182" s="77" t="s">
        <v>990</v>
      </c>
    </row>
    <row r="183" spans="2:4" x14ac:dyDescent="0.25">
      <c r="B183" s="183" t="s">
        <v>991</v>
      </c>
      <c r="C183" s="77" t="s">
        <v>992</v>
      </c>
      <c r="D183" s="77" t="s">
        <v>993</v>
      </c>
    </row>
    <row r="184" spans="2:4" x14ac:dyDescent="0.25">
      <c r="B184" s="183" t="s">
        <v>994</v>
      </c>
      <c r="C184" s="77" t="s">
        <v>995</v>
      </c>
      <c r="D184" s="77" t="s">
        <v>996</v>
      </c>
    </row>
    <row r="185" spans="2:4" x14ac:dyDescent="0.25">
      <c r="B185" s="183" t="s">
        <v>997</v>
      </c>
      <c r="C185" s="77" t="s">
        <v>998</v>
      </c>
      <c r="D185" s="77" t="s">
        <v>999</v>
      </c>
    </row>
    <row r="186" spans="2:4" x14ac:dyDescent="0.25">
      <c r="B186" s="183" t="s">
        <v>1000</v>
      </c>
      <c r="C186" s="77" t="s">
        <v>1001</v>
      </c>
      <c r="D186" s="77" t="s">
        <v>1002</v>
      </c>
    </row>
    <row r="187" spans="2:4" x14ac:dyDescent="0.25">
      <c r="B187" s="183" t="s">
        <v>1003</v>
      </c>
      <c r="C187" s="77" t="s">
        <v>1004</v>
      </c>
      <c r="D187" s="77" t="s">
        <v>1005</v>
      </c>
    </row>
    <row r="188" spans="2:4" x14ac:dyDescent="0.25">
      <c r="B188" s="183" t="s">
        <v>1006</v>
      </c>
      <c r="C188" s="77" t="s">
        <v>1007</v>
      </c>
      <c r="D188" s="77" t="s">
        <v>1008</v>
      </c>
    </row>
    <row r="189" spans="2:4" x14ac:dyDescent="0.25">
      <c r="B189" s="183" t="s">
        <v>1009</v>
      </c>
      <c r="C189" s="77" t="s">
        <v>1010</v>
      </c>
      <c r="D189" s="77" t="s">
        <v>1011</v>
      </c>
    </row>
    <row r="190" spans="2:4" x14ac:dyDescent="0.25">
      <c r="B190" s="183" t="s">
        <v>1012</v>
      </c>
      <c r="C190" s="77" t="s">
        <v>1013</v>
      </c>
      <c r="D190" s="77" t="s">
        <v>1014</v>
      </c>
    </row>
    <row r="191" spans="2:4" x14ac:dyDescent="0.25">
      <c r="B191" s="183" t="s">
        <v>1015</v>
      </c>
      <c r="C191" s="77" t="s">
        <v>1016</v>
      </c>
      <c r="D191" s="77" t="s">
        <v>1017</v>
      </c>
    </row>
    <row r="192" spans="2:4" x14ac:dyDescent="0.25">
      <c r="B192" s="183" t="s">
        <v>1018</v>
      </c>
      <c r="C192" s="77" t="s">
        <v>1019</v>
      </c>
      <c r="D192" s="77" t="s">
        <v>1020</v>
      </c>
    </row>
    <row r="193" spans="2:4" x14ac:dyDescent="0.25">
      <c r="B193" s="183" t="s">
        <v>1021</v>
      </c>
      <c r="C193" s="77" t="s">
        <v>1022</v>
      </c>
      <c r="D193" s="77" t="s">
        <v>1023</v>
      </c>
    </row>
    <row r="194" spans="2:4" x14ac:dyDescent="0.25">
      <c r="B194" s="183" t="s">
        <v>1024</v>
      </c>
      <c r="C194" s="77" t="s">
        <v>1025</v>
      </c>
      <c r="D194" s="77" t="s">
        <v>1026</v>
      </c>
    </row>
    <row r="195" spans="2:4" x14ac:dyDescent="0.25">
      <c r="B195" s="183" t="s">
        <v>1027</v>
      </c>
      <c r="C195" s="77" t="s">
        <v>1028</v>
      </c>
      <c r="D195" s="77" t="s">
        <v>1029</v>
      </c>
    </row>
    <row r="196" spans="2:4" x14ac:dyDescent="0.25">
      <c r="B196" s="183" t="s">
        <v>1030</v>
      </c>
      <c r="C196" s="77" t="s">
        <v>1031</v>
      </c>
      <c r="D196" s="77" t="s">
        <v>1032</v>
      </c>
    </row>
    <row r="197" spans="2:4" x14ac:dyDescent="0.25">
      <c r="B197" s="183" t="s">
        <v>1033</v>
      </c>
      <c r="C197" s="77" t="s">
        <v>1034</v>
      </c>
      <c r="D197" s="77" t="s">
        <v>1035</v>
      </c>
    </row>
    <row r="198" spans="2:4" x14ac:dyDescent="0.25">
      <c r="B198" s="183" t="s">
        <v>1036</v>
      </c>
      <c r="C198" s="77" t="s">
        <v>1037</v>
      </c>
      <c r="D198" s="77" t="s">
        <v>1038</v>
      </c>
    </row>
    <row r="199" spans="2:4" x14ac:dyDescent="0.25">
      <c r="B199" s="183" t="s">
        <v>1039</v>
      </c>
      <c r="C199" s="77" t="s">
        <v>1040</v>
      </c>
      <c r="D199" s="77" t="s">
        <v>1041</v>
      </c>
    </row>
    <row r="200" spans="2:4" x14ac:dyDescent="0.25">
      <c r="B200" s="183" t="s">
        <v>1042</v>
      </c>
      <c r="C200" s="77" t="s">
        <v>1043</v>
      </c>
      <c r="D200" s="77" t="s">
        <v>1044</v>
      </c>
    </row>
    <row r="201" spans="2:4" x14ac:dyDescent="0.25">
      <c r="B201" s="183" t="s">
        <v>1045</v>
      </c>
      <c r="C201" s="77" t="s">
        <v>1046</v>
      </c>
      <c r="D201" s="77" t="s">
        <v>1047</v>
      </c>
    </row>
    <row r="202" spans="2:4" x14ac:dyDescent="0.25">
      <c r="B202" s="183" t="s">
        <v>1048</v>
      </c>
      <c r="C202" s="77" t="s">
        <v>1049</v>
      </c>
      <c r="D202" s="77" t="s">
        <v>1050</v>
      </c>
    </row>
    <row r="203" spans="2:4" x14ac:dyDescent="0.25">
      <c r="B203" s="183" t="s">
        <v>1051</v>
      </c>
      <c r="C203" s="77" t="s">
        <v>1052</v>
      </c>
      <c r="D203" s="77" t="s">
        <v>1053</v>
      </c>
    </row>
    <row r="204" spans="2:4" x14ac:dyDescent="0.25">
      <c r="B204" s="183" t="s">
        <v>1054</v>
      </c>
      <c r="C204" s="77" t="s">
        <v>1055</v>
      </c>
      <c r="D204" s="77" t="s">
        <v>1056</v>
      </c>
    </row>
    <row r="205" spans="2:4" x14ac:dyDescent="0.25">
      <c r="B205" s="183" t="s">
        <v>1057</v>
      </c>
      <c r="C205" s="77" t="s">
        <v>1058</v>
      </c>
      <c r="D205" s="77" t="s">
        <v>1059</v>
      </c>
    </row>
    <row r="206" spans="2:4" x14ac:dyDescent="0.25">
      <c r="B206" s="183" t="s">
        <v>1060</v>
      </c>
      <c r="C206" s="77" t="s">
        <v>1061</v>
      </c>
      <c r="D206" s="77" t="s">
        <v>1062</v>
      </c>
    </row>
    <row r="207" spans="2:4" x14ac:dyDescent="0.25">
      <c r="B207" s="183" t="s">
        <v>1063</v>
      </c>
      <c r="C207" s="77" t="s">
        <v>1064</v>
      </c>
      <c r="D207" s="77" t="s">
        <v>1065</v>
      </c>
    </row>
    <row r="208" spans="2:4" x14ac:dyDescent="0.25">
      <c r="B208" s="183" t="s">
        <v>1066</v>
      </c>
      <c r="C208" s="77" t="s">
        <v>1067</v>
      </c>
      <c r="D208" s="77" t="s">
        <v>1068</v>
      </c>
    </row>
    <row r="209" spans="2:4" x14ac:dyDescent="0.25">
      <c r="B209" s="183" t="s">
        <v>1069</v>
      </c>
      <c r="C209" s="77" t="s">
        <v>1070</v>
      </c>
      <c r="D209" s="77" t="s">
        <v>1071</v>
      </c>
    </row>
    <row r="210" spans="2:4" x14ac:dyDescent="0.25">
      <c r="B210" s="183" t="s">
        <v>1072</v>
      </c>
      <c r="C210" s="77" t="s">
        <v>1073</v>
      </c>
      <c r="D210" s="77" t="s">
        <v>1074</v>
      </c>
    </row>
    <row r="211" spans="2:4" x14ac:dyDescent="0.25">
      <c r="B211" s="183" t="s">
        <v>1075</v>
      </c>
      <c r="C211" s="77" t="s">
        <v>1076</v>
      </c>
      <c r="D211" s="77" t="s">
        <v>1077</v>
      </c>
    </row>
    <row r="212" spans="2:4" x14ac:dyDescent="0.25">
      <c r="B212" s="183" t="s">
        <v>1078</v>
      </c>
      <c r="C212" s="77" t="s">
        <v>1079</v>
      </c>
      <c r="D212" s="77" t="s">
        <v>1080</v>
      </c>
    </row>
    <row r="213" spans="2:4" x14ac:dyDescent="0.25">
      <c r="B213" s="183" t="s">
        <v>1081</v>
      </c>
      <c r="C213" s="77" t="s">
        <v>1082</v>
      </c>
      <c r="D213" s="77" t="s">
        <v>1083</v>
      </c>
    </row>
    <row r="214" spans="2:4" x14ac:dyDescent="0.25">
      <c r="B214" s="183" t="s">
        <v>1084</v>
      </c>
      <c r="C214" s="77" t="s">
        <v>1085</v>
      </c>
      <c r="D214" s="77" t="s">
        <v>1086</v>
      </c>
    </row>
    <row r="215" spans="2:4" x14ac:dyDescent="0.25">
      <c r="B215" s="183" t="s">
        <v>1087</v>
      </c>
      <c r="C215" s="77" t="s">
        <v>1088</v>
      </c>
      <c r="D215" s="77" t="s">
        <v>1089</v>
      </c>
    </row>
    <row r="216" spans="2:4" x14ac:dyDescent="0.25">
      <c r="B216" s="183" t="s">
        <v>1090</v>
      </c>
      <c r="C216" s="77" t="s">
        <v>1091</v>
      </c>
      <c r="D216" s="77" t="s">
        <v>1092</v>
      </c>
    </row>
    <row r="217" spans="2:4" x14ac:dyDescent="0.25">
      <c r="B217" s="183" t="s">
        <v>1093</v>
      </c>
      <c r="C217" s="77" t="s">
        <v>1094</v>
      </c>
      <c r="D217" s="77" t="s">
        <v>1095</v>
      </c>
    </row>
    <row r="218" spans="2:4" x14ac:dyDescent="0.25">
      <c r="B218" s="183" t="s">
        <v>1096</v>
      </c>
      <c r="C218" s="77" t="s">
        <v>1097</v>
      </c>
      <c r="D218" s="77" t="s">
        <v>1098</v>
      </c>
    </row>
    <row r="219" spans="2:4" x14ac:dyDescent="0.25">
      <c r="B219" s="183" t="s">
        <v>1099</v>
      </c>
      <c r="C219" s="77" t="s">
        <v>1100</v>
      </c>
      <c r="D219" s="77" t="s">
        <v>1101</v>
      </c>
    </row>
    <row r="220" spans="2:4" x14ac:dyDescent="0.25">
      <c r="B220" s="183" t="s">
        <v>1102</v>
      </c>
      <c r="C220" s="77" t="s">
        <v>1103</v>
      </c>
      <c r="D220" s="77" t="s">
        <v>1104</v>
      </c>
    </row>
    <row r="221" spans="2:4" x14ac:dyDescent="0.25">
      <c r="B221" s="183" t="s">
        <v>1105</v>
      </c>
      <c r="C221" s="77" t="s">
        <v>1106</v>
      </c>
      <c r="D221" s="77" t="s">
        <v>1107</v>
      </c>
    </row>
    <row r="222" spans="2:4" x14ac:dyDescent="0.25">
      <c r="B222" s="183" t="s">
        <v>1108</v>
      </c>
      <c r="C222" s="77" t="s">
        <v>1109</v>
      </c>
      <c r="D222" s="77" t="s">
        <v>1110</v>
      </c>
    </row>
    <row r="223" spans="2:4" x14ac:dyDescent="0.25">
      <c r="B223" s="183" t="s">
        <v>1111</v>
      </c>
      <c r="C223" s="77" t="s">
        <v>1112</v>
      </c>
      <c r="D223" s="77" t="s">
        <v>1113</v>
      </c>
    </row>
    <row r="224" spans="2:4" x14ac:dyDescent="0.25">
      <c r="B224" s="183" t="s">
        <v>1114</v>
      </c>
      <c r="C224" s="77" t="s">
        <v>1115</v>
      </c>
      <c r="D224" s="77" t="s">
        <v>1116</v>
      </c>
    </row>
    <row r="225" spans="2:4" x14ac:dyDescent="0.25">
      <c r="B225" s="183" t="s">
        <v>1117</v>
      </c>
      <c r="C225" s="77" t="s">
        <v>1118</v>
      </c>
      <c r="D225" s="77" t="s">
        <v>1119</v>
      </c>
    </row>
    <row r="226" spans="2:4" x14ac:dyDescent="0.25">
      <c r="B226" s="183" t="s">
        <v>1120</v>
      </c>
      <c r="C226" s="77" t="s">
        <v>1121</v>
      </c>
      <c r="D226" s="77" t="s">
        <v>1122</v>
      </c>
    </row>
    <row r="227" spans="2:4" x14ac:dyDescent="0.25">
      <c r="B227" s="183" t="s">
        <v>1123</v>
      </c>
      <c r="C227" s="77" t="s">
        <v>1124</v>
      </c>
      <c r="D227" s="77" t="s">
        <v>1125</v>
      </c>
    </row>
    <row r="228" spans="2:4" x14ac:dyDescent="0.25">
      <c r="B228" s="183" t="s">
        <v>1126</v>
      </c>
      <c r="C228" s="77" t="s">
        <v>1127</v>
      </c>
      <c r="D228" s="77" t="s">
        <v>1128</v>
      </c>
    </row>
    <row r="229" spans="2:4" x14ac:dyDescent="0.25">
      <c r="B229" s="183" t="s">
        <v>1129</v>
      </c>
      <c r="C229" s="77" t="s">
        <v>1130</v>
      </c>
      <c r="D229" s="77" t="s">
        <v>1131</v>
      </c>
    </row>
    <row r="230" spans="2:4" x14ac:dyDescent="0.25">
      <c r="B230" s="183" t="s">
        <v>1132</v>
      </c>
      <c r="C230" s="77" t="s">
        <v>1133</v>
      </c>
      <c r="D230" s="77" t="s">
        <v>1134</v>
      </c>
    </row>
    <row r="231" spans="2:4" x14ac:dyDescent="0.25">
      <c r="B231" s="183" t="s">
        <v>1135</v>
      </c>
      <c r="C231" s="77" t="s">
        <v>1136</v>
      </c>
      <c r="D231" s="77" t="s">
        <v>1137</v>
      </c>
    </row>
    <row r="232" spans="2:4" x14ac:dyDescent="0.25">
      <c r="B232" s="183" t="s">
        <v>1138</v>
      </c>
      <c r="C232" s="77" t="s">
        <v>1139</v>
      </c>
      <c r="D232" s="77" t="s">
        <v>1140</v>
      </c>
    </row>
    <row r="233" spans="2:4" x14ac:dyDescent="0.25">
      <c r="B233" s="183" t="s">
        <v>1141</v>
      </c>
      <c r="C233" s="77" t="s">
        <v>1142</v>
      </c>
      <c r="D233" s="77" t="s">
        <v>1143</v>
      </c>
    </row>
    <row r="234" spans="2:4" x14ac:dyDescent="0.25">
      <c r="B234" s="183" t="s">
        <v>1144</v>
      </c>
      <c r="C234" s="77" t="s">
        <v>1145</v>
      </c>
      <c r="D234" s="77" t="s">
        <v>1146</v>
      </c>
    </row>
    <row r="235" spans="2:4" x14ac:dyDescent="0.25">
      <c r="B235" s="183" t="s">
        <v>1147</v>
      </c>
      <c r="C235" s="77" t="s">
        <v>1148</v>
      </c>
      <c r="D235" s="77" t="s">
        <v>1149</v>
      </c>
    </row>
    <row r="236" spans="2:4" x14ac:dyDescent="0.25">
      <c r="B236" s="183" t="s">
        <v>1150</v>
      </c>
      <c r="C236" s="77" t="s">
        <v>1151</v>
      </c>
      <c r="D236" s="77" t="s">
        <v>1152</v>
      </c>
    </row>
    <row r="237" spans="2:4" x14ac:dyDescent="0.25">
      <c r="B237" s="183" t="s">
        <v>1153</v>
      </c>
      <c r="C237" s="77" t="s">
        <v>1154</v>
      </c>
      <c r="D237" s="77" t="s">
        <v>1155</v>
      </c>
    </row>
    <row r="238" spans="2:4" x14ac:dyDescent="0.25">
      <c r="B238" s="183" t="s">
        <v>1156</v>
      </c>
      <c r="C238" s="77" t="s">
        <v>1157</v>
      </c>
      <c r="D238" s="77" t="s">
        <v>1158</v>
      </c>
    </row>
    <row r="239" spans="2:4" x14ac:dyDescent="0.25">
      <c r="B239" s="183" t="s">
        <v>1159</v>
      </c>
      <c r="C239" s="77" t="s">
        <v>1160</v>
      </c>
      <c r="D239" s="77" t="s">
        <v>1161</v>
      </c>
    </row>
    <row r="240" spans="2:4" x14ac:dyDescent="0.25">
      <c r="B240" s="183" t="s">
        <v>1162</v>
      </c>
      <c r="C240" s="77" t="s">
        <v>1163</v>
      </c>
      <c r="D240" s="77" t="s">
        <v>1164</v>
      </c>
    </row>
    <row r="241" spans="2:4" x14ac:dyDescent="0.25">
      <c r="B241" s="183" t="s">
        <v>1165</v>
      </c>
      <c r="C241" s="77" t="s">
        <v>1166</v>
      </c>
      <c r="D241" s="77" t="s">
        <v>1167</v>
      </c>
    </row>
    <row r="242" spans="2:4" x14ac:dyDescent="0.25">
      <c r="B242" s="183" t="s">
        <v>1168</v>
      </c>
      <c r="C242" s="77" t="s">
        <v>1169</v>
      </c>
      <c r="D242" s="77" t="s">
        <v>1170</v>
      </c>
    </row>
    <row r="243" spans="2:4" x14ac:dyDescent="0.25">
      <c r="B243" s="183" t="s">
        <v>1171</v>
      </c>
      <c r="C243" s="77" t="s">
        <v>1172</v>
      </c>
      <c r="D243" s="77" t="s">
        <v>1173</v>
      </c>
    </row>
    <row r="244" spans="2:4" x14ac:dyDescent="0.25">
      <c r="B244" s="183" t="s">
        <v>1174</v>
      </c>
      <c r="C244" s="77" t="s">
        <v>1175</v>
      </c>
      <c r="D244" s="77" t="s">
        <v>1176</v>
      </c>
    </row>
    <row r="245" spans="2:4" x14ac:dyDescent="0.25">
      <c r="B245" s="183" t="s">
        <v>1177</v>
      </c>
      <c r="C245" s="77" t="s">
        <v>1178</v>
      </c>
      <c r="D245" s="77" t="s">
        <v>1179</v>
      </c>
    </row>
    <row r="246" spans="2:4" x14ac:dyDescent="0.25">
      <c r="B246" s="183" t="s">
        <v>1180</v>
      </c>
      <c r="C246" s="77" t="s">
        <v>1181</v>
      </c>
      <c r="D246" s="77" t="s">
        <v>1182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5" t="s">
        <v>1183</v>
      </c>
      <c r="M1" s="115" t="s">
        <v>1184</v>
      </c>
      <c r="N1" s="14">
        <f>SUM($M$3:$M$71)</f>
        <v>3</v>
      </c>
      <c r="P1" s="14">
        <f>SUM($O$3:$O$71)</f>
        <v>21</v>
      </c>
    </row>
    <row r="2" spans="1:16" x14ac:dyDescent="0.25">
      <c r="A2" s="115" t="s">
        <v>1185</v>
      </c>
      <c r="B2" s="115" t="s">
        <v>1186</v>
      </c>
      <c r="C2" s="115" t="s">
        <v>828</v>
      </c>
      <c r="D2" s="115" t="s">
        <v>831</v>
      </c>
      <c r="E2" s="115" t="s">
        <v>110</v>
      </c>
      <c r="F2" s="115" t="s">
        <v>816</v>
      </c>
      <c r="G2" s="115" t="s">
        <v>819</v>
      </c>
      <c r="H2" s="115" t="s">
        <v>807</v>
      </c>
      <c r="I2" s="115" t="s">
        <v>1187</v>
      </c>
      <c r="M2" s="115" t="s">
        <v>1188</v>
      </c>
      <c r="N2" s="115" t="s">
        <v>1189</v>
      </c>
      <c r="O2" s="115" t="s">
        <v>1190</v>
      </c>
      <c r="P2" s="115" t="s">
        <v>1191</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358</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419</v>
      </c>
      <c r="H4" s="12" t="s">
        <v>1192</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420</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421</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422</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4" t="s">
        <v>1193</v>
      </c>
    </row>
    <row r="3" spans="1:38" x14ac:dyDescent="0.25">
      <c r="A3" s="184" t="s">
        <v>1194</v>
      </c>
      <c r="B3" s="184" t="s">
        <v>1195</v>
      </c>
      <c r="C3" s="184" t="s">
        <v>1196</v>
      </c>
      <c r="D3" s="184" t="s">
        <v>1197</v>
      </c>
      <c r="E3" s="184" t="s">
        <v>433</v>
      </c>
      <c r="F3" s="184" t="s">
        <v>1198</v>
      </c>
      <c r="G3" s="184" t="s">
        <v>1199</v>
      </c>
      <c r="H3" s="184" t="s">
        <v>1200</v>
      </c>
      <c r="I3" s="184" t="s">
        <v>431</v>
      </c>
      <c r="J3" s="184" t="s">
        <v>1201</v>
      </c>
      <c r="K3" s="184" t="s">
        <v>432</v>
      </c>
      <c r="L3" s="184" t="s">
        <v>1202</v>
      </c>
      <c r="M3" s="184" t="s">
        <v>1203</v>
      </c>
      <c r="N3" s="184" t="s">
        <v>1204</v>
      </c>
      <c r="O3" s="184" t="s">
        <v>1205</v>
      </c>
      <c r="P3" s="184" t="s">
        <v>1206</v>
      </c>
      <c r="Q3" s="184" t="s">
        <v>1207</v>
      </c>
      <c r="R3" s="184" t="s">
        <v>120</v>
      </c>
      <c r="S3" s="184" t="s">
        <v>1208</v>
      </c>
    </row>
    <row r="4" spans="1:38" x14ac:dyDescent="0.25">
      <c r="A4" s="77" t="str">
        <f>$A$76</f>
        <v>BU-A|AZ</v>
      </c>
      <c r="B4" s="52">
        <f>$C$76</f>
        <v>12</v>
      </c>
      <c r="C4" s="50">
        <f>$B$127</f>
        <v>1.1024</v>
      </c>
      <c r="D4" s="50">
        <f>$C$127</f>
        <v>1.0428000000000002</v>
      </c>
      <c r="E4" s="50">
        <f>$D$127</f>
        <v>1.1101025000000002</v>
      </c>
      <c r="F4" s="50">
        <f>$E$127</f>
        <v>1.1557975</v>
      </c>
      <c r="G4" s="169">
        <f>$F$127</f>
        <v>0.8659874179431073</v>
      </c>
      <c r="H4" s="169">
        <f>$G$127</f>
        <v>0.88596906911013884</v>
      </c>
      <c r="I4" s="50">
        <f t="shared" ref="I4:I35" si="0">$C4/$E4</f>
        <v>0.99306145153262859</v>
      </c>
      <c r="J4" s="50">
        <f t="shared" ref="J4:J35" si="1">$C4/$F4</f>
        <v>0.95380029806259314</v>
      </c>
      <c r="K4" s="50">
        <f>IF($L$76,1,IF(AND(nr_ModAdjMaster="ON",INDEX(lr_modadj,1)="ON"),$F$76/$G4,1))</f>
        <v>0.98153851013092008</v>
      </c>
      <c r="L4" s="50">
        <f>IF($L$76,1,IF(AND(nr_ModAdjMaster="ON",INDEX(lr_modadj,1)="ON"),$F$76/$H4,1))</f>
        <v>0.95940143921021315</v>
      </c>
      <c r="M4" s="49">
        <f>IF(INDEX(lr_basis,1)="proposed",N(INDEX(lr_lrproj,1))*(1+N(INDEX(lr_s,1))),N(INDEX(lr_lrproj,1)))</f>
        <v>0.65</v>
      </c>
      <c r="N4" s="49">
        <f t="shared" ref="N4:N35" si="2">$M4*$I4*$K4*$R4</f>
        <v>0.63357323744376037</v>
      </c>
      <c r="O4" s="49">
        <f t="shared" ref="O4:O35" si="3">$M4*(1+$S4)*$J4*$L4*$R4</f>
        <v>0.59480029614224839</v>
      </c>
      <c r="P4" s="49">
        <f t="shared" ref="P4:P35" si="4">$E4/$C4-1</f>
        <v>6.9870283018869106E-3</v>
      </c>
      <c r="Q4" s="49">
        <f t="shared" ref="Q4:Q35" si="5">$F4/$E4-1</f>
        <v>4.1162865591240383E-2</v>
      </c>
      <c r="R4" s="50">
        <f>IF(N(INDEX(lr_aother,1))=0,1,INDEX(lr_aother,1))</f>
        <v>1</v>
      </c>
      <c r="S4" s="49">
        <f>IF(ISBLANK(INDEX(lr_trend,1)),N(nr_TrendDefault),N(INDEX(lr_trend,1)))</f>
        <v>0</v>
      </c>
      <c r="T4" s="77" t="str">
        <f>INDEX(lr_state,1)</f>
        <v>AZ</v>
      </c>
      <c r="U4" s="77" t="str">
        <f>INDEX(lr_bu,1)</f>
        <v>BU-A</v>
      </c>
      <c r="V4" s="185">
        <f>N(INDEX(lr_ep,1))</f>
        <v>36000</v>
      </c>
      <c r="W4" s="50">
        <f>N(INDEX(lr_mind,1))*$V4</f>
        <v>30600</v>
      </c>
      <c r="X4" s="50">
        <f>N(INDEX(lr_m0,1))*$V4</f>
        <v>30960</v>
      </c>
      <c r="Y4" s="50">
        <f>N(INDEX(lr_m1,1))*$V4</f>
        <v>32040</v>
      </c>
      <c r="Z4" s="50">
        <f t="shared" ref="Z4:Z35" si="6">$C4*$V4</f>
        <v>39686.400000000001</v>
      </c>
      <c r="AA4" s="50">
        <f t="shared" ref="AA4:AA35" si="7">$E4*$V4</f>
        <v>39963.69000000001</v>
      </c>
      <c r="AB4" s="50">
        <f t="shared" ref="AB4:AB35" si="8">$I4*$V4</f>
        <v>35750.212255174629</v>
      </c>
      <c r="AC4" s="50">
        <f t="shared" ref="AC4:AC35" si="9">$G4*$V4</f>
        <v>31175.547045951862</v>
      </c>
      <c r="AD4" s="50">
        <f t="shared" ref="AD4:AD35" si="10">$K4*$V4</f>
        <v>35335.386364713122</v>
      </c>
      <c r="AE4" s="50">
        <f t="shared" ref="AE4:AE35" si="11">$M4*$V4</f>
        <v>23400</v>
      </c>
      <c r="AF4" s="50">
        <f t="shared" ref="AF4:AF35" si="12">$N4*$V4</f>
        <v>22808.636547975373</v>
      </c>
      <c r="AG4" s="50">
        <f t="shared" ref="AG4:AG35" si="13">$S4*$V4</f>
        <v>0</v>
      </c>
      <c r="AH4" s="50">
        <f t="shared" ref="AH4:AH35" si="14">$J4*$V4</f>
        <v>34336.810730253354</v>
      </c>
      <c r="AI4" s="50">
        <f t="shared" ref="AI4:AI35" si="15">$L4*$V4</f>
        <v>34538.451811567676</v>
      </c>
      <c r="AJ4" s="50">
        <f t="shared" ref="AJ4:AJ35" si="16">$O4*$V4</f>
        <v>21412.81066112094</v>
      </c>
      <c r="AK4" s="52">
        <f>IF($L$76,1,0)</f>
        <v>0</v>
      </c>
      <c r="AL4" s="49">
        <f>IF($L$76,$M$76,0)</f>
        <v>0</v>
      </c>
    </row>
    <row r="5" spans="1:38" x14ac:dyDescent="0.25">
      <c r="A5" s="77" t="str">
        <f>$A$130</f>
        <v>BU-A|CA</v>
      </c>
      <c r="B5" s="52">
        <f>$C$130</f>
        <v>12</v>
      </c>
      <c r="C5" s="50">
        <f>$B$181</f>
        <v>1.03</v>
      </c>
      <c r="D5" s="50">
        <f>$C$181</f>
        <v>1.012604166666667</v>
      </c>
      <c r="E5" s="50">
        <f>$D$181</f>
        <v>1.0472055555555555</v>
      </c>
      <c r="F5" s="50">
        <f>$E$181</f>
        <v>1.0710569444444447</v>
      </c>
      <c r="G5" s="169">
        <f>$F$181</f>
        <v>0.84099790299051769</v>
      </c>
      <c r="H5" s="169">
        <f>$G$181</f>
        <v>0.84432817818502282</v>
      </c>
      <c r="I5" s="50">
        <f t="shared" si="0"/>
        <v>0.98357003029225942</v>
      </c>
      <c r="J5" s="50">
        <f t="shared" si="1"/>
        <v>0.96166688927474275</v>
      </c>
      <c r="K5" s="50">
        <f>IF($L$130,1,IF(AND(nr_ModAdjMaster="ON",INDEX(lr_modadj,2)="ON"),$F$130/$G5,1))</f>
        <v>1.0107040659405588</v>
      </c>
      <c r="L5" s="50">
        <f>IF($L$130,1,IF(AND(nr_ModAdjMaster="ON",INDEX(lr_modadj,2)="ON"),$F$130/$H5,1))</f>
        <v>1.0067175559948376</v>
      </c>
      <c r="M5" s="49">
        <f>IF(INDEX(lr_basis,2)="proposed",N(INDEX(lr_lrproj,2))*(1+N(INDEX(lr_s,2))),N(INDEX(lr_lrproj,2)))</f>
        <v>0.65800000000000003</v>
      </c>
      <c r="N5" s="49">
        <f t="shared" si="2"/>
        <v>0.65411663451991164</v>
      </c>
      <c r="O5" s="49">
        <f t="shared" si="3"/>
        <v>0.63702752681730224</v>
      </c>
      <c r="P5" s="49">
        <f t="shared" si="4"/>
        <v>1.6704422869471269E-2</v>
      </c>
      <c r="Q5" s="49">
        <f t="shared" si="5"/>
        <v>2.2776224555298263E-2</v>
      </c>
      <c r="R5" s="50">
        <f>IF(N(INDEX(lr_aother,2))=0,1,INDEX(lr_aother,2))</f>
        <v>1</v>
      </c>
      <c r="S5" s="49">
        <f>IF(ISBLANK(INDEX(lr_trend,2)),N(nr_TrendDefault),N(INDEX(lr_trend,2)))</f>
        <v>0</v>
      </c>
      <c r="T5" s="77" t="str">
        <f>INDEX(lr_state,2)</f>
        <v>CA</v>
      </c>
      <c r="U5" s="77" t="str">
        <f>INDEX(lr_bu,2)</f>
        <v>BU-A</v>
      </c>
      <c r="V5" s="185">
        <f>N(INDEX(lr_ep,2))</f>
        <v>94500</v>
      </c>
      <c r="W5" s="50">
        <f>N(INDEX(lr_mind,2))*$V5</f>
        <v>80325</v>
      </c>
      <c r="X5" s="50">
        <f>N(INDEX(lr_m0,2))*$V5</f>
        <v>79380</v>
      </c>
      <c r="Y5" s="50">
        <f>N(INDEX(lr_m1,2))*$V5</f>
        <v>79852.5</v>
      </c>
      <c r="Z5" s="50">
        <f t="shared" si="6"/>
        <v>97335</v>
      </c>
      <c r="AA5" s="50">
        <f t="shared" si="7"/>
        <v>98960.924999999988</v>
      </c>
      <c r="AB5" s="50">
        <f t="shared" si="8"/>
        <v>92947.367862618514</v>
      </c>
      <c r="AC5" s="50">
        <f t="shared" si="9"/>
        <v>79474.301832603916</v>
      </c>
      <c r="AD5" s="50">
        <f t="shared" si="10"/>
        <v>95511.534231382815</v>
      </c>
      <c r="AE5" s="50">
        <f t="shared" si="11"/>
        <v>62181</v>
      </c>
      <c r="AF5" s="50">
        <f t="shared" si="12"/>
        <v>61814.02196213165</v>
      </c>
      <c r="AG5" s="50">
        <f t="shared" si="13"/>
        <v>0</v>
      </c>
      <c r="AH5" s="50">
        <f t="shared" si="14"/>
        <v>90877.521036463193</v>
      </c>
      <c r="AI5" s="50">
        <f t="shared" si="15"/>
        <v>95134.809041512155</v>
      </c>
      <c r="AJ5" s="50">
        <f t="shared" si="16"/>
        <v>60199.101284235061</v>
      </c>
      <c r="AK5" s="52">
        <f>IF($L$130,1,0)</f>
        <v>0</v>
      </c>
      <c r="AL5" s="49">
        <f>IF($L$130,$M$130,0)</f>
        <v>0</v>
      </c>
    </row>
    <row r="6" spans="1:38" x14ac:dyDescent="0.25">
      <c r="A6" s="77" t="str">
        <f>$A$184</f>
        <v>BU-A|CO</v>
      </c>
      <c r="B6" s="52">
        <f>$C$184</f>
        <v>12</v>
      </c>
      <c r="C6" s="50">
        <f>$B$235</f>
        <v>1</v>
      </c>
      <c r="D6" s="50">
        <f>$C$235</f>
        <v>1</v>
      </c>
      <c r="E6" s="50">
        <f>$D$235</f>
        <v>1</v>
      </c>
      <c r="F6" s="50">
        <f>$E$235</f>
        <v>1</v>
      </c>
      <c r="G6" s="169">
        <f>$F$235</f>
        <v>0.84399161196207151</v>
      </c>
      <c r="H6" s="169">
        <f>$G$235</f>
        <v>0.85731271274009246</v>
      </c>
      <c r="I6" s="50">
        <f t="shared" si="0"/>
        <v>1</v>
      </c>
      <c r="J6" s="50">
        <f t="shared" si="1"/>
        <v>1</v>
      </c>
      <c r="K6" s="50">
        <f>IF($L$184,1,IF(AND(nr_ModAdjMaster="ON",INDEX(lr_modadj,3)="ON"),$F$184/$G6,1))</f>
        <v>1.0071190139247479</v>
      </c>
      <c r="L6" s="50">
        <f>IF($L$184,1,IF(AND(nr_ModAdjMaster="ON",INDEX(lr_modadj,3)="ON"),$F$184/$H6,1))</f>
        <v>0.99147019211144083</v>
      </c>
      <c r="M6" s="49">
        <f>IF(INDEX(lr_basis,3)="proposed",N(INDEX(lr_lrproj,3))*(1+N(INDEX(lr_s,3))),N(INDEX(lr_lrproj,3)))</f>
        <v>0.64200000000000002</v>
      </c>
      <c r="N6" s="49">
        <f t="shared" si="2"/>
        <v>0.64657040693968815</v>
      </c>
      <c r="O6" s="49">
        <f t="shared" si="3"/>
        <v>0.636523863335545</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76500</v>
      </c>
      <c r="W6" s="50">
        <f>N(INDEX(lr_mind,3))*$V6</f>
        <v>65025</v>
      </c>
      <c r="X6" s="50">
        <f>N(INDEX(lr_m0,3))*$V6</f>
        <v>64260</v>
      </c>
      <c r="Y6" s="50">
        <f>N(INDEX(lr_m1,3))*$V6</f>
        <v>65790</v>
      </c>
      <c r="Z6" s="50">
        <f t="shared" si="6"/>
        <v>76500</v>
      </c>
      <c r="AA6" s="50">
        <f t="shared" si="7"/>
        <v>76500</v>
      </c>
      <c r="AB6" s="50">
        <f t="shared" si="8"/>
        <v>76500</v>
      </c>
      <c r="AC6" s="50">
        <f t="shared" si="9"/>
        <v>64565.35831509847</v>
      </c>
      <c r="AD6" s="50">
        <f t="shared" si="10"/>
        <v>77044.604565243208</v>
      </c>
      <c r="AE6" s="50">
        <f t="shared" si="11"/>
        <v>49113</v>
      </c>
      <c r="AF6" s="50">
        <f t="shared" si="12"/>
        <v>49462.636130886145</v>
      </c>
      <c r="AG6" s="50">
        <f t="shared" si="13"/>
        <v>0</v>
      </c>
      <c r="AH6" s="50">
        <f t="shared" si="14"/>
        <v>76500</v>
      </c>
      <c r="AI6" s="50">
        <f t="shared" si="15"/>
        <v>75847.469696525222</v>
      </c>
      <c r="AJ6" s="50">
        <f t="shared" si="16"/>
        <v>48694.075545169195</v>
      </c>
      <c r="AK6" s="52">
        <f>IF($L$184,1,0)</f>
        <v>0</v>
      </c>
      <c r="AL6" s="49">
        <f>IF($L$184,$M$184,0)</f>
        <v>0</v>
      </c>
    </row>
    <row r="7" spans="1:38" x14ac:dyDescent="0.25">
      <c r="A7" s="77" t="str">
        <f>$A$238</f>
        <v>BU-A|CT</v>
      </c>
      <c r="B7" s="52">
        <f>$C$238</f>
        <v>12</v>
      </c>
      <c r="C7" s="50">
        <f>$B$289</f>
        <v>1.05</v>
      </c>
      <c r="D7" s="50">
        <f>$C$289</f>
        <v>1.0140624999999999</v>
      </c>
      <c r="E7" s="50">
        <f>$D$289</f>
        <v>1.0484374999999999</v>
      </c>
      <c r="F7" s="50">
        <f>$E$289</f>
        <v>1.05</v>
      </c>
      <c r="G7" s="169">
        <f>$F$289</f>
        <v>0.85</v>
      </c>
      <c r="H7" s="169">
        <f>$G$289</f>
        <v>0.85</v>
      </c>
      <c r="I7" s="50">
        <f t="shared" si="0"/>
        <v>1.0014903129657229</v>
      </c>
      <c r="J7" s="50">
        <f t="shared" si="1"/>
        <v>1</v>
      </c>
      <c r="K7" s="50">
        <f>IF($L$238,1,IF(AND(nr_ModAdjMaster="ON",INDEX(lr_modadj,4)="ON"),$F$238/$G7,1))</f>
        <v>1</v>
      </c>
      <c r="L7" s="50">
        <f>IF($L$238,1,IF(AND(nr_ModAdjMaster="ON",INDEX(lr_modadj,4)="ON"),$F$238/$H7,1))</f>
        <v>1</v>
      </c>
      <c r="M7" s="49">
        <f>IF(INDEX(lr_basis,4)="proposed",N(INDEX(lr_lrproj,4))*(1+N(INDEX(lr_s,4))),N(INDEX(lr_lrproj,4)))</f>
        <v>0.67</v>
      </c>
      <c r="N7" s="49">
        <f t="shared" si="2"/>
        <v>0.67099850968703434</v>
      </c>
      <c r="O7" s="49">
        <f t="shared" si="3"/>
        <v>0.67</v>
      </c>
      <c r="P7" s="49">
        <f t="shared" si="4"/>
        <v>-1.4880952380953438E-3</v>
      </c>
      <c r="Q7" s="49">
        <f t="shared" si="5"/>
        <v>1.4903129657228842E-3</v>
      </c>
      <c r="R7" s="50">
        <f>IF(N(INDEX(lr_aother,4))=0,1,INDEX(lr_aother,4))</f>
        <v>1</v>
      </c>
      <c r="S7" s="49">
        <f>IF(ISBLANK(INDEX(lr_trend,4)),N(nr_TrendDefault),N(INDEX(lr_trend,4)))</f>
        <v>0</v>
      </c>
      <c r="T7" s="77" t="str">
        <f>INDEX(lr_state,4)</f>
        <v>CT</v>
      </c>
      <c r="U7" s="77" t="str">
        <f>INDEX(lr_bu,4)</f>
        <v>BU-A</v>
      </c>
      <c r="V7" s="185">
        <f>N(INDEX(lr_ep,4))</f>
        <v>58500</v>
      </c>
      <c r="W7" s="50">
        <f>N(INDEX(lr_mind,4))*$V7</f>
        <v>49725</v>
      </c>
      <c r="X7" s="50">
        <f>N(INDEX(lr_m0,4))*$V7</f>
        <v>49725</v>
      </c>
      <c r="Y7" s="50">
        <f>N(INDEX(lr_m1,4))*$V7</f>
        <v>49725</v>
      </c>
      <c r="Z7" s="50">
        <f t="shared" si="6"/>
        <v>61425</v>
      </c>
      <c r="AA7" s="50">
        <f t="shared" si="7"/>
        <v>61333.593749999993</v>
      </c>
      <c r="AB7" s="50">
        <f t="shared" si="8"/>
        <v>58587.183308494787</v>
      </c>
      <c r="AC7" s="50">
        <f t="shared" si="9"/>
        <v>49725</v>
      </c>
      <c r="AD7" s="50">
        <f t="shared" si="10"/>
        <v>58500</v>
      </c>
      <c r="AE7" s="50">
        <f t="shared" si="11"/>
        <v>39195</v>
      </c>
      <c r="AF7" s="50">
        <f t="shared" si="12"/>
        <v>39253.412816691511</v>
      </c>
      <c r="AG7" s="50">
        <f t="shared" si="13"/>
        <v>0</v>
      </c>
      <c r="AH7" s="50">
        <f t="shared" si="14"/>
        <v>58500</v>
      </c>
      <c r="AI7" s="50">
        <f t="shared" si="15"/>
        <v>58500</v>
      </c>
      <c r="AJ7" s="50">
        <f t="shared" si="16"/>
        <v>39195</v>
      </c>
      <c r="AK7" s="52">
        <f>IF($L$238,1,0)</f>
        <v>0</v>
      </c>
      <c r="AL7" s="49">
        <f>IF($L$238,$M$238,0)</f>
        <v>0</v>
      </c>
    </row>
    <row r="8" spans="1:38" x14ac:dyDescent="0.25">
      <c r="A8" s="77" t="str">
        <f>$A$292</f>
        <v>BU-A|FL</v>
      </c>
      <c r="B8" s="52">
        <f>$C$292</f>
        <v>12</v>
      </c>
      <c r="C8" s="50">
        <f>$B$343</f>
        <v>1.06</v>
      </c>
      <c r="D8" s="50">
        <f>$C$343</f>
        <v>1.0133333333333334</v>
      </c>
      <c r="E8" s="50">
        <f>$D$343</f>
        <v>1.0566666666666669</v>
      </c>
      <c r="F8" s="50">
        <f>$E$343</f>
        <v>1.0600000000000003</v>
      </c>
      <c r="G8" s="169">
        <f>$F$343</f>
        <v>0.84299370897155379</v>
      </c>
      <c r="H8" s="169">
        <f>$G$343</f>
        <v>0.85298453455506928</v>
      </c>
      <c r="I8" s="50">
        <f t="shared" si="0"/>
        <v>1.0031545741324919</v>
      </c>
      <c r="J8" s="50">
        <f t="shared" si="1"/>
        <v>0.99999999999999978</v>
      </c>
      <c r="K8" s="50">
        <f>IF($L$292,1,IF(AND(nr_ModAdjMaster="ON",INDEX(lr_modadj,5)="ON"),$F$292/$G8,1))</f>
        <v>1.0083112020337539</v>
      </c>
      <c r="L8" s="50">
        <f>IF($L$292,1,IF(AND(nr_ModAdjMaster="ON",INDEX(lr_modadj,5)="ON"),$F$292/$H8,1))</f>
        <v>0.99650106838498997</v>
      </c>
      <c r="M8" s="49">
        <f>IF(INDEX(lr_basis,5)="proposed",N(INDEX(lr_lrproj,5))*(1+N(INDEX(lr_s,5))),N(INDEX(lr_lrproj,5)))</f>
        <v>0.65400000000000003</v>
      </c>
      <c r="N8" s="49">
        <f t="shared" si="2"/>
        <v>0.6615157643828512</v>
      </c>
      <c r="O8" s="49">
        <f t="shared" si="3"/>
        <v>0.65171169872378332</v>
      </c>
      <c r="P8" s="49">
        <f t="shared" si="4"/>
        <v>-3.1446540880502027E-3</v>
      </c>
      <c r="Q8" s="49">
        <f t="shared" si="5"/>
        <v>3.154574132492094E-3</v>
      </c>
      <c r="R8" s="50">
        <f>IF(N(INDEX(lr_aother,5))=0,1,INDEX(lr_aother,5))</f>
        <v>1</v>
      </c>
      <c r="S8" s="49">
        <f>IF(ISBLANK(INDEX(lr_trend,5)),N(nr_TrendDefault),N(INDEX(lr_trend,5)))</f>
        <v>0</v>
      </c>
      <c r="T8" s="77" t="str">
        <f>INDEX(lr_state,5)</f>
        <v>FL</v>
      </c>
      <c r="U8" s="77" t="str">
        <f>INDEX(lr_bu,5)</f>
        <v>BU-A</v>
      </c>
      <c r="V8" s="185">
        <f>N(INDEX(lr_ep,5))</f>
        <v>40500</v>
      </c>
      <c r="W8" s="50">
        <f>N(INDEX(lr_mind,5))*$V8</f>
        <v>34425</v>
      </c>
      <c r="X8" s="50">
        <f>N(INDEX(lr_m0,5))*$V8</f>
        <v>34020</v>
      </c>
      <c r="Y8" s="50">
        <f>N(INDEX(lr_m1,5))*$V8</f>
        <v>34627.5</v>
      </c>
      <c r="Z8" s="50">
        <f t="shared" si="6"/>
        <v>42930</v>
      </c>
      <c r="AA8" s="50">
        <f t="shared" si="7"/>
        <v>42795.000000000007</v>
      </c>
      <c r="AB8" s="50">
        <f t="shared" si="8"/>
        <v>40627.760252365922</v>
      </c>
      <c r="AC8" s="50">
        <f t="shared" si="9"/>
        <v>34141.245213347931</v>
      </c>
      <c r="AD8" s="50">
        <f t="shared" si="10"/>
        <v>40836.603682367037</v>
      </c>
      <c r="AE8" s="50">
        <f t="shared" si="11"/>
        <v>26487</v>
      </c>
      <c r="AF8" s="50">
        <f t="shared" si="12"/>
        <v>26791.388457505473</v>
      </c>
      <c r="AG8" s="50">
        <f t="shared" si="13"/>
        <v>0</v>
      </c>
      <c r="AH8" s="50">
        <f t="shared" si="14"/>
        <v>40499.999999999993</v>
      </c>
      <c r="AI8" s="50">
        <f t="shared" si="15"/>
        <v>40358.293269592097</v>
      </c>
      <c r="AJ8" s="50">
        <f t="shared" si="16"/>
        <v>26394.323798313224</v>
      </c>
      <c r="AK8" s="52">
        <f>IF($L$292,1,0)</f>
        <v>0</v>
      </c>
      <c r="AL8" s="49">
        <f>IF($L$292,$M$292,0)</f>
        <v>0</v>
      </c>
    </row>
    <row r="9" spans="1:38" x14ac:dyDescent="0.25">
      <c r="A9" s="77" t="str">
        <f>$A$346</f>
        <v>BU-A|GA</v>
      </c>
      <c r="B9" s="52">
        <f>$C$346</f>
        <v>12</v>
      </c>
      <c r="C9" s="50">
        <f>$B$397</f>
        <v>1.0449999999999999</v>
      </c>
      <c r="D9" s="50">
        <f>$C$397</f>
        <v>1.0076562499999999</v>
      </c>
      <c r="E9" s="50">
        <f>$D$397</f>
        <v>1.0482055555555554</v>
      </c>
      <c r="F9" s="50">
        <f>$E$397</f>
        <v>1.0831715277777778</v>
      </c>
      <c r="G9" s="169">
        <f>$F$397</f>
        <v>0.83800949758575383</v>
      </c>
      <c r="H9" s="169">
        <f>$G$397</f>
        <v>0.83650510771358044</v>
      </c>
      <c r="I9" s="50">
        <f t="shared" si="0"/>
        <v>0.99694186360817705</v>
      </c>
      <c r="J9" s="50">
        <f t="shared" si="1"/>
        <v>0.96475948010183565</v>
      </c>
      <c r="K9" s="50">
        <f>IF($L$346,1,IF(AND(nr_ModAdjMaster="ON",INDEX(lr_modadj,6)="ON"),$F$346/$G9,1))</f>
        <v>1.0143083132694677</v>
      </c>
      <c r="L9" s="50">
        <f>IF($L$346,1,IF(AND(nr_ModAdjMaster="ON",INDEX(lr_modadj,6)="ON"),$F$346/$H9,1))</f>
        <v>1.0161324684834323</v>
      </c>
      <c r="M9" s="49">
        <f>IF(INDEX(lr_basis,6)="proposed",N(INDEX(lr_lrproj,6))*(1+N(INDEX(lr_s,6))),N(INDEX(lr_lrproj,6)))</f>
        <v>0.63800000000000001</v>
      </c>
      <c r="N9" s="49">
        <f t="shared" si="2"/>
        <v>0.64514969602643479</v>
      </c>
      <c r="O9" s="49">
        <f t="shared" si="3"/>
        <v>0.62544634962153212</v>
      </c>
      <c r="P9" s="49">
        <f t="shared" si="4"/>
        <v>3.0675172780434412E-3</v>
      </c>
      <c r="Q9" s="49">
        <f t="shared" si="5"/>
        <v>3.3357934459420369E-2</v>
      </c>
      <c r="R9" s="50">
        <f>IF(N(INDEX(lr_aother,6))=0,1,INDEX(lr_aother,6))</f>
        <v>1</v>
      </c>
      <c r="S9" s="49">
        <f>IF(ISBLANK(INDEX(lr_trend,6)),N(nr_TrendDefault),N(INDEX(lr_trend,6)))</f>
        <v>0</v>
      </c>
      <c r="T9" s="77" t="str">
        <f>INDEX(lr_state,6)</f>
        <v>GA</v>
      </c>
      <c r="U9" s="77" t="str">
        <f>INDEX(lr_bu,6)</f>
        <v>BU-A</v>
      </c>
      <c r="V9" s="185">
        <f>N(INDEX(lr_ep,6))</f>
        <v>99000</v>
      </c>
      <c r="W9" s="50">
        <f>N(INDEX(lr_mind,6))*$V9</f>
        <v>84150</v>
      </c>
      <c r="X9" s="50">
        <f>N(INDEX(lr_m0,6))*$V9</f>
        <v>83160</v>
      </c>
      <c r="Y9" s="50">
        <f>N(INDEX(lr_m1,6))*$V9</f>
        <v>82665</v>
      </c>
      <c r="Z9" s="50">
        <f t="shared" si="6"/>
        <v>103455</v>
      </c>
      <c r="AA9" s="50">
        <f t="shared" si="7"/>
        <v>103772.34999999998</v>
      </c>
      <c r="AB9" s="50">
        <f t="shared" si="8"/>
        <v>98697.244497209525</v>
      </c>
      <c r="AC9" s="50">
        <f t="shared" si="9"/>
        <v>82962.940260989635</v>
      </c>
      <c r="AD9" s="50">
        <f t="shared" si="10"/>
        <v>100416.5230136773</v>
      </c>
      <c r="AE9" s="50">
        <f t="shared" si="11"/>
        <v>63162</v>
      </c>
      <c r="AF9" s="50">
        <f t="shared" si="12"/>
        <v>63869.819906617042</v>
      </c>
      <c r="AG9" s="50">
        <f t="shared" si="13"/>
        <v>0</v>
      </c>
      <c r="AH9" s="50">
        <f t="shared" si="14"/>
        <v>95511.188530081723</v>
      </c>
      <c r="AI9" s="50">
        <f t="shared" si="15"/>
        <v>100597.11437985979</v>
      </c>
      <c r="AJ9" s="50">
        <f t="shared" si="16"/>
        <v>61919.188612531681</v>
      </c>
      <c r="AK9" s="52">
        <f>IF($L$346,1,0)</f>
        <v>0</v>
      </c>
      <c r="AL9" s="49">
        <f>IF($L$346,$M$346,0)</f>
        <v>0</v>
      </c>
    </row>
    <row r="10" spans="1:38" x14ac:dyDescent="0.25">
      <c r="A10" s="77" t="str">
        <f>$A$400</f>
        <v>BU-A|IL</v>
      </c>
      <c r="B10" s="52">
        <f>$C$400</f>
        <v>12</v>
      </c>
      <c r="C10" s="50">
        <f>$B$451</f>
        <v>1.03</v>
      </c>
      <c r="D10" s="50">
        <f>$C$451</f>
        <v>1.0037500000000001</v>
      </c>
      <c r="E10" s="50">
        <f>$D$451</f>
        <v>1.0262500000000003</v>
      </c>
      <c r="F10" s="50">
        <f>$E$451</f>
        <v>1.0300000000000002</v>
      </c>
      <c r="G10" s="169">
        <f>$F$451</f>
        <v>0.84199580598103541</v>
      </c>
      <c r="H10" s="169">
        <f>$G$451</f>
        <v>0.84865635637004611</v>
      </c>
      <c r="I10" s="50">
        <f t="shared" si="0"/>
        <v>1.0036540803897682</v>
      </c>
      <c r="J10" s="50">
        <f t="shared" si="1"/>
        <v>0.99999999999999978</v>
      </c>
      <c r="K10" s="50">
        <f>IF($L$400,1,IF(AND(nr_ModAdjMaster="ON",INDEX(lr_modadj,7)="ON"),$F$400/$G10,1))</f>
        <v>1.0095062160192576</v>
      </c>
      <c r="L10" s="50">
        <f>IF($L$400,1,IF(AND(nr_ModAdjMaster="ON",INDEX(lr_modadj,7)="ON"),$F$400/$H10,1))</f>
        <v>1.0015832599613124</v>
      </c>
      <c r="M10" s="49">
        <f>IF(INDEX(lr_basis,7)="proposed",N(INDEX(lr_lrproj,7))*(1+N(INDEX(lr_s,7))),N(INDEX(lr_lrproj,7)))</f>
        <v>0.66600000000000004</v>
      </c>
      <c r="N10" s="49">
        <f t="shared" si="2"/>
        <v>0.67478789190245081</v>
      </c>
      <c r="O10" s="49">
        <f t="shared" si="3"/>
        <v>0.66705445113423401</v>
      </c>
      <c r="P10" s="49">
        <f t="shared" si="4"/>
        <v>-3.640776699028847E-3</v>
      </c>
      <c r="Q10" s="49">
        <f t="shared" si="5"/>
        <v>3.6540803897684437E-3</v>
      </c>
      <c r="R10" s="50">
        <f>IF(N(INDEX(lr_aother,7))=0,1,INDEX(lr_aother,7))</f>
        <v>1</v>
      </c>
      <c r="S10" s="49">
        <f>IF(ISBLANK(INDEX(lr_trend,7)),N(nr_TrendDefault),N(INDEX(lr_trend,7)))</f>
        <v>0</v>
      </c>
      <c r="T10" s="77" t="str">
        <f>INDEX(lr_state,7)</f>
        <v>IL</v>
      </c>
      <c r="U10" s="77" t="str">
        <f>INDEX(lr_bu,7)</f>
        <v>BU-A</v>
      </c>
      <c r="V10" s="185">
        <f>N(INDEX(lr_ep,7))</f>
        <v>81000</v>
      </c>
      <c r="W10" s="50">
        <f>N(INDEX(lr_mind,7))*$V10</f>
        <v>68850</v>
      </c>
      <c r="X10" s="50">
        <f>N(INDEX(lr_m0,7))*$V10</f>
        <v>68040</v>
      </c>
      <c r="Y10" s="50">
        <f>N(INDEX(lr_m1,7))*$V10</f>
        <v>68850</v>
      </c>
      <c r="Z10" s="50">
        <f t="shared" si="6"/>
        <v>83430</v>
      </c>
      <c r="AA10" s="50">
        <f t="shared" si="7"/>
        <v>83126.250000000029</v>
      </c>
      <c r="AB10" s="50">
        <f t="shared" si="8"/>
        <v>81295.980511571222</v>
      </c>
      <c r="AC10" s="50">
        <f t="shared" si="9"/>
        <v>68201.660284463869</v>
      </c>
      <c r="AD10" s="50">
        <f t="shared" si="10"/>
        <v>81770.003497559868</v>
      </c>
      <c r="AE10" s="50">
        <f t="shared" si="11"/>
        <v>53946</v>
      </c>
      <c r="AF10" s="50">
        <f t="shared" si="12"/>
        <v>54657.819244098515</v>
      </c>
      <c r="AG10" s="50">
        <f t="shared" si="13"/>
        <v>0</v>
      </c>
      <c r="AH10" s="50">
        <f t="shared" si="14"/>
        <v>80999.999999999985</v>
      </c>
      <c r="AI10" s="50">
        <f t="shared" si="15"/>
        <v>81128.244056866301</v>
      </c>
      <c r="AJ10" s="50">
        <f t="shared" si="16"/>
        <v>54031.410541872952</v>
      </c>
      <c r="AK10" s="52">
        <f>IF($L$400,1,0)</f>
        <v>0</v>
      </c>
      <c r="AL10" s="49">
        <f>IF($L$400,$M$400,0)</f>
        <v>0</v>
      </c>
    </row>
    <row r="11" spans="1:38" x14ac:dyDescent="0.25">
      <c r="A11" s="77" t="str">
        <f>$A$454</f>
        <v>BU-A|IN</v>
      </c>
      <c r="B11" s="52">
        <f>$C$454</f>
        <v>12</v>
      </c>
      <c r="C11" s="50">
        <f>$B$505</f>
        <v>1.04</v>
      </c>
      <c r="D11" s="50">
        <f>$C$505</f>
        <v>1.0034722222222223</v>
      </c>
      <c r="E11" s="50">
        <f>$D$505</f>
        <v>1.0331944444444445</v>
      </c>
      <c r="F11" s="50">
        <f>$E$505</f>
        <v>1.0400000000000003</v>
      </c>
      <c r="G11" s="169">
        <f>$F$505</f>
        <v>0.8380041940189642</v>
      </c>
      <c r="H11" s="169">
        <f>$G$505</f>
        <v>0.83134364362995383</v>
      </c>
      <c r="I11" s="50">
        <f t="shared" si="0"/>
        <v>1.0065869068423174</v>
      </c>
      <c r="J11" s="50">
        <f t="shared" si="1"/>
        <v>0.99999999999999978</v>
      </c>
      <c r="K11" s="50">
        <f>IF($L$454,1,IF(AND(nr_ModAdjMaster="ON",INDEX(lr_modadj,8)="ON"),$F$454/$G11,1))</f>
        <v>1.0143147326309971</v>
      </c>
      <c r="L11" s="50">
        <f>IF($L$454,1,IF(AND(nr_ModAdjMaster="ON",INDEX(lr_modadj,8)="ON"),$F$454/$H11,1))</f>
        <v>1.0224412088947785</v>
      </c>
      <c r="M11" s="49">
        <f>IF(INDEX(lr_basis,8)="proposed",N(INDEX(lr_lrproj,8))*(1+N(INDEX(lr_s,8))),N(INDEX(lr_lrproj,8)))</f>
        <v>0.65</v>
      </c>
      <c r="N11" s="49">
        <f t="shared" si="2"/>
        <v>0.66364735403435804</v>
      </c>
      <c r="O11" s="49">
        <f t="shared" si="3"/>
        <v>0.6645867857816059</v>
      </c>
      <c r="P11" s="49">
        <f t="shared" si="4"/>
        <v>-6.54380341880334E-3</v>
      </c>
      <c r="Q11" s="49">
        <f t="shared" si="5"/>
        <v>6.5869068423176635E-3</v>
      </c>
      <c r="R11" s="50">
        <f>IF(N(INDEX(lr_aother,8))=0,1,INDEX(lr_aother,8))</f>
        <v>1</v>
      </c>
      <c r="S11" s="49">
        <f>IF(ISBLANK(INDEX(lr_trend,8)),N(nr_TrendDefault),N(INDEX(lr_trend,8)))</f>
        <v>0</v>
      </c>
      <c r="T11" s="77" t="str">
        <f>INDEX(lr_state,8)</f>
        <v>IN</v>
      </c>
      <c r="U11" s="77" t="str">
        <f>INDEX(lr_bu,8)</f>
        <v>BU-A</v>
      </c>
      <c r="V11" s="185">
        <f>N(INDEX(lr_ep,8))</f>
        <v>63000</v>
      </c>
      <c r="W11" s="50">
        <f>N(INDEX(lr_mind,8))*$V11</f>
        <v>53550</v>
      </c>
      <c r="X11" s="50">
        <f>N(INDEX(lr_m0,8))*$V11</f>
        <v>52920</v>
      </c>
      <c r="Y11" s="50">
        <f>N(INDEX(lr_m1,8))*$V11</f>
        <v>52290</v>
      </c>
      <c r="Z11" s="50">
        <f t="shared" si="6"/>
        <v>65520</v>
      </c>
      <c r="AA11" s="50">
        <f t="shared" si="7"/>
        <v>65091.250000000007</v>
      </c>
      <c r="AB11" s="50">
        <f t="shared" si="8"/>
        <v>63414.975131065999</v>
      </c>
      <c r="AC11" s="50">
        <f t="shared" si="9"/>
        <v>52794.264223194747</v>
      </c>
      <c r="AD11" s="50">
        <f t="shared" si="10"/>
        <v>63901.828155752817</v>
      </c>
      <c r="AE11" s="50">
        <f t="shared" si="11"/>
        <v>40950</v>
      </c>
      <c r="AF11" s="50">
        <f t="shared" si="12"/>
        <v>41809.783304164557</v>
      </c>
      <c r="AG11" s="50">
        <f t="shared" si="13"/>
        <v>0</v>
      </c>
      <c r="AH11" s="50">
        <f t="shared" si="14"/>
        <v>62999.999999999985</v>
      </c>
      <c r="AI11" s="50">
        <f t="shared" si="15"/>
        <v>64413.79616037105</v>
      </c>
      <c r="AJ11" s="50">
        <f t="shared" si="16"/>
        <v>41868.967504241169</v>
      </c>
      <c r="AK11" s="52">
        <f>IF($L$454,1,0)</f>
        <v>0</v>
      </c>
      <c r="AL11" s="49">
        <f>IF($L$454,$M$454,0)</f>
        <v>0</v>
      </c>
    </row>
    <row r="12" spans="1:38" x14ac:dyDescent="0.25">
      <c r="A12" s="77" t="str">
        <f>$A$508</f>
        <v>BU-A|IA</v>
      </c>
      <c r="B12" s="52">
        <f>$C$508</f>
        <v>12</v>
      </c>
      <c r="C12" s="50">
        <f>$B$559</f>
        <v>1</v>
      </c>
      <c r="D12" s="50">
        <f>$C$559</f>
        <v>1</v>
      </c>
      <c r="E12" s="50">
        <f>$D$559</f>
        <v>1</v>
      </c>
      <c r="F12" s="50">
        <f>$E$559</f>
        <v>1</v>
      </c>
      <c r="G12" s="169">
        <f>$F$559</f>
        <v>0.84099790299051769</v>
      </c>
      <c r="H12" s="169">
        <f>$G$559</f>
        <v>0.84432817818502282</v>
      </c>
      <c r="I12" s="50">
        <f t="shared" si="0"/>
        <v>1</v>
      </c>
      <c r="J12" s="50">
        <f t="shared" si="1"/>
        <v>1</v>
      </c>
      <c r="K12" s="50">
        <f>IF($L$508,1,IF(AND(nr_ModAdjMaster="ON",INDEX(lr_modadj,9)="ON"),$F$508/$G12,1))</f>
        <v>1.0107040659405588</v>
      </c>
      <c r="L12" s="50">
        <f>IF($L$508,1,IF(AND(nr_ModAdjMaster="ON",INDEX(lr_modadj,9)="ON"),$F$508/$H12,1))</f>
        <v>1.0067175559948376</v>
      </c>
      <c r="M12" s="49">
        <f>IF(INDEX(lr_basis,9)="proposed",N(INDEX(lr_lrproj,9))*(1+N(INDEX(lr_s,9))),N(INDEX(lr_lrproj,9)))</f>
        <v>0.63400000000000001</v>
      </c>
      <c r="N12" s="49">
        <f t="shared" si="2"/>
        <v>0.64078637780631431</v>
      </c>
      <c r="O12" s="49">
        <f t="shared" si="3"/>
        <v>0.63825893050072702</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45000</v>
      </c>
      <c r="W12" s="50">
        <f>N(INDEX(lr_mind,9))*$V12</f>
        <v>38250</v>
      </c>
      <c r="X12" s="50">
        <f>N(INDEX(lr_m0,9))*$V12</f>
        <v>37800</v>
      </c>
      <c r="Y12" s="50">
        <f>N(INDEX(lr_m1,9))*$V12</f>
        <v>38025</v>
      </c>
      <c r="Z12" s="50">
        <f t="shared" si="6"/>
        <v>45000</v>
      </c>
      <c r="AA12" s="50">
        <f t="shared" si="7"/>
        <v>45000</v>
      </c>
      <c r="AB12" s="50">
        <f t="shared" si="8"/>
        <v>45000</v>
      </c>
      <c r="AC12" s="50">
        <f t="shared" si="9"/>
        <v>37844.905634573297</v>
      </c>
      <c r="AD12" s="50">
        <f t="shared" si="10"/>
        <v>45481.682967325149</v>
      </c>
      <c r="AE12" s="50">
        <f t="shared" si="11"/>
        <v>28530</v>
      </c>
      <c r="AF12" s="50">
        <f t="shared" si="12"/>
        <v>28835.387001284143</v>
      </c>
      <c r="AG12" s="50">
        <f t="shared" si="13"/>
        <v>0</v>
      </c>
      <c r="AH12" s="50">
        <f t="shared" si="14"/>
        <v>45000</v>
      </c>
      <c r="AI12" s="50">
        <f t="shared" si="15"/>
        <v>45302.290019767694</v>
      </c>
      <c r="AJ12" s="50">
        <f t="shared" si="16"/>
        <v>28721.651872532715</v>
      </c>
      <c r="AK12" s="52">
        <f>IF($L$508,1,0)</f>
        <v>0</v>
      </c>
      <c r="AL12" s="49">
        <f>IF($L$508,$M$508,0)</f>
        <v>0</v>
      </c>
    </row>
    <row r="13" spans="1:38" x14ac:dyDescent="0.25">
      <c r="A13" s="77" t="str">
        <f>$A$562</f>
        <v>BU-A|KY</v>
      </c>
      <c r="B13" s="52">
        <f>$C$562</f>
        <v>12</v>
      </c>
      <c r="C13" s="50">
        <f>$B$613</f>
        <v>1.06</v>
      </c>
      <c r="D13" s="50">
        <f>$C$613</f>
        <v>1.0018750000000001</v>
      </c>
      <c r="E13" s="50">
        <f>$D$613</f>
        <v>1.0444500000000001</v>
      </c>
      <c r="F13" s="50">
        <f>$E$613</f>
        <v>1.0904750000000003</v>
      </c>
      <c r="G13" s="169">
        <f>$F$613</f>
        <v>0.84399161196207151</v>
      </c>
      <c r="H13" s="169">
        <f>$G$613</f>
        <v>0.85731271274009246</v>
      </c>
      <c r="I13" s="50">
        <f t="shared" si="0"/>
        <v>1.0148882186796879</v>
      </c>
      <c r="J13" s="50">
        <f t="shared" si="1"/>
        <v>0.97205346294046147</v>
      </c>
      <c r="K13" s="50">
        <f>IF($L$562,1,IF(AND(nr_ModAdjMaster="ON",INDEX(lr_modadj,10)="ON"),$F$562/$G13,1))</f>
        <v>1.0071190139247479</v>
      </c>
      <c r="L13" s="50">
        <f>IF($L$562,1,IF(AND(nr_ModAdjMaster="ON",INDEX(lr_modadj,10)="ON"),$F$562/$H13,1))</f>
        <v>0.99147019211144083</v>
      </c>
      <c r="M13" s="49">
        <f>IF(INDEX(lr_basis,10)="proposed",N(INDEX(lr_lrproj,10))*(1+N(INDEX(lr_s,10))),N(INDEX(lr_lrproj,10)))</f>
        <v>0.66200000000000003</v>
      </c>
      <c r="N13" s="49">
        <f t="shared" si="2"/>
        <v>0.67663895299083165</v>
      </c>
      <c r="O13" s="49">
        <f t="shared" si="3"/>
        <v>0.63801046627244096</v>
      </c>
      <c r="P13" s="49">
        <f t="shared" si="4"/>
        <v>-1.4669811320754622E-2</v>
      </c>
      <c r="Q13" s="49">
        <f t="shared" si="5"/>
        <v>4.4066254966729002E-2</v>
      </c>
      <c r="R13" s="50">
        <f>IF(N(INDEX(lr_aother,10))=0,1,INDEX(lr_aother,10))</f>
        <v>1</v>
      </c>
      <c r="S13" s="49">
        <f>IF(ISBLANK(INDEX(lr_trend,10)),N(nr_TrendDefault),N(INDEX(lr_trend,10)))</f>
        <v>0</v>
      </c>
      <c r="T13" s="77" t="str">
        <f>INDEX(lr_state,10)</f>
        <v>KY</v>
      </c>
      <c r="U13" s="77" t="str">
        <f>INDEX(lr_bu,10)</f>
        <v>BU-A</v>
      </c>
      <c r="V13" s="185">
        <f>N(INDEX(lr_ep,10))</f>
        <v>103500</v>
      </c>
      <c r="W13" s="50">
        <f>N(INDEX(lr_mind,10))*$V13</f>
        <v>87975</v>
      </c>
      <c r="X13" s="50">
        <f>N(INDEX(lr_m0,10))*$V13</f>
        <v>86940</v>
      </c>
      <c r="Y13" s="50">
        <f>N(INDEX(lr_m1,10))*$V13</f>
        <v>89010</v>
      </c>
      <c r="Z13" s="50">
        <f t="shared" si="6"/>
        <v>109710</v>
      </c>
      <c r="AA13" s="50">
        <f t="shared" si="7"/>
        <v>108100.57500000001</v>
      </c>
      <c r="AB13" s="50">
        <f t="shared" si="8"/>
        <v>105040.9306333477</v>
      </c>
      <c r="AC13" s="50">
        <f t="shared" si="9"/>
        <v>87353.131838074405</v>
      </c>
      <c r="AD13" s="50">
        <f t="shared" si="10"/>
        <v>104236.81794121141</v>
      </c>
      <c r="AE13" s="50">
        <f t="shared" si="11"/>
        <v>68517</v>
      </c>
      <c r="AF13" s="50">
        <f t="shared" si="12"/>
        <v>70032.131634551071</v>
      </c>
      <c r="AG13" s="50">
        <f t="shared" si="13"/>
        <v>0</v>
      </c>
      <c r="AH13" s="50">
        <f t="shared" si="14"/>
        <v>100607.53341433775</v>
      </c>
      <c r="AI13" s="50">
        <f t="shared" si="15"/>
        <v>102617.16488353413</v>
      </c>
      <c r="AJ13" s="50">
        <f t="shared" si="16"/>
        <v>66034.083259197636</v>
      </c>
      <c r="AK13" s="52">
        <f>IF($L$562,1,0)</f>
        <v>0</v>
      </c>
      <c r="AL13" s="49">
        <f>IF($L$562,$M$562,0)</f>
        <v>0</v>
      </c>
    </row>
    <row r="14" spans="1:38" x14ac:dyDescent="0.25">
      <c r="A14" s="77" t="str">
        <f>$A$616</f>
        <v>BU-A|MD</v>
      </c>
      <c r="B14" s="52">
        <f>$C$616</f>
        <v>12</v>
      </c>
      <c r="C14" s="50">
        <f>$B$667</f>
        <v>1.02</v>
      </c>
      <c r="D14" s="50">
        <f>$C$667</f>
        <v>1.0002777777777778</v>
      </c>
      <c r="E14" s="50">
        <f>$D$667</f>
        <v>1.0130555555555556</v>
      </c>
      <c r="F14" s="50">
        <f>$E$667</f>
        <v>1.0199999999999998</v>
      </c>
      <c r="G14" s="169">
        <f>$F$667</f>
        <v>0.84</v>
      </c>
      <c r="H14" s="169">
        <f>$G$667</f>
        <v>0.84</v>
      </c>
      <c r="I14" s="50">
        <f t="shared" si="0"/>
        <v>1.0068549492733754</v>
      </c>
      <c r="J14" s="50">
        <f t="shared" si="1"/>
        <v>1.0000000000000002</v>
      </c>
      <c r="K14" s="50">
        <f>IF($L$616,1,IF(AND(nr_ModAdjMaster="ON",INDEX(lr_modadj,11)="ON"),$F$616/$G14,1))</f>
        <v>1.0119047619047619</v>
      </c>
      <c r="L14" s="50">
        <f>IF($L$616,1,IF(AND(nr_ModAdjMaster="ON",INDEX(lr_modadj,11)="ON"),$F$616/$H14,1))</f>
        <v>1.0119047619047619</v>
      </c>
      <c r="M14" s="49">
        <f>IF(INDEX(lr_basis,11)="proposed",N(INDEX(lr_lrproj,11))*(1+N(INDEX(lr_s,11))),N(INDEX(lr_lrproj,11)))</f>
        <v>0.64600000000000002</v>
      </c>
      <c r="N14" s="49">
        <f t="shared" si="2"/>
        <v>0.65817149124525043</v>
      </c>
      <c r="O14" s="49">
        <f t="shared" si="3"/>
        <v>0.65369047619047627</v>
      </c>
      <c r="P14" s="49">
        <f t="shared" si="4"/>
        <v>-6.8082788671023353E-3</v>
      </c>
      <c r="Q14" s="49">
        <f t="shared" si="5"/>
        <v>6.8549492733751549E-3</v>
      </c>
      <c r="R14" s="50">
        <f>IF(N(INDEX(lr_aother,11))=0,1,INDEX(lr_aother,11))</f>
        <v>1</v>
      </c>
      <c r="S14" s="49">
        <f>IF(ISBLANK(INDEX(lr_trend,11)),N(nr_TrendDefault),N(INDEX(lr_trend,11)))</f>
        <v>0</v>
      </c>
      <c r="T14" s="77" t="str">
        <f>INDEX(lr_state,11)</f>
        <v>MD</v>
      </c>
      <c r="U14" s="77" t="str">
        <f>INDEX(lr_bu,11)</f>
        <v>BU-A</v>
      </c>
      <c r="V14" s="185">
        <f>N(INDEX(lr_ep,11))</f>
        <v>85500</v>
      </c>
      <c r="W14" s="50">
        <f>N(INDEX(lr_mind,11))*$V14</f>
        <v>72675</v>
      </c>
      <c r="X14" s="50">
        <f>N(INDEX(lr_m0,11))*$V14</f>
        <v>71820</v>
      </c>
      <c r="Y14" s="50">
        <f>N(INDEX(lr_m1,11))*$V14</f>
        <v>71820</v>
      </c>
      <c r="Z14" s="50">
        <f t="shared" si="6"/>
        <v>87210</v>
      </c>
      <c r="AA14" s="50">
        <f t="shared" si="7"/>
        <v>86616.25</v>
      </c>
      <c r="AB14" s="50">
        <f t="shared" si="8"/>
        <v>86086.09816287359</v>
      </c>
      <c r="AC14" s="50">
        <f t="shared" si="9"/>
        <v>71820</v>
      </c>
      <c r="AD14" s="50">
        <f t="shared" si="10"/>
        <v>86517.857142857145</v>
      </c>
      <c r="AE14" s="50">
        <f t="shared" si="11"/>
        <v>55233</v>
      </c>
      <c r="AF14" s="50">
        <f t="shared" si="12"/>
        <v>56273.662501468913</v>
      </c>
      <c r="AG14" s="50">
        <f t="shared" si="13"/>
        <v>0</v>
      </c>
      <c r="AH14" s="50">
        <f t="shared" si="14"/>
        <v>85500.000000000015</v>
      </c>
      <c r="AI14" s="50">
        <f t="shared" si="15"/>
        <v>86517.857142857145</v>
      </c>
      <c r="AJ14" s="50">
        <f t="shared" si="16"/>
        <v>55890.535714285717</v>
      </c>
      <c r="AK14" s="52">
        <f>IF($L$616,1,0)</f>
        <v>0</v>
      </c>
      <c r="AL14" s="49">
        <f>IF($L$616,$M$616,0)</f>
        <v>0</v>
      </c>
    </row>
    <row r="15" spans="1:38" x14ac:dyDescent="0.25">
      <c r="A15" s="77" t="str">
        <f>$A$670</f>
        <v>BU-A|MI</v>
      </c>
      <c r="B15" s="52">
        <f>$C$670</f>
        <v>12</v>
      </c>
      <c r="C15" s="50">
        <f>$B$721</f>
        <v>1</v>
      </c>
      <c r="D15" s="50">
        <f>$C$721</f>
        <v>1</v>
      </c>
      <c r="E15" s="50">
        <f>$D$721</f>
        <v>1</v>
      </c>
      <c r="F15" s="50">
        <f>$E$721</f>
        <v>1</v>
      </c>
      <c r="G15" s="169">
        <f>$F$721</f>
        <v>0.84299370897155379</v>
      </c>
      <c r="H15" s="169">
        <f>$G$721</f>
        <v>0.85298453455506928</v>
      </c>
      <c r="I15" s="50">
        <f t="shared" si="0"/>
        <v>1</v>
      </c>
      <c r="J15" s="50">
        <f t="shared" si="1"/>
        <v>1</v>
      </c>
      <c r="K15" s="50">
        <f>IF($L$670,1,IF(AND(nr_ModAdjMaster="ON",INDEX(lr_modadj,12)="ON"),$F$670/$G15,1))</f>
        <v>1.0083112020337539</v>
      </c>
      <c r="L15" s="50">
        <f>IF($L$670,1,IF(AND(nr_ModAdjMaster="ON",INDEX(lr_modadj,12)="ON"),$F$670/$H15,1))</f>
        <v>0.99650106838498997</v>
      </c>
      <c r="M15" s="49">
        <f>IF(INDEX(lr_basis,12)="proposed",N(INDEX(lr_lrproj,12))*(1+N(INDEX(lr_s,12))),N(INDEX(lr_lrproj,12)))</f>
        <v>0.63</v>
      </c>
      <c r="N15" s="49">
        <f t="shared" si="2"/>
        <v>0.63523605728126498</v>
      </c>
      <c r="O15" s="49">
        <f t="shared" si="3"/>
        <v>0.62779567308254369</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67500</v>
      </c>
      <c r="W15" s="50">
        <f>N(INDEX(lr_mind,12))*$V15</f>
        <v>57375</v>
      </c>
      <c r="X15" s="50">
        <f>N(INDEX(lr_m0,12))*$V15</f>
        <v>56700</v>
      </c>
      <c r="Y15" s="50">
        <f>N(INDEX(lr_m1,12))*$V15</f>
        <v>57712.5</v>
      </c>
      <c r="Z15" s="50">
        <f t="shared" si="6"/>
        <v>67500</v>
      </c>
      <c r="AA15" s="50">
        <f t="shared" si="7"/>
        <v>67500</v>
      </c>
      <c r="AB15" s="50">
        <f t="shared" si="8"/>
        <v>67500</v>
      </c>
      <c r="AC15" s="50">
        <f t="shared" si="9"/>
        <v>56902.07535557988</v>
      </c>
      <c r="AD15" s="50">
        <f t="shared" si="10"/>
        <v>68061.006137278382</v>
      </c>
      <c r="AE15" s="50">
        <f t="shared" si="11"/>
        <v>42525</v>
      </c>
      <c r="AF15" s="50">
        <f t="shared" si="12"/>
        <v>42878.433866485386</v>
      </c>
      <c r="AG15" s="50">
        <f t="shared" si="13"/>
        <v>0</v>
      </c>
      <c r="AH15" s="50">
        <f t="shared" si="14"/>
        <v>67500</v>
      </c>
      <c r="AI15" s="50">
        <f t="shared" si="15"/>
        <v>67263.822115986826</v>
      </c>
      <c r="AJ15" s="50">
        <f t="shared" si="16"/>
        <v>42376.207933071702</v>
      </c>
      <c r="AK15" s="52">
        <f>IF($L$670,1,0)</f>
        <v>0</v>
      </c>
      <c r="AL15" s="49">
        <f>IF($L$670,$M$670,0)</f>
        <v>0</v>
      </c>
    </row>
    <row r="16" spans="1:38" x14ac:dyDescent="0.25">
      <c r="A16" s="77" t="str">
        <f>$A$724</f>
        <v>BU-A|MN</v>
      </c>
      <c r="B16" s="52">
        <f>$C$724</f>
        <v>12</v>
      </c>
      <c r="C16" s="50">
        <f>$B$775</f>
        <v>1.04</v>
      </c>
      <c r="D16" s="50">
        <f>$C$775</f>
        <v>1.02</v>
      </c>
      <c r="E16" s="50">
        <f>$D$775</f>
        <v>1.0400000000000003</v>
      </c>
      <c r="F16" s="50">
        <f>$E$775</f>
        <v>1.0400000000000003</v>
      </c>
      <c r="G16" s="169">
        <f>$F$775</f>
        <v>0.83900209700948214</v>
      </c>
      <c r="H16" s="169">
        <f>$G$775</f>
        <v>0.8356718218149769</v>
      </c>
      <c r="I16" s="50">
        <f t="shared" si="0"/>
        <v>0.99999999999999978</v>
      </c>
      <c r="J16" s="50">
        <f t="shared" si="1"/>
        <v>0.99999999999999978</v>
      </c>
      <c r="K16" s="50">
        <f>IF($L$724,1,IF(AND(nr_ModAdjMaster="ON",INDEX(lr_modadj,13)="ON"),$F$724/$G16,1))</f>
        <v>1.0131083140670547</v>
      </c>
      <c r="L16" s="50">
        <f>IF($L$724,1,IF(AND(nr_ModAdjMaster="ON",INDEX(lr_modadj,13)="ON"),$F$724/$H16,1))</f>
        <v>1.0171456997962478</v>
      </c>
      <c r="M16" s="49">
        <f>IF(INDEX(lr_basis,13)="proposed",N(INDEX(lr_lrproj,13))*(1+N(INDEX(lr_s,13))),N(INDEX(lr_lrproj,13)))</f>
        <v>0.65800000000000003</v>
      </c>
      <c r="N16" s="49">
        <f t="shared" si="2"/>
        <v>0.66662527065612187</v>
      </c>
      <c r="O16" s="49">
        <f t="shared" si="3"/>
        <v>0.66928187046593102</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49500</v>
      </c>
      <c r="W16" s="50">
        <f>N(INDEX(lr_mind,13))*$V16</f>
        <v>42075</v>
      </c>
      <c r="X16" s="50">
        <f>N(INDEX(lr_m0,13))*$V16</f>
        <v>41580</v>
      </c>
      <c r="Y16" s="50">
        <f>N(INDEX(lr_m1,13))*$V16</f>
        <v>41332.5</v>
      </c>
      <c r="Z16" s="50">
        <f t="shared" si="6"/>
        <v>51480</v>
      </c>
      <c r="AA16" s="50">
        <f t="shared" si="7"/>
        <v>51480.000000000015</v>
      </c>
      <c r="AB16" s="50">
        <f t="shared" si="8"/>
        <v>49499.999999999985</v>
      </c>
      <c r="AC16" s="50">
        <f t="shared" si="9"/>
        <v>41530.603801969366</v>
      </c>
      <c r="AD16" s="50">
        <f t="shared" si="10"/>
        <v>50148.861546319211</v>
      </c>
      <c r="AE16" s="50">
        <f t="shared" si="11"/>
        <v>32571</v>
      </c>
      <c r="AF16" s="50">
        <f t="shared" si="12"/>
        <v>32997.950897478033</v>
      </c>
      <c r="AG16" s="50">
        <f t="shared" si="13"/>
        <v>0</v>
      </c>
      <c r="AH16" s="50">
        <f t="shared" si="14"/>
        <v>49499.999999999985</v>
      </c>
      <c r="AI16" s="50">
        <f t="shared" si="15"/>
        <v>50348.712139914263</v>
      </c>
      <c r="AJ16" s="50">
        <f t="shared" si="16"/>
        <v>33129.452588063585</v>
      </c>
      <c r="AK16" s="52">
        <f>IF($L$724,1,0)</f>
        <v>0</v>
      </c>
      <c r="AL16" s="49">
        <f>IF($L$724,$M$724,0)</f>
        <v>0</v>
      </c>
    </row>
    <row r="17" spans="1:38" x14ac:dyDescent="0.25">
      <c r="A17" s="77" t="str">
        <f>$A$778</f>
        <v>BU-A|MO</v>
      </c>
      <c r="B17" s="52">
        <f>$C$778</f>
        <v>12</v>
      </c>
      <c r="C17" s="50">
        <f>$B$829</f>
        <v>1.05</v>
      </c>
      <c r="D17" s="50">
        <f>$C$829</f>
        <v>1.0210069444444445</v>
      </c>
      <c r="E17" s="50">
        <f>$D$829</f>
        <v>1.0616388888888888</v>
      </c>
      <c r="F17" s="50">
        <f>$E$829</f>
        <v>1.0906875</v>
      </c>
      <c r="G17" s="169">
        <f>$F$829</f>
        <v>0.84199580598103541</v>
      </c>
      <c r="H17" s="169">
        <f>$G$829</f>
        <v>0.84865635637004611</v>
      </c>
      <c r="I17" s="50">
        <f t="shared" si="0"/>
        <v>0.9890368664800232</v>
      </c>
      <c r="J17" s="50">
        <f t="shared" si="1"/>
        <v>0.96269554753309272</v>
      </c>
      <c r="K17" s="50">
        <f>IF($L$778,1,IF(AND(nr_ModAdjMaster="ON",INDEX(lr_modadj,14)="ON"),$F$778/$G17,1))</f>
        <v>1.0095062160192576</v>
      </c>
      <c r="L17" s="50">
        <f>IF($L$778,1,IF(AND(nr_ModAdjMaster="ON",INDEX(lr_modadj,14)="ON"),$F$778/$H17,1))</f>
        <v>1.0015832599613124</v>
      </c>
      <c r="M17" s="49">
        <f>IF(INDEX(lr_basis,14)="proposed",N(INDEX(lr_lrproj,14))*(1+N(INDEX(lr_s,14))),N(INDEX(lr_lrproj,14)))</f>
        <v>0.64200000000000002</v>
      </c>
      <c r="N17" s="49">
        <f t="shared" si="2"/>
        <v>0.64099775106279444</v>
      </c>
      <c r="O17" s="49">
        <f t="shared" si="3"/>
        <v>0.61902907619269565</v>
      </c>
      <c r="P17" s="49">
        <f t="shared" si="4"/>
        <v>1.108465608465603E-2</v>
      </c>
      <c r="Q17" s="49">
        <f t="shared" si="5"/>
        <v>2.7362045056124051E-2</v>
      </c>
      <c r="R17" s="50">
        <f>IF(N(INDEX(lr_aother,14))=0,1,INDEX(lr_aother,14))</f>
        <v>1</v>
      </c>
      <c r="S17" s="49">
        <f>IF(ISBLANK(INDEX(lr_trend,14)),N(nr_TrendDefault),N(INDEX(lr_trend,14)))</f>
        <v>0</v>
      </c>
      <c r="T17" s="77" t="str">
        <f>INDEX(lr_state,14)</f>
        <v>MO</v>
      </c>
      <c r="U17" s="77" t="str">
        <f>INDEX(lr_bu,14)</f>
        <v>BU-A</v>
      </c>
      <c r="V17" s="185">
        <f>N(INDEX(lr_ep,14))</f>
        <v>108000</v>
      </c>
      <c r="W17" s="50">
        <f>N(INDEX(lr_mind,14))*$V17</f>
        <v>91800</v>
      </c>
      <c r="X17" s="50">
        <f>N(INDEX(lr_m0,14))*$V17</f>
        <v>90720</v>
      </c>
      <c r="Y17" s="50">
        <f>N(INDEX(lr_m1,14))*$V17</f>
        <v>91800</v>
      </c>
      <c r="Z17" s="50">
        <f t="shared" si="6"/>
        <v>113400</v>
      </c>
      <c r="AA17" s="50">
        <f t="shared" si="7"/>
        <v>114656.99999999999</v>
      </c>
      <c r="AB17" s="50">
        <f t="shared" si="8"/>
        <v>106815.98157984251</v>
      </c>
      <c r="AC17" s="50">
        <f t="shared" si="9"/>
        <v>90935.547045951826</v>
      </c>
      <c r="AD17" s="50">
        <f t="shared" si="10"/>
        <v>109026.67133007981</v>
      </c>
      <c r="AE17" s="50">
        <f t="shared" si="11"/>
        <v>69336</v>
      </c>
      <c r="AF17" s="50">
        <f t="shared" si="12"/>
        <v>69227.757114781794</v>
      </c>
      <c r="AG17" s="50">
        <f t="shared" si="13"/>
        <v>0</v>
      </c>
      <c r="AH17" s="50">
        <f t="shared" si="14"/>
        <v>103971.11913357401</v>
      </c>
      <c r="AI17" s="50">
        <f t="shared" si="15"/>
        <v>108170.99207582173</v>
      </c>
      <c r="AJ17" s="50">
        <f t="shared" si="16"/>
        <v>66855.140228811128</v>
      </c>
      <c r="AK17" s="52">
        <f>IF($L$778,1,0)</f>
        <v>0</v>
      </c>
      <c r="AL17" s="49">
        <f>IF($L$778,$M$778,0)</f>
        <v>0</v>
      </c>
    </row>
    <row r="18" spans="1:38" x14ac:dyDescent="0.25">
      <c r="A18" s="77" t="str">
        <f>$A$832</f>
        <v>BU-A|NC</v>
      </c>
      <c r="B18" s="52">
        <f>$C$832</f>
        <v>12</v>
      </c>
      <c r="C18" s="50">
        <f>$B$883</f>
        <v>1</v>
      </c>
      <c r="D18" s="50">
        <f>$C$883</f>
        <v>1</v>
      </c>
      <c r="E18" s="50">
        <f>$D$883</f>
        <v>1</v>
      </c>
      <c r="F18" s="50">
        <f>$E$883</f>
        <v>1</v>
      </c>
      <c r="G18" s="169">
        <f>$F$883</f>
        <v>0.8380041940189642</v>
      </c>
      <c r="H18" s="169">
        <f>$G$883</f>
        <v>0.83134364362995383</v>
      </c>
      <c r="I18" s="50">
        <f t="shared" si="0"/>
        <v>1</v>
      </c>
      <c r="J18" s="50">
        <f t="shared" si="1"/>
        <v>1</v>
      </c>
      <c r="K18" s="50">
        <f>IF($L$832,1,IF(AND(nr_ModAdjMaster="ON",INDEX(lr_modadj,15)="ON"),$F$832/$G18,1))</f>
        <v>1.0143147326309971</v>
      </c>
      <c r="L18" s="50">
        <f>IF($L$832,1,IF(AND(nr_ModAdjMaster="ON",INDEX(lr_modadj,15)="ON"),$F$832/$H18,1))</f>
        <v>1.0224412088947785</v>
      </c>
      <c r="M18" s="49">
        <f>IF(INDEX(lr_basis,15)="proposed",N(INDEX(lr_lrproj,15))*(1+N(INDEX(lr_s,15))),N(INDEX(lr_lrproj,15)))</f>
        <v>0.67</v>
      </c>
      <c r="N18" s="49">
        <f t="shared" si="2"/>
        <v>0.67959087086276815</v>
      </c>
      <c r="O18" s="49">
        <f t="shared" si="3"/>
        <v>0.68503560995950163</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90000</v>
      </c>
      <c r="W18" s="50">
        <f>N(INDEX(lr_mind,15))*$V18</f>
        <v>76500</v>
      </c>
      <c r="X18" s="50">
        <f>N(INDEX(lr_m0,15))*$V18</f>
        <v>75600</v>
      </c>
      <c r="Y18" s="50">
        <f>N(INDEX(lr_m1,15))*$V18</f>
        <v>74700</v>
      </c>
      <c r="Z18" s="50">
        <f t="shared" si="6"/>
        <v>90000</v>
      </c>
      <c r="AA18" s="50">
        <f t="shared" si="7"/>
        <v>90000</v>
      </c>
      <c r="AB18" s="50">
        <f t="shared" si="8"/>
        <v>90000</v>
      </c>
      <c r="AC18" s="50">
        <f t="shared" si="9"/>
        <v>75420.377461706783</v>
      </c>
      <c r="AD18" s="50">
        <f t="shared" si="10"/>
        <v>91288.325936789741</v>
      </c>
      <c r="AE18" s="50">
        <f t="shared" si="11"/>
        <v>60300</v>
      </c>
      <c r="AF18" s="50">
        <f t="shared" si="12"/>
        <v>61163.178377649136</v>
      </c>
      <c r="AG18" s="50">
        <f t="shared" si="13"/>
        <v>0</v>
      </c>
      <c r="AH18" s="50">
        <f t="shared" si="14"/>
        <v>90000</v>
      </c>
      <c r="AI18" s="50">
        <f t="shared" si="15"/>
        <v>92019.708800530061</v>
      </c>
      <c r="AJ18" s="50">
        <f t="shared" si="16"/>
        <v>61653.20489635515</v>
      </c>
      <c r="AK18" s="52">
        <f>IF($L$832,1,0)</f>
        <v>0</v>
      </c>
      <c r="AL18" s="49">
        <f>IF($L$832,$M$832,0)</f>
        <v>0</v>
      </c>
    </row>
    <row r="19" spans="1:38" x14ac:dyDescent="0.25">
      <c r="A19" s="77" t="str">
        <f>$A$886</f>
        <v>BU-A|NJ</v>
      </c>
      <c r="B19" s="52">
        <f>$C$886</f>
        <v>12</v>
      </c>
      <c r="C19" s="50">
        <f>$B$937</f>
        <v>1.02</v>
      </c>
      <c r="D19" s="50">
        <f>$C$937</f>
        <v>1.005625</v>
      </c>
      <c r="E19" s="50">
        <f>$D$937</f>
        <v>1.0193749999999999</v>
      </c>
      <c r="F19" s="50">
        <f>$E$937</f>
        <v>1.0199999999999998</v>
      </c>
      <c r="G19" s="169">
        <f>$F$937</f>
        <v>0.84099790299051769</v>
      </c>
      <c r="H19" s="169">
        <f>$G$937</f>
        <v>0.84432817818502282</v>
      </c>
      <c r="I19" s="50">
        <f t="shared" si="0"/>
        <v>1.0006131207847948</v>
      </c>
      <c r="J19" s="50">
        <f t="shared" si="1"/>
        <v>1.0000000000000002</v>
      </c>
      <c r="K19" s="50">
        <f>IF($L$886,1,IF(AND(nr_ModAdjMaster="ON",INDEX(lr_modadj,16)="ON"),$F$886/$G19,1))</f>
        <v>1.0107040659405588</v>
      </c>
      <c r="L19" s="50">
        <f>IF($L$886,1,IF(AND(nr_ModAdjMaster="ON",INDEX(lr_modadj,16)="ON"),$F$886/$H19,1))</f>
        <v>1.0067175559948376</v>
      </c>
      <c r="M19" s="49">
        <f>IF(INDEX(lr_basis,16)="proposed",N(INDEX(lr_lrproj,16))*(1+N(INDEX(lr_s,16))),N(INDEX(lr_lrproj,16)))</f>
        <v>0.65400000000000003</v>
      </c>
      <c r="N19" s="49">
        <f t="shared" si="2"/>
        <v>0.66140573224537402</v>
      </c>
      <c r="O19" s="49">
        <f t="shared" si="3"/>
        <v>0.65839328162062394</v>
      </c>
      <c r="P19" s="49">
        <f t="shared" si="4"/>
        <v>-6.1274509803932453E-4</v>
      </c>
      <c r="Q19" s="49">
        <f t="shared" si="5"/>
        <v>6.1312078479458521E-4</v>
      </c>
      <c r="R19" s="50">
        <f>IF(N(INDEX(lr_aother,16))=0,1,INDEX(lr_aother,16))</f>
        <v>1</v>
      </c>
      <c r="S19" s="49">
        <f>IF(ISBLANK(INDEX(lr_trend,16)),N(nr_TrendDefault),N(INDEX(lr_trend,16)))</f>
        <v>0</v>
      </c>
      <c r="T19" s="77" t="str">
        <f>INDEX(lr_state,16)</f>
        <v>NJ</v>
      </c>
      <c r="U19" s="77" t="str">
        <f>INDEX(lr_bu,16)</f>
        <v>BU-A</v>
      </c>
      <c r="V19" s="185">
        <f>N(INDEX(lr_ep,16))</f>
        <v>72000</v>
      </c>
      <c r="W19" s="50">
        <f>N(INDEX(lr_mind,16))*$V19</f>
        <v>61200</v>
      </c>
      <c r="X19" s="50">
        <f>N(INDEX(lr_m0,16))*$V19</f>
        <v>60480</v>
      </c>
      <c r="Y19" s="50">
        <f>N(INDEX(lr_m1,16))*$V19</f>
        <v>60840</v>
      </c>
      <c r="Z19" s="50">
        <f t="shared" si="6"/>
        <v>73440</v>
      </c>
      <c r="AA19" s="50">
        <f t="shared" si="7"/>
        <v>73395</v>
      </c>
      <c r="AB19" s="50">
        <f t="shared" si="8"/>
        <v>72044.144696505231</v>
      </c>
      <c r="AC19" s="50">
        <f t="shared" si="9"/>
        <v>60551.849015317275</v>
      </c>
      <c r="AD19" s="50">
        <f t="shared" si="10"/>
        <v>72770.692747720241</v>
      </c>
      <c r="AE19" s="50">
        <f t="shared" si="11"/>
        <v>47088</v>
      </c>
      <c r="AF19" s="50">
        <f t="shared" si="12"/>
        <v>47621.212721666932</v>
      </c>
      <c r="AG19" s="50">
        <f t="shared" si="13"/>
        <v>0</v>
      </c>
      <c r="AH19" s="50">
        <f t="shared" si="14"/>
        <v>72000.000000000015</v>
      </c>
      <c r="AI19" s="50">
        <f t="shared" si="15"/>
        <v>72483.664031628301</v>
      </c>
      <c r="AJ19" s="50">
        <f t="shared" si="16"/>
        <v>47404.31627668492</v>
      </c>
      <c r="AK19" s="52">
        <f>IF($L$886,1,0)</f>
        <v>0</v>
      </c>
      <c r="AL19" s="49">
        <f>IF($L$886,$M$886,0)</f>
        <v>0</v>
      </c>
    </row>
    <row r="20" spans="1:38" x14ac:dyDescent="0.25">
      <c r="A20" s="77" t="str">
        <f>$A$940</f>
        <v>BU-A|NY</v>
      </c>
      <c r="B20" s="52">
        <f>$C$940</f>
        <v>12</v>
      </c>
      <c r="C20" s="50">
        <f>$B$991</f>
        <v>1.03</v>
      </c>
      <c r="D20" s="50">
        <f>$C$991</f>
        <v>1.006666666666667</v>
      </c>
      <c r="E20" s="50">
        <f>$D$991</f>
        <v>1.0283333333333335</v>
      </c>
      <c r="F20" s="50">
        <f>$E$991</f>
        <v>1.0300000000000002</v>
      </c>
      <c r="G20" s="169">
        <f>$F$991</f>
        <v>0.84399161196207151</v>
      </c>
      <c r="H20" s="169">
        <f>$G$991</f>
        <v>0.85731271274009246</v>
      </c>
      <c r="I20" s="50">
        <f t="shared" si="0"/>
        <v>1.0016207455429496</v>
      </c>
      <c r="J20" s="50">
        <f t="shared" si="1"/>
        <v>0.99999999999999978</v>
      </c>
      <c r="K20" s="50">
        <f>IF($L$940,1,IF(AND(nr_ModAdjMaster="ON",INDEX(lr_modadj,17)="ON"),$F$940/$G20,1))</f>
        <v>1.0071190139247479</v>
      </c>
      <c r="L20" s="50">
        <f>IF($L$940,1,IF(AND(nr_ModAdjMaster="ON",INDEX(lr_modadj,17)="ON"),$F$940/$H20,1))</f>
        <v>0.99147019211144083</v>
      </c>
      <c r="M20" s="49">
        <f>IF(INDEX(lr_basis,17)="proposed",N(INDEX(lr_lrproj,17))*(1+N(INDEX(lr_s,17))),N(INDEX(lr_lrproj,17)))</f>
        <v>0.63800000000000001</v>
      </c>
      <c r="N20" s="49">
        <f t="shared" si="2"/>
        <v>0.64358332785462757</v>
      </c>
      <c r="O20" s="49">
        <f t="shared" si="3"/>
        <v>0.63255798256709916</v>
      </c>
      <c r="P20" s="49">
        <f t="shared" si="4"/>
        <v>-1.6181229773460926E-3</v>
      </c>
      <c r="Q20" s="49">
        <f t="shared" si="5"/>
        <v>1.6207455429497752E-3</v>
      </c>
      <c r="R20" s="50">
        <f>IF(N(INDEX(lr_aother,17))=0,1,INDEX(lr_aother,17))</f>
        <v>1</v>
      </c>
      <c r="S20" s="49">
        <f>IF(ISBLANK(INDEX(lr_trend,17)),N(nr_TrendDefault),N(INDEX(lr_trend,17)))</f>
        <v>0</v>
      </c>
      <c r="T20" s="77" t="str">
        <f>INDEX(lr_state,17)</f>
        <v>NY</v>
      </c>
      <c r="U20" s="77" t="str">
        <f>INDEX(lr_bu,17)</f>
        <v>BU-A</v>
      </c>
      <c r="V20" s="185">
        <f>N(INDEX(lr_ep,17))</f>
        <v>54000</v>
      </c>
      <c r="W20" s="50">
        <f>N(INDEX(lr_mind,17))*$V20</f>
        <v>45900</v>
      </c>
      <c r="X20" s="50">
        <f>N(INDEX(lr_m0,17))*$V20</f>
        <v>45360</v>
      </c>
      <c r="Y20" s="50">
        <f>N(INDEX(lr_m1,17))*$V20</f>
        <v>46440</v>
      </c>
      <c r="Z20" s="50">
        <f t="shared" si="6"/>
        <v>55620</v>
      </c>
      <c r="AA20" s="50">
        <f t="shared" si="7"/>
        <v>55530.000000000015</v>
      </c>
      <c r="AB20" s="50">
        <f t="shared" si="8"/>
        <v>54087.520259319273</v>
      </c>
      <c r="AC20" s="50">
        <f t="shared" si="9"/>
        <v>45575.547045951862</v>
      </c>
      <c r="AD20" s="50">
        <f t="shared" si="10"/>
        <v>54384.426751936386</v>
      </c>
      <c r="AE20" s="50">
        <f t="shared" si="11"/>
        <v>34452</v>
      </c>
      <c r="AF20" s="50">
        <f t="shared" si="12"/>
        <v>34753.499704149886</v>
      </c>
      <c r="AG20" s="50">
        <f t="shared" si="13"/>
        <v>0</v>
      </c>
      <c r="AH20" s="50">
        <f t="shared" si="14"/>
        <v>53999.999999999985</v>
      </c>
      <c r="AI20" s="50">
        <f t="shared" si="15"/>
        <v>53539.390374017807</v>
      </c>
      <c r="AJ20" s="50">
        <f t="shared" si="16"/>
        <v>34158.131058623352</v>
      </c>
      <c r="AK20" s="52">
        <f>IF($L$940,1,0)</f>
        <v>0</v>
      </c>
      <c r="AL20" s="49">
        <f>IF($L$940,$M$940,0)</f>
        <v>0</v>
      </c>
    </row>
    <row r="21" spans="1:38" x14ac:dyDescent="0.25">
      <c r="A21" s="77" t="str">
        <f>$A$994</f>
        <v>BU-A|OH</v>
      </c>
      <c r="B21" s="52">
        <f>$C$994</f>
        <v>12</v>
      </c>
      <c r="C21" s="50">
        <f>$B$1045</f>
        <v>1</v>
      </c>
      <c r="D21" s="50">
        <f>$C$1045</f>
        <v>1</v>
      </c>
      <c r="E21" s="50">
        <f>$D$1045</f>
        <v>1.0034722222222223</v>
      </c>
      <c r="F21" s="50">
        <f>$E$1045</f>
        <v>1.0331944444444445</v>
      </c>
      <c r="G21" s="169">
        <f>$F$1045</f>
        <v>0.84</v>
      </c>
      <c r="H21" s="169">
        <f>$G$1045</f>
        <v>0.84</v>
      </c>
      <c r="I21" s="50">
        <f t="shared" si="0"/>
        <v>0.9965397923875432</v>
      </c>
      <c r="J21" s="50">
        <f t="shared" si="1"/>
        <v>0.9678720258099206</v>
      </c>
      <c r="K21" s="50">
        <f>IF($L$994,1,IF(AND(nr_ModAdjMaster="ON",INDEX(lr_modadj,18)="ON"),$F$994/$G21,1))</f>
        <v>1.0119047619047619</v>
      </c>
      <c r="L21" s="50">
        <f>IF($L$994,1,IF(AND(nr_ModAdjMaster="ON",INDEX(lr_modadj,18)="ON"),$F$994/$H21,1))</f>
        <v>1.0119047619047619</v>
      </c>
      <c r="M21" s="49">
        <f>IF(INDEX(lr_basis,18)="proposed",N(INDEX(lr_lrproj,18))*(1+N(INDEX(lr_s,18))),N(INDEX(lr_lrproj,18)))</f>
        <v>0.66600000000000004</v>
      </c>
      <c r="N21" s="49">
        <f t="shared" si="2"/>
        <v>0.67159663865546215</v>
      </c>
      <c r="O21" s="49">
        <f t="shared" si="3"/>
        <v>0.65227661167975726</v>
      </c>
      <c r="P21" s="49">
        <f t="shared" si="4"/>
        <v>3.4722222222223209E-3</v>
      </c>
      <c r="Q21" s="49">
        <f t="shared" si="5"/>
        <v>2.9619377162629634E-2</v>
      </c>
      <c r="R21" s="50">
        <f>IF(N(INDEX(lr_aother,18))=0,1,INDEX(lr_aother,18))</f>
        <v>1</v>
      </c>
      <c r="S21" s="49">
        <f>IF(ISBLANK(INDEX(lr_trend,18)),N(nr_TrendDefault),N(INDEX(lr_trend,18)))</f>
        <v>0</v>
      </c>
      <c r="T21" s="77" t="str">
        <f>INDEX(lr_state,18)</f>
        <v>OH</v>
      </c>
      <c r="U21" s="77" t="str">
        <f>INDEX(lr_bu,18)</f>
        <v>BU-A</v>
      </c>
      <c r="V21" s="185">
        <f>N(INDEX(lr_ep,18))</f>
        <v>36000</v>
      </c>
      <c r="W21" s="50">
        <f>N(INDEX(lr_mind,18))*$V21</f>
        <v>30600</v>
      </c>
      <c r="X21" s="50">
        <f>N(INDEX(lr_m0,18))*$V21</f>
        <v>30240</v>
      </c>
      <c r="Y21" s="50">
        <f>N(INDEX(lr_m1,18))*$V21</f>
        <v>30240</v>
      </c>
      <c r="Z21" s="50">
        <f t="shared" si="6"/>
        <v>36000</v>
      </c>
      <c r="AA21" s="50">
        <f t="shared" si="7"/>
        <v>36125</v>
      </c>
      <c r="AB21" s="50">
        <f t="shared" si="8"/>
        <v>35875.432525951554</v>
      </c>
      <c r="AC21" s="50">
        <f t="shared" si="9"/>
        <v>30240</v>
      </c>
      <c r="AD21" s="50">
        <f t="shared" si="10"/>
        <v>36428.571428571428</v>
      </c>
      <c r="AE21" s="50">
        <f t="shared" si="11"/>
        <v>23976</v>
      </c>
      <c r="AF21" s="50">
        <f t="shared" si="12"/>
        <v>24177.478991596636</v>
      </c>
      <c r="AG21" s="50">
        <f t="shared" si="13"/>
        <v>0</v>
      </c>
      <c r="AH21" s="50">
        <f t="shared" si="14"/>
        <v>34843.39292915714</v>
      </c>
      <c r="AI21" s="50">
        <f t="shared" si="15"/>
        <v>36428.571428571428</v>
      </c>
      <c r="AJ21" s="50">
        <f t="shared" si="16"/>
        <v>23481.958020471262</v>
      </c>
      <c r="AK21" s="52">
        <f>IF($L$994,1,0)</f>
        <v>0</v>
      </c>
      <c r="AL21" s="49">
        <f>IF($L$994,$M$994,0)</f>
        <v>0</v>
      </c>
    </row>
    <row r="22" spans="1:38" x14ac:dyDescent="0.25">
      <c r="A22" s="77" t="str">
        <f>$A$1048</f>
        <v>BU-A|PA</v>
      </c>
      <c r="B22" s="52">
        <f>$C$1048</f>
        <v>12</v>
      </c>
      <c r="C22" s="50">
        <f>$B$1099</f>
        <v>1.05</v>
      </c>
      <c r="D22" s="50">
        <f>$C$1099</f>
        <v>1.0062499999999999</v>
      </c>
      <c r="E22" s="50">
        <f>$D$1099</f>
        <v>1.04375</v>
      </c>
      <c r="F22" s="50">
        <f>$E$1099</f>
        <v>1.05</v>
      </c>
      <c r="G22" s="169">
        <f>$F$1099</f>
        <v>0.84299370897155379</v>
      </c>
      <c r="H22" s="169">
        <f>$G$1099</f>
        <v>0.85298453455506928</v>
      </c>
      <c r="I22" s="50">
        <f t="shared" si="0"/>
        <v>1.005988023952096</v>
      </c>
      <c r="J22" s="50">
        <f t="shared" si="1"/>
        <v>1</v>
      </c>
      <c r="K22" s="50">
        <f>IF($L$1048,1,IF(AND(nr_ModAdjMaster="ON",INDEX(lr_modadj,19)="ON"),$F$1048/$G22,1))</f>
        <v>1.0083112020337539</v>
      </c>
      <c r="L22" s="50">
        <f>IF($L$1048,1,IF(AND(nr_ModAdjMaster="ON",INDEX(lr_modadj,19)="ON"),$F$1048/$H22,1))</f>
        <v>0.99650106838498997</v>
      </c>
      <c r="M22" s="49">
        <f>IF(INDEX(lr_basis,19)="proposed",N(INDEX(lr_lrproj,19))*(1+N(INDEX(lr_s,19))),N(INDEX(lr_lrproj,19)))</f>
        <v>0.65</v>
      </c>
      <c r="N22" s="49">
        <f t="shared" si="2"/>
        <v>0.65932684588075419</v>
      </c>
      <c r="O22" s="49">
        <f t="shared" si="3"/>
        <v>0.64772569445024353</v>
      </c>
      <c r="P22" s="49">
        <f t="shared" si="4"/>
        <v>-5.9523809523810423E-3</v>
      </c>
      <c r="Q22" s="49">
        <f t="shared" si="5"/>
        <v>5.9880239520959666E-3</v>
      </c>
      <c r="R22" s="50">
        <f>IF(N(INDEX(lr_aother,19))=0,1,INDEX(lr_aother,19))</f>
        <v>1</v>
      </c>
      <c r="S22" s="49">
        <f>IF(ISBLANK(INDEX(lr_trend,19)),N(nr_TrendDefault),N(INDEX(lr_trend,19)))</f>
        <v>0</v>
      </c>
      <c r="T22" s="77" t="str">
        <f>INDEX(lr_state,19)</f>
        <v>PA</v>
      </c>
      <c r="U22" s="77" t="str">
        <f>INDEX(lr_bu,19)</f>
        <v>BU-A</v>
      </c>
      <c r="V22" s="185">
        <f>N(INDEX(lr_ep,19))</f>
        <v>94500</v>
      </c>
      <c r="W22" s="50">
        <f>N(INDEX(lr_mind,19))*$V22</f>
        <v>80325</v>
      </c>
      <c r="X22" s="50">
        <f>N(INDEX(lr_m0,19))*$V22</f>
        <v>79380</v>
      </c>
      <c r="Y22" s="50">
        <f>N(INDEX(lr_m1,19))*$V22</f>
        <v>80797.5</v>
      </c>
      <c r="Z22" s="50">
        <f t="shared" si="6"/>
        <v>99225</v>
      </c>
      <c r="AA22" s="50">
        <f t="shared" si="7"/>
        <v>98634.375</v>
      </c>
      <c r="AB22" s="50">
        <f t="shared" si="8"/>
        <v>95065.868263473065</v>
      </c>
      <c r="AC22" s="50">
        <f t="shared" si="9"/>
        <v>79662.905497811837</v>
      </c>
      <c r="AD22" s="50">
        <f t="shared" si="10"/>
        <v>95285.408592189749</v>
      </c>
      <c r="AE22" s="50">
        <f t="shared" si="11"/>
        <v>61425</v>
      </c>
      <c r="AF22" s="50">
        <f t="shared" si="12"/>
        <v>62306.386935731272</v>
      </c>
      <c r="AG22" s="50">
        <f t="shared" si="13"/>
        <v>0</v>
      </c>
      <c r="AH22" s="50">
        <f t="shared" si="14"/>
        <v>94500</v>
      </c>
      <c r="AI22" s="50">
        <f t="shared" si="15"/>
        <v>94169.350962381548</v>
      </c>
      <c r="AJ22" s="50">
        <f t="shared" si="16"/>
        <v>61210.078125548011</v>
      </c>
      <c r="AK22" s="52">
        <f>IF($L$1048,1,0)</f>
        <v>0</v>
      </c>
      <c r="AL22" s="49">
        <f>IF($L$1048,$M$1048,0)</f>
        <v>0</v>
      </c>
    </row>
    <row r="23" spans="1:38" x14ac:dyDescent="0.25">
      <c r="A23" s="77" t="str">
        <f>$A$1102</f>
        <v>BU-A|TN</v>
      </c>
      <c r="B23" s="52">
        <f>$C$1102</f>
        <v>12</v>
      </c>
      <c r="C23" s="50">
        <f>$B$1153</f>
        <v>1.06</v>
      </c>
      <c r="D23" s="50">
        <f>$C$1153</f>
        <v>1.0052083333333335</v>
      </c>
      <c r="E23" s="50">
        <f>$D$1153</f>
        <v>1.0497916666666667</v>
      </c>
      <c r="F23" s="50">
        <f>$E$1153</f>
        <v>1.0600000000000003</v>
      </c>
      <c r="G23" s="169">
        <f>$F$1153</f>
        <v>0.83900209700948214</v>
      </c>
      <c r="H23" s="169">
        <f>$G$1153</f>
        <v>0.8356718218149769</v>
      </c>
      <c r="I23" s="50">
        <f t="shared" si="0"/>
        <v>1.0097241516173845</v>
      </c>
      <c r="J23" s="50">
        <f t="shared" si="1"/>
        <v>0.99999999999999978</v>
      </c>
      <c r="K23" s="50">
        <f>IF($L$1102,1,IF(AND(nr_ModAdjMaster="ON",INDEX(lr_modadj,20)="ON"),$F$1102/$G23,1))</f>
        <v>1.0131083140670547</v>
      </c>
      <c r="L23" s="50">
        <f>IF($L$1102,1,IF(AND(nr_ModAdjMaster="ON",INDEX(lr_modadj,20)="ON"),$F$1102/$H23,1))</f>
        <v>1.0171456997962478</v>
      </c>
      <c r="M23" s="49">
        <f>IF(INDEX(lr_basis,20)="proposed",N(INDEX(lr_lrproj,20))*(1+N(INDEX(lr_s,20))),N(INDEX(lr_lrproj,20)))</f>
        <v>0.63400000000000001</v>
      </c>
      <c r="N23" s="49">
        <f t="shared" si="2"/>
        <v>0.6485565974699331</v>
      </c>
      <c r="O23" s="49">
        <f t="shared" si="3"/>
        <v>0.64487037367082101</v>
      </c>
      <c r="P23" s="49">
        <f t="shared" si="4"/>
        <v>-9.630503144654079E-3</v>
      </c>
      <c r="Q23" s="49">
        <f t="shared" si="5"/>
        <v>9.7241516173847131E-3</v>
      </c>
      <c r="R23" s="50">
        <f>IF(N(INDEX(lr_aother,20))=0,1,INDEX(lr_aother,20))</f>
        <v>1</v>
      </c>
      <c r="S23" s="49">
        <f>IF(ISBLANK(INDEX(lr_trend,20)),N(nr_TrendDefault),N(INDEX(lr_trend,20)))</f>
        <v>0</v>
      </c>
      <c r="T23" s="77" t="str">
        <f>INDEX(lr_state,20)</f>
        <v>TN</v>
      </c>
      <c r="U23" s="77" t="str">
        <f>INDEX(lr_bu,20)</f>
        <v>BU-A</v>
      </c>
      <c r="V23" s="185">
        <f>N(INDEX(lr_ep,20))</f>
        <v>76500</v>
      </c>
      <c r="W23" s="50">
        <f>N(INDEX(lr_mind,20))*$V23</f>
        <v>65025</v>
      </c>
      <c r="X23" s="50">
        <f>N(INDEX(lr_m0,20))*$V23</f>
        <v>64260</v>
      </c>
      <c r="Y23" s="50">
        <f>N(INDEX(lr_m1,20))*$V23</f>
        <v>63877.5</v>
      </c>
      <c r="Z23" s="50">
        <f t="shared" si="6"/>
        <v>81090</v>
      </c>
      <c r="AA23" s="50">
        <f t="shared" si="7"/>
        <v>80309.0625</v>
      </c>
      <c r="AB23" s="50">
        <f t="shared" si="8"/>
        <v>77243.89759872992</v>
      </c>
      <c r="AC23" s="50">
        <f t="shared" si="9"/>
        <v>64183.660421225381</v>
      </c>
      <c r="AD23" s="50">
        <f t="shared" si="10"/>
        <v>77502.786026129688</v>
      </c>
      <c r="AE23" s="50">
        <f t="shared" si="11"/>
        <v>48501</v>
      </c>
      <c r="AF23" s="50">
        <f t="shared" si="12"/>
        <v>49614.579706449884</v>
      </c>
      <c r="AG23" s="50">
        <f t="shared" si="13"/>
        <v>0</v>
      </c>
      <c r="AH23" s="50">
        <f t="shared" si="14"/>
        <v>76499.999999999985</v>
      </c>
      <c r="AI23" s="50">
        <f t="shared" si="15"/>
        <v>77811.646034412959</v>
      </c>
      <c r="AJ23" s="50">
        <f t="shared" si="16"/>
        <v>49332.583585817803</v>
      </c>
      <c r="AK23" s="52">
        <f>IF($L$1102,1,0)</f>
        <v>0</v>
      </c>
      <c r="AL23" s="49">
        <f>IF($L$1102,$M$1102,0)</f>
        <v>0</v>
      </c>
    </row>
    <row r="24" spans="1:38" x14ac:dyDescent="0.25">
      <c r="A24" s="77" t="str">
        <f>$A$1156</f>
        <v>BU-A|TX</v>
      </c>
      <c r="B24" s="52">
        <f>$C$1156</f>
        <v>12</v>
      </c>
      <c r="C24" s="50">
        <f>$B$1207</f>
        <v>1</v>
      </c>
      <c r="D24" s="50">
        <f>$C$1207</f>
        <v>1</v>
      </c>
      <c r="E24" s="50">
        <f>$D$1207</f>
        <v>1</v>
      </c>
      <c r="F24" s="50">
        <f>$E$1207</f>
        <v>1</v>
      </c>
      <c r="G24" s="169">
        <f>$F$1207</f>
        <v>0.84199580598103541</v>
      </c>
      <c r="H24" s="169">
        <f>$G$1207</f>
        <v>0.84865635637004611</v>
      </c>
      <c r="I24" s="50">
        <f t="shared" si="0"/>
        <v>1</v>
      </c>
      <c r="J24" s="50">
        <f t="shared" si="1"/>
        <v>1</v>
      </c>
      <c r="K24" s="50">
        <f>IF($L$1156,1,IF(AND(nr_ModAdjMaster="ON",INDEX(lr_modadj,21)="ON"),$F$1156/$G24,1))</f>
        <v>1.0095062160192576</v>
      </c>
      <c r="L24" s="50">
        <f>IF($L$1156,1,IF(AND(nr_ModAdjMaster="ON",INDEX(lr_modadj,21)="ON"),$F$1156/$H24,1))</f>
        <v>1.0015832599613124</v>
      </c>
      <c r="M24" s="49">
        <f>IF(INDEX(lr_basis,21)="proposed",N(INDEX(lr_lrproj,21))*(1+N(INDEX(lr_s,21))),N(INDEX(lr_lrproj,21)))</f>
        <v>0.66200000000000003</v>
      </c>
      <c r="N24" s="49">
        <f t="shared" si="2"/>
        <v>0.66829311500474853</v>
      </c>
      <c r="O24" s="49">
        <f t="shared" si="3"/>
        <v>0.66304811809438879</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58500</v>
      </c>
      <c r="W24" s="50">
        <f>N(INDEX(lr_mind,21))*$V24</f>
        <v>49725</v>
      </c>
      <c r="X24" s="50">
        <f>N(INDEX(lr_m0,21))*$V24</f>
        <v>49140</v>
      </c>
      <c r="Y24" s="50">
        <f>N(INDEX(lr_m1,21))*$V24</f>
        <v>49725</v>
      </c>
      <c r="Z24" s="50">
        <f t="shared" si="6"/>
        <v>58500</v>
      </c>
      <c r="AA24" s="50">
        <f t="shared" si="7"/>
        <v>58500</v>
      </c>
      <c r="AB24" s="50">
        <f t="shared" si="8"/>
        <v>58500</v>
      </c>
      <c r="AC24" s="50">
        <f t="shared" si="9"/>
        <v>49256.754649890572</v>
      </c>
      <c r="AD24" s="50">
        <f t="shared" si="10"/>
        <v>59056.113637126567</v>
      </c>
      <c r="AE24" s="50">
        <f t="shared" si="11"/>
        <v>38727</v>
      </c>
      <c r="AF24" s="50">
        <f t="shared" si="12"/>
        <v>39095.147227777787</v>
      </c>
      <c r="AG24" s="50">
        <f t="shared" si="13"/>
        <v>0</v>
      </c>
      <c r="AH24" s="50">
        <f t="shared" si="14"/>
        <v>58500</v>
      </c>
      <c r="AI24" s="50">
        <f t="shared" si="15"/>
        <v>58592.620707736773</v>
      </c>
      <c r="AJ24" s="50">
        <f t="shared" si="16"/>
        <v>38788.314908521745</v>
      </c>
      <c r="AK24" s="52">
        <f>IF($L$1156,1,0)</f>
        <v>0</v>
      </c>
      <c r="AL24" s="49">
        <f>IF($L$1156,$M$1156,0)</f>
        <v>0</v>
      </c>
    </row>
    <row r="25" spans="1:38" x14ac:dyDescent="0.25">
      <c r="A25" s="77" t="str">
        <f>$A$1210</f>
        <v>BU-B|AZ</v>
      </c>
      <c r="B25" s="52">
        <f>$C$1210</f>
        <v>12</v>
      </c>
      <c r="C25" s="50">
        <f>$B$1261</f>
        <v>1.03</v>
      </c>
      <c r="D25" s="50">
        <f>$C$1261</f>
        <v>1.0009375</v>
      </c>
      <c r="E25" s="50">
        <f>$D$1261</f>
        <v>1.0388722222222222</v>
      </c>
      <c r="F25" s="50">
        <f>$E$1261</f>
        <v>1.0710569444444447</v>
      </c>
      <c r="G25" s="169">
        <f>$F$1261</f>
        <v>0.8380041940189642</v>
      </c>
      <c r="H25" s="169">
        <f>$G$1261</f>
        <v>0.83134364362995383</v>
      </c>
      <c r="I25" s="50">
        <f t="shared" si="0"/>
        <v>0.99145975603886694</v>
      </c>
      <c r="J25" s="50">
        <f t="shared" si="1"/>
        <v>0.96166688927474275</v>
      </c>
      <c r="K25" s="50">
        <f>IF($L$1210,1,IF(AND(nr_ModAdjMaster="ON",INDEX(lr_modadj,22)="ON"),$F$1210/$G25,1))</f>
        <v>1.0143147326309971</v>
      </c>
      <c r="L25" s="50">
        <f>IF($L$1210,1,IF(AND(nr_ModAdjMaster="ON",INDEX(lr_modadj,22)="ON"),$F$1210/$H25,1))</f>
        <v>1.0224412088947785</v>
      </c>
      <c r="M25" s="49">
        <f>IF(INDEX(lr_basis,22)="proposed",N(INDEX(lr_lrproj,22))*(1+N(INDEX(lr_s,22))),N(INDEX(lr_lrproj,22)))</f>
        <v>0.64600000000000002</v>
      </c>
      <c r="N25" s="49">
        <f t="shared" si="2"/>
        <v>0.64965134533517821</v>
      </c>
      <c r="O25" s="49">
        <f t="shared" si="3"/>
        <v>0.63517811550840031</v>
      </c>
      <c r="P25" s="49">
        <f t="shared" si="4"/>
        <v>8.6138079827400293E-3</v>
      </c>
      <c r="Q25" s="49">
        <f t="shared" si="5"/>
        <v>3.0980443536527513E-2</v>
      </c>
      <c r="R25" s="50">
        <f>IF(N(INDEX(lr_aother,22))=0,1,INDEX(lr_aother,22))</f>
        <v>1</v>
      </c>
      <c r="S25" s="49">
        <f>IF(ISBLANK(INDEX(lr_trend,22)),N(nr_TrendDefault),N(INDEX(lr_trend,22)))</f>
        <v>0</v>
      </c>
      <c r="T25" s="77" t="str">
        <f>INDEX(lr_state,22)</f>
        <v>AZ</v>
      </c>
      <c r="U25" s="77" t="str">
        <f>INDEX(lr_bu,22)</f>
        <v>BU-B</v>
      </c>
      <c r="V25" s="185">
        <f>N(INDEX(lr_ep,22))</f>
        <v>40500</v>
      </c>
      <c r="W25" s="50">
        <f>N(INDEX(lr_mind,22))*$V25</f>
        <v>34425</v>
      </c>
      <c r="X25" s="50">
        <f>N(INDEX(lr_m0,22))*$V25</f>
        <v>34020</v>
      </c>
      <c r="Y25" s="50">
        <f>N(INDEX(lr_m1,22))*$V25</f>
        <v>33615</v>
      </c>
      <c r="Z25" s="50">
        <f t="shared" si="6"/>
        <v>41715</v>
      </c>
      <c r="AA25" s="50">
        <f t="shared" si="7"/>
        <v>42074.324999999997</v>
      </c>
      <c r="AB25" s="50">
        <f t="shared" si="8"/>
        <v>40154.120119574109</v>
      </c>
      <c r="AC25" s="50">
        <f t="shared" si="9"/>
        <v>33939.169857768051</v>
      </c>
      <c r="AD25" s="50">
        <f t="shared" si="10"/>
        <v>41079.746671555382</v>
      </c>
      <c r="AE25" s="50">
        <f t="shared" si="11"/>
        <v>26163</v>
      </c>
      <c r="AF25" s="50">
        <f t="shared" si="12"/>
        <v>26310.879486074718</v>
      </c>
      <c r="AG25" s="50">
        <f t="shared" si="13"/>
        <v>0</v>
      </c>
      <c r="AH25" s="50">
        <f t="shared" si="14"/>
        <v>38947.509015627082</v>
      </c>
      <c r="AI25" s="50">
        <f t="shared" si="15"/>
        <v>41408.868960238528</v>
      </c>
      <c r="AJ25" s="50">
        <f t="shared" si="16"/>
        <v>25724.713678090211</v>
      </c>
      <c r="AK25" s="52">
        <f>IF($L$1210,1,0)</f>
        <v>0</v>
      </c>
      <c r="AL25" s="49">
        <f>IF($L$1210,$M$1210,0)</f>
        <v>0</v>
      </c>
    </row>
    <row r="26" spans="1:38" x14ac:dyDescent="0.25">
      <c r="A26" s="77" t="str">
        <f>$A$1264</f>
        <v>BU-B|CA</v>
      </c>
      <c r="B26" s="52">
        <f>$C$1264</f>
        <v>12</v>
      </c>
      <c r="C26" s="50">
        <f>$B$1315</f>
        <v>1.04</v>
      </c>
      <c r="D26" s="50">
        <f>$C$1315</f>
        <v>1.0005555555555556</v>
      </c>
      <c r="E26" s="50">
        <f>$D$1315</f>
        <v>1.0261111111111112</v>
      </c>
      <c r="F26" s="50">
        <f>$E$1315</f>
        <v>1.0400000000000003</v>
      </c>
      <c r="G26" s="169">
        <f>$F$1315</f>
        <v>0.84099790299051769</v>
      </c>
      <c r="H26" s="169">
        <f>$G$1315</f>
        <v>0.84432817818502282</v>
      </c>
      <c r="I26" s="50">
        <f t="shared" si="0"/>
        <v>1.0135354629128315</v>
      </c>
      <c r="J26" s="50">
        <f t="shared" si="1"/>
        <v>0.99999999999999978</v>
      </c>
      <c r="K26" s="50">
        <f>IF($L$1264,1,IF(AND(nr_ModAdjMaster="ON",INDEX(lr_modadj,23)="ON"),$F$1264/$G26,1))</f>
        <v>1.0107040659405588</v>
      </c>
      <c r="L26" s="50">
        <f>IF($L$1264,1,IF(AND(nr_ModAdjMaster="ON",INDEX(lr_modadj,23)="ON"),$F$1264/$H26,1))</f>
        <v>1.0067175559948376</v>
      </c>
      <c r="M26" s="49">
        <f>IF(INDEX(lr_basis,23)="proposed",N(INDEX(lr_lrproj,23))*(1+N(INDEX(lr_s,23))),N(INDEX(lr_lrproj,23)))</f>
        <v>0.6804</v>
      </c>
      <c r="N26" s="49">
        <f t="shared" si="2"/>
        <v>0.69699115483717922</v>
      </c>
      <c r="O26" s="49">
        <f t="shared" si="3"/>
        <v>0.69182033134987631</v>
      </c>
      <c r="P26" s="49">
        <f t="shared" si="4"/>
        <v>-1.3354700854700807E-2</v>
      </c>
      <c r="Q26" s="49">
        <f t="shared" si="5"/>
        <v>1.3535462912831697E-2</v>
      </c>
      <c r="R26" s="50">
        <f>IF(N(INDEX(lr_aother,23))=0,1,INDEX(lr_aother,23))</f>
        <v>1</v>
      </c>
      <c r="S26" s="49">
        <f>IF(ISBLANK(INDEX(lr_trend,23)),N(nr_TrendDefault),N(INDEX(lr_trend,23)))</f>
        <v>0.01</v>
      </c>
      <c r="T26" s="77" t="str">
        <f>INDEX(lr_state,23)</f>
        <v>CA</v>
      </c>
      <c r="U26" s="77" t="str">
        <f>INDEX(lr_bu,23)</f>
        <v>BU-B</v>
      </c>
      <c r="V26" s="185">
        <f>N(INDEX(lr_ep,23))</f>
        <v>99000</v>
      </c>
      <c r="W26" s="50">
        <f>N(INDEX(lr_mind,23))*$V26</f>
        <v>84150</v>
      </c>
      <c r="X26" s="50">
        <f>N(INDEX(lr_m0,23))*$V26</f>
        <v>83160</v>
      </c>
      <c r="Y26" s="50">
        <f>N(INDEX(lr_m1,23))*$V26</f>
        <v>83655</v>
      </c>
      <c r="Z26" s="50">
        <f t="shared" si="6"/>
        <v>102960</v>
      </c>
      <c r="AA26" s="50">
        <f t="shared" si="7"/>
        <v>101585.00000000001</v>
      </c>
      <c r="AB26" s="50">
        <f t="shared" si="8"/>
        <v>100340.01082837032</v>
      </c>
      <c r="AC26" s="50">
        <f t="shared" si="9"/>
        <v>83258.792396061253</v>
      </c>
      <c r="AD26" s="50">
        <f t="shared" si="10"/>
        <v>100059.70252811532</v>
      </c>
      <c r="AE26" s="50">
        <f t="shared" si="11"/>
        <v>67359.600000000006</v>
      </c>
      <c r="AF26" s="50">
        <f t="shared" si="12"/>
        <v>69002.124328880745</v>
      </c>
      <c r="AG26" s="50">
        <f t="shared" si="13"/>
        <v>990</v>
      </c>
      <c r="AH26" s="50">
        <f t="shared" si="14"/>
        <v>98999.999999999971</v>
      </c>
      <c r="AI26" s="50">
        <f t="shared" si="15"/>
        <v>99665.038043488923</v>
      </c>
      <c r="AJ26" s="50">
        <f t="shared" si="16"/>
        <v>68490.212803637754</v>
      </c>
      <c r="AK26" s="52">
        <f>IF($L$1264,1,0)</f>
        <v>0</v>
      </c>
      <c r="AL26" s="49">
        <f>IF($L$1264,$M$1264,0)</f>
        <v>0</v>
      </c>
    </row>
    <row r="27" spans="1:38" x14ac:dyDescent="0.25">
      <c r="A27" s="77" t="str">
        <f>$A$1318</f>
        <v>BU-B|CO</v>
      </c>
      <c r="B27" s="52">
        <f>$C$1318</f>
        <v>12</v>
      </c>
      <c r="C27" s="50">
        <f>$B$1369</f>
        <v>1.05</v>
      </c>
      <c r="D27" s="50">
        <f>$C$1369</f>
        <v>1.0140624999999999</v>
      </c>
      <c r="E27" s="50">
        <f>$D$1369</f>
        <v>1.0546965725806452</v>
      </c>
      <c r="F27" s="50">
        <f>$E$1369</f>
        <v>1.0793054435483873</v>
      </c>
      <c r="G27" s="169">
        <f>$F$1369</f>
        <v>0.84399161196207151</v>
      </c>
      <c r="H27" s="169">
        <f>$G$1369</f>
        <v>0.85731271274009246</v>
      </c>
      <c r="I27" s="50">
        <f t="shared" si="0"/>
        <v>0.99554699171046557</v>
      </c>
      <c r="J27" s="50">
        <f t="shared" si="1"/>
        <v>0.97284786829941206</v>
      </c>
      <c r="K27" s="50">
        <f>IF($L$1318,1,IF(AND(nr_ModAdjMaster="ON",INDEX(lr_modadj,24)="ON"),$F$1318/$G27,1))</f>
        <v>1.0071190139247479</v>
      </c>
      <c r="L27" s="50">
        <f>IF($L$1318,1,IF(AND(nr_ModAdjMaster="ON",INDEX(lr_modadj,24)="ON"),$F$1318/$H27,1))</f>
        <v>0.99147019211144083</v>
      </c>
      <c r="M27" s="49">
        <f>IF(INDEX(lr_basis,24)="proposed",N(INDEX(lr_lrproj,24))*(1+N(INDEX(lr_s,24))),N(INDEX(lr_lrproj,24)))</f>
        <v>0.65800000000000003</v>
      </c>
      <c r="N27" s="49">
        <f t="shared" si="2"/>
        <v>0.67292803988016381</v>
      </c>
      <c r="O27" s="49">
        <f t="shared" si="3"/>
        <v>0.64736715173721449</v>
      </c>
      <c r="P27" s="49">
        <f t="shared" si="4"/>
        <v>4.4729262672811299E-3</v>
      </c>
      <c r="Q27" s="49">
        <f t="shared" si="5"/>
        <v>2.3332654725072954E-2</v>
      </c>
      <c r="R27" s="50">
        <f>IF(N(INDEX(lr_aother,24))=0,1,INDEX(lr_aother,24))</f>
        <v>1.02</v>
      </c>
      <c r="S27" s="49">
        <f>IF(ISBLANK(INDEX(lr_trend,24)),N(nr_TrendDefault),N(INDEX(lr_trend,24)))</f>
        <v>0</v>
      </c>
      <c r="T27" s="77" t="str">
        <f>INDEX(lr_state,24)</f>
        <v>CO</v>
      </c>
      <c r="U27" s="77" t="str">
        <f>INDEX(lr_bu,24)</f>
        <v>BU-B</v>
      </c>
      <c r="V27" s="185">
        <f>N(INDEX(lr_ep,24))</f>
        <v>81000</v>
      </c>
      <c r="W27" s="50">
        <f>N(INDEX(lr_mind,24))*$V27</f>
        <v>68850</v>
      </c>
      <c r="X27" s="50">
        <f>N(INDEX(lr_m0,24))*$V27</f>
        <v>68040</v>
      </c>
      <c r="Y27" s="50">
        <f>N(INDEX(lr_m1,24))*$V27</f>
        <v>69660</v>
      </c>
      <c r="Z27" s="50">
        <f t="shared" si="6"/>
        <v>85050</v>
      </c>
      <c r="AA27" s="50">
        <f t="shared" si="7"/>
        <v>85430.422379032258</v>
      </c>
      <c r="AB27" s="50">
        <f t="shared" si="8"/>
        <v>80639.306328547711</v>
      </c>
      <c r="AC27" s="50">
        <f t="shared" si="9"/>
        <v>68363.320568927797</v>
      </c>
      <c r="AD27" s="50">
        <f t="shared" si="10"/>
        <v>81576.640127904582</v>
      </c>
      <c r="AE27" s="50">
        <f t="shared" si="11"/>
        <v>53298</v>
      </c>
      <c r="AF27" s="50">
        <f t="shared" si="12"/>
        <v>54507.171230293272</v>
      </c>
      <c r="AG27" s="50">
        <f t="shared" si="13"/>
        <v>0</v>
      </c>
      <c r="AH27" s="50">
        <f t="shared" si="14"/>
        <v>78800.67733225238</v>
      </c>
      <c r="AI27" s="50">
        <f t="shared" si="15"/>
        <v>80309.085561026703</v>
      </c>
      <c r="AJ27" s="50">
        <f t="shared" si="16"/>
        <v>52436.739290714373</v>
      </c>
      <c r="AK27" s="52">
        <f>IF($L$1318,1,0)</f>
        <v>0</v>
      </c>
      <c r="AL27" s="49">
        <f>IF($L$1318,$M$1318,0)</f>
        <v>0</v>
      </c>
    </row>
    <row r="28" spans="1:38" x14ac:dyDescent="0.25">
      <c r="A28" s="77" t="str">
        <f>$A$1372</f>
        <v>BU-B|CT</v>
      </c>
      <c r="B28" s="52">
        <f>$C$1372</f>
        <v>12</v>
      </c>
      <c r="C28" s="50">
        <f>$B$1423</f>
        <v>1.08</v>
      </c>
      <c r="D28" s="50">
        <f>$C$1423</f>
        <v>1.0024999999999999</v>
      </c>
      <c r="E28" s="50">
        <f>$D$1423</f>
        <v>1.0755000000000001</v>
      </c>
      <c r="F28" s="50">
        <f>$E$1423</f>
        <v>1.1311200000000001</v>
      </c>
      <c r="G28" s="169">
        <f>$F$1423</f>
        <v>0.84</v>
      </c>
      <c r="H28" s="169">
        <f>$G$1423</f>
        <v>0.84</v>
      </c>
      <c r="I28" s="50">
        <f t="shared" si="0"/>
        <v>1.00418410041841</v>
      </c>
      <c r="J28" s="50">
        <f t="shared" si="1"/>
        <v>0.95480585614258429</v>
      </c>
      <c r="K28" s="50">
        <f>IF($L$1372,1,IF(AND(nr_ModAdjMaster="ON",INDEX(lr_modadj,25)="ON"),$F$1372/$G28,1))</f>
        <v>1.0119047619047619</v>
      </c>
      <c r="L28" s="50">
        <f>IF($L$1372,1,IF(AND(nr_ModAdjMaster="ON",INDEX(lr_modadj,25)="ON"),$F$1372/$H28,1))</f>
        <v>1.0119047619047619</v>
      </c>
      <c r="M28" s="49">
        <f>IF(INDEX(lr_basis,25)="proposed",N(INDEX(lr_lrproj,25))*(1+N(INDEX(lr_s,25))),N(INDEX(lr_lrproj,25)))</f>
        <v>0.64200000000000002</v>
      </c>
      <c r="N28" s="49">
        <f t="shared" si="2"/>
        <v>0.65236102809324559</v>
      </c>
      <c r="O28" s="49">
        <f t="shared" si="3"/>
        <v>0.62028280440120032</v>
      </c>
      <c r="P28" s="49">
        <f t="shared" si="4"/>
        <v>-4.1666666666666519E-3</v>
      </c>
      <c r="Q28" s="49">
        <f t="shared" si="5"/>
        <v>5.1715481171548117E-2</v>
      </c>
      <c r="R28" s="50">
        <f>IF(N(INDEX(lr_aother,25))=0,1,INDEX(lr_aother,25))</f>
        <v>1</v>
      </c>
      <c r="S28" s="49">
        <f>IF(ISBLANK(INDEX(lr_trend,25)),N(nr_TrendDefault),N(INDEX(lr_trend,25)))</f>
        <v>0</v>
      </c>
      <c r="T28" s="77" t="str">
        <f>INDEX(lr_state,25)</f>
        <v>CT</v>
      </c>
      <c r="U28" s="77" t="str">
        <f>INDEX(lr_bu,25)</f>
        <v>BU-B</v>
      </c>
      <c r="V28" s="185">
        <f>N(INDEX(lr_ep,25))</f>
        <v>63000</v>
      </c>
      <c r="W28" s="50">
        <f>N(INDEX(lr_mind,25))*$V28</f>
        <v>53550</v>
      </c>
      <c r="X28" s="50">
        <f>N(INDEX(lr_m0,25))*$V28</f>
        <v>52920</v>
      </c>
      <c r="Y28" s="50">
        <f>N(INDEX(lr_m1,25))*$V28</f>
        <v>52920</v>
      </c>
      <c r="Z28" s="50">
        <f t="shared" si="6"/>
        <v>68040</v>
      </c>
      <c r="AA28" s="50">
        <f t="shared" si="7"/>
        <v>67756.500000000015</v>
      </c>
      <c r="AB28" s="50">
        <f t="shared" si="8"/>
        <v>63263.598326359832</v>
      </c>
      <c r="AC28" s="50">
        <f t="shared" si="9"/>
        <v>52920</v>
      </c>
      <c r="AD28" s="50">
        <f t="shared" si="10"/>
        <v>63750</v>
      </c>
      <c r="AE28" s="50">
        <f t="shared" si="11"/>
        <v>40446</v>
      </c>
      <c r="AF28" s="50">
        <f t="shared" si="12"/>
        <v>41098.744769874473</v>
      </c>
      <c r="AG28" s="50">
        <f t="shared" si="13"/>
        <v>0</v>
      </c>
      <c r="AH28" s="50">
        <f t="shared" si="14"/>
        <v>60152.768936982808</v>
      </c>
      <c r="AI28" s="50">
        <f t="shared" si="15"/>
        <v>63750</v>
      </c>
      <c r="AJ28" s="50">
        <f t="shared" si="16"/>
        <v>39077.816677275623</v>
      </c>
      <c r="AK28" s="52">
        <f>IF($L$1372,1,0)</f>
        <v>0</v>
      </c>
      <c r="AL28" s="49">
        <f>IF($L$1372,$M$1372,0)</f>
        <v>0</v>
      </c>
    </row>
    <row r="29" spans="1:38" x14ac:dyDescent="0.25">
      <c r="A29" s="77" t="str">
        <f>$A$1426</f>
        <v>BU-B|FL</v>
      </c>
      <c r="B29" s="52">
        <f>$C$1426</f>
        <v>12</v>
      </c>
      <c r="C29" s="50">
        <f>$B$1477</f>
        <v>1.02</v>
      </c>
      <c r="D29" s="50">
        <f>$C$1477</f>
        <v>1.0084027777777778</v>
      </c>
      <c r="E29" s="50">
        <f>$D$1477</f>
        <v>1.0268722222222222</v>
      </c>
      <c r="F29" s="50">
        <f>$E$1477</f>
        <v>1.0572583333333336</v>
      </c>
      <c r="G29" s="169">
        <f>$F$1477</f>
        <v>0.84299370897155379</v>
      </c>
      <c r="H29" s="169">
        <f>$G$1477</f>
        <v>0.85298453455506928</v>
      </c>
      <c r="I29" s="50">
        <f t="shared" si="0"/>
        <v>0.99330761698144854</v>
      </c>
      <c r="J29" s="50">
        <f t="shared" si="1"/>
        <v>0.96475948010183543</v>
      </c>
      <c r="K29" s="50">
        <f>IF($L$1426,1,IF(AND(nr_ModAdjMaster="ON",INDEX(lr_modadj,26)="ON"),$F$1426/$G29,1))</f>
        <v>1.0083112020337539</v>
      </c>
      <c r="L29" s="50">
        <f>IF($L$1426,1,IF(AND(nr_ModAdjMaster="ON",INDEX(lr_modadj,26)="ON"),$F$1426/$H29,1))</f>
        <v>0.99650106838498997</v>
      </c>
      <c r="M29" s="49">
        <f>IF(INDEX(lr_basis,26)="proposed",N(INDEX(lr_lrproj,26))*(1+N(INDEX(lr_s,26))),N(INDEX(lr_lrproj,26)))</f>
        <v>0.67</v>
      </c>
      <c r="N29" s="49">
        <f t="shared" si="2"/>
        <v>0.67104734216945827</v>
      </c>
      <c r="O29" s="49">
        <f t="shared" si="3"/>
        <v>0.64412718127953783</v>
      </c>
      <c r="P29" s="49">
        <f t="shared" si="4"/>
        <v>6.7374727668845225E-3</v>
      </c>
      <c r="Q29" s="49">
        <f t="shared" si="5"/>
        <v>2.9590936879521301E-2</v>
      </c>
      <c r="R29" s="50">
        <f>IF(N(INDEX(lr_aother,26))=0,1,INDEX(lr_aother,26))</f>
        <v>1</v>
      </c>
      <c r="S29" s="49">
        <f>IF(ISBLANK(INDEX(lr_trend,26)),N(nr_TrendDefault),N(INDEX(lr_trend,26)))</f>
        <v>0</v>
      </c>
      <c r="T29" s="77" t="str">
        <f>INDEX(lr_state,26)</f>
        <v>FL</v>
      </c>
      <c r="U29" s="77" t="str">
        <f>INDEX(lr_bu,26)</f>
        <v>BU-B</v>
      </c>
      <c r="V29" s="185">
        <f>N(INDEX(lr_ep,26))</f>
        <v>45000</v>
      </c>
      <c r="W29" s="50">
        <f>N(INDEX(lr_mind,26))*$V29</f>
        <v>38250</v>
      </c>
      <c r="X29" s="50">
        <f>N(INDEX(lr_m0,26))*$V29</f>
        <v>37800</v>
      </c>
      <c r="Y29" s="50">
        <f>N(INDEX(lr_m1,26))*$V29</f>
        <v>38475</v>
      </c>
      <c r="Z29" s="50">
        <f t="shared" si="6"/>
        <v>45900</v>
      </c>
      <c r="AA29" s="50">
        <f t="shared" si="7"/>
        <v>46209.25</v>
      </c>
      <c r="AB29" s="50">
        <f t="shared" si="8"/>
        <v>44698.842764165187</v>
      </c>
      <c r="AC29" s="50">
        <f t="shared" si="9"/>
        <v>37934.71690371992</v>
      </c>
      <c r="AD29" s="50">
        <f t="shared" si="10"/>
        <v>45374.004091518924</v>
      </c>
      <c r="AE29" s="50">
        <f t="shared" si="11"/>
        <v>30150</v>
      </c>
      <c r="AF29" s="50">
        <f t="shared" si="12"/>
        <v>30197.130397625624</v>
      </c>
      <c r="AG29" s="50">
        <f t="shared" si="13"/>
        <v>0</v>
      </c>
      <c r="AH29" s="50">
        <f t="shared" si="14"/>
        <v>43414.176604582593</v>
      </c>
      <c r="AI29" s="50">
        <f t="shared" si="15"/>
        <v>44842.548077324551</v>
      </c>
      <c r="AJ29" s="50">
        <f t="shared" si="16"/>
        <v>28985.723157579203</v>
      </c>
      <c r="AK29" s="52">
        <f>IF($L$1426,1,0)</f>
        <v>0</v>
      </c>
      <c r="AL29" s="49">
        <f>IF($L$1426,$M$1426,0)</f>
        <v>0</v>
      </c>
    </row>
    <row r="30" spans="1:38" x14ac:dyDescent="0.25">
      <c r="A30" s="77" t="str">
        <f>$A$1480</f>
        <v>BU-B|GA</v>
      </c>
      <c r="B30" s="52">
        <f>$C$1480</f>
        <v>12</v>
      </c>
      <c r="C30" s="50">
        <f>$B$1531</f>
        <v>1</v>
      </c>
      <c r="D30" s="50">
        <f>$C$1531</f>
        <v>1</v>
      </c>
      <c r="E30" s="50">
        <f>$D$1531</f>
        <v>1</v>
      </c>
      <c r="F30" s="50">
        <f>$E$1531</f>
        <v>1</v>
      </c>
      <c r="G30" s="169">
        <f>$F$1531</f>
        <v>0.83900209700948214</v>
      </c>
      <c r="H30" s="169">
        <f>$G$1531</f>
        <v>0.8356718218149769</v>
      </c>
      <c r="I30" s="50">
        <f t="shared" si="0"/>
        <v>1</v>
      </c>
      <c r="J30" s="50">
        <f t="shared" si="1"/>
        <v>1</v>
      </c>
      <c r="K30" s="50">
        <f>IF($L$1480,1,IF(AND(nr_ModAdjMaster="ON",INDEX(lr_modadj,27)="ON"),$F$1480/$G30,1))</f>
        <v>1.0131083140670547</v>
      </c>
      <c r="L30" s="50">
        <f>IF($L$1480,1,IF(AND(nr_ModAdjMaster="ON",INDEX(lr_modadj,27)="ON"),$F$1480/$H30,1))</f>
        <v>1.0171456997962478</v>
      </c>
      <c r="M30" s="49">
        <f>IF(INDEX(lr_basis,27)="proposed",N(INDEX(lr_lrproj,27))*(1+N(INDEX(lr_s,27))),N(INDEX(lr_lrproj,27)))</f>
        <v>0.65400000000000003</v>
      </c>
      <c r="N30" s="49">
        <f t="shared" si="2"/>
        <v>0.66257283739985384</v>
      </c>
      <c r="O30" s="49">
        <f t="shared" si="3"/>
        <v>0.66521328766674614</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103500</v>
      </c>
      <c r="W30" s="50">
        <f>N(INDEX(lr_mind,27))*$V30</f>
        <v>87975</v>
      </c>
      <c r="X30" s="50">
        <f>N(INDEX(lr_m0,27))*$V30</f>
        <v>86940</v>
      </c>
      <c r="Y30" s="50">
        <f>N(INDEX(lr_m1,27))*$V30</f>
        <v>86422.5</v>
      </c>
      <c r="Z30" s="50">
        <f t="shared" si="6"/>
        <v>103500</v>
      </c>
      <c r="AA30" s="50">
        <f t="shared" si="7"/>
        <v>103500</v>
      </c>
      <c r="AB30" s="50">
        <f t="shared" si="8"/>
        <v>103500</v>
      </c>
      <c r="AC30" s="50">
        <f t="shared" si="9"/>
        <v>86836.717040481395</v>
      </c>
      <c r="AD30" s="50">
        <f t="shared" si="10"/>
        <v>104856.71050594017</v>
      </c>
      <c r="AE30" s="50">
        <f t="shared" si="11"/>
        <v>67689</v>
      </c>
      <c r="AF30" s="50">
        <f t="shared" si="12"/>
        <v>68576.288670884867</v>
      </c>
      <c r="AG30" s="50">
        <f t="shared" si="13"/>
        <v>0</v>
      </c>
      <c r="AH30" s="50">
        <f t="shared" si="14"/>
        <v>103500</v>
      </c>
      <c r="AI30" s="50">
        <f t="shared" si="15"/>
        <v>105274.57992891165</v>
      </c>
      <c r="AJ30" s="50">
        <f t="shared" si="16"/>
        <v>68849.575273508221</v>
      </c>
      <c r="AK30" s="52">
        <f>IF($L$1480,1,0)</f>
        <v>0</v>
      </c>
      <c r="AL30" s="49">
        <f>IF($L$1480,$M$1480,0)</f>
        <v>0</v>
      </c>
    </row>
    <row r="31" spans="1:38" x14ac:dyDescent="0.25">
      <c r="A31" s="77" t="str">
        <f>$A$1534</f>
        <v>BU-B|IL</v>
      </c>
      <c r="B31" s="52">
        <f>$C$1534</f>
        <v>12</v>
      </c>
      <c r="C31" s="50">
        <f>$B$1585</f>
        <v>1.04</v>
      </c>
      <c r="D31" s="50">
        <f>$C$1585</f>
        <v>1.01125</v>
      </c>
      <c r="E31" s="50">
        <f>$D$1585</f>
        <v>1.0387500000000001</v>
      </c>
      <c r="F31" s="50">
        <f>$E$1585</f>
        <v>1.0400000000000003</v>
      </c>
      <c r="G31" s="169">
        <f>$F$1585</f>
        <v>0.84199580598103541</v>
      </c>
      <c r="H31" s="169">
        <f>$G$1585</f>
        <v>0.84865635637004611</v>
      </c>
      <c r="I31" s="50">
        <f t="shared" si="0"/>
        <v>1.0012033694344162</v>
      </c>
      <c r="J31" s="50">
        <f t="shared" si="1"/>
        <v>0.99999999999999978</v>
      </c>
      <c r="K31" s="50">
        <f>IF($L$1534,1,IF(AND(nr_ModAdjMaster="ON",INDEX(lr_modadj,28)="ON"),$F$1534/$G31,1))</f>
        <v>1.0095062160192576</v>
      </c>
      <c r="L31" s="50">
        <f>IF($L$1534,1,IF(AND(nr_ModAdjMaster="ON",INDEX(lr_modadj,28)="ON"),$F$1534/$H31,1))</f>
        <v>1.0015832599613124</v>
      </c>
      <c r="M31" s="49">
        <f>IF(INDEX(lr_basis,28)="proposed",N(INDEX(lr_lrproj,28))*(1+N(INDEX(lr_s,28))),N(INDEX(lr_lrproj,28)))</f>
        <v>0.63800000000000001</v>
      </c>
      <c r="N31" s="49">
        <f t="shared" si="2"/>
        <v>0.64484001391393286</v>
      </c>
      <c r="O31" s="49">
        <f t="shared" si="3"/>
        <v>0.63901011985531719</v>
      </c>
      <c r="P31" s="49">
        <f t="shared" si="4"/>
        <v>-1.2019230769230171E-3</v>
      </c>
      <c r="Q31" s="49">
        <f t="shared" si="5"/>
        <v>1.2033694344164569E-3</v>
      </c>
      <c r="R31" s="50">
        <f>IF(N(INDEX(lr_aother,28))=0,1,INDEX(lr_aother,28))</f>
        <v>1</v>
      </c>
      <c r="S31" s="49">
        <f>IF(ISBLANK(INDEX(lr_trend,28)),N(nr_TrendDefault),N(INDEX(lr_trend,28)))</f>
        <v>0</v>
      </c>
      <c r="T31" s="77" t="str">
        <f>INDEX(lr_state,28)</f>
        <v>IL</v>
      </c>
      <c r="U31" s="77" t="str">
        <f>INDEX(lr_bu,28)</f>
        <v>BU-B</v>
      </c>
      <c r="V31" s="185">
        <f>N(INDEX(lr_ep,28))</f>
        <v>85500</v>
      </c>
      <c r="W31" s="50">
        <f>N(INDEX(lr_mind,28))*$V31</f>
        <v>72675</v>
      </c>
      <c r="X31" s="50">
        <f>N(INDEX(lr_m0,28))*$V31</f>
        <v>71820</v>
      </c>
      <c r="Y31" s="50">
        <f>N(INDEX(lr_m1,28))*$V31</f>
        <v>72675</v>
      </c>
      <c r="Z31" s="50">
        <f t="shared" si="6"/>
        <v>88920</v>
      </c>
      <c r="AA31" s="50">
        <f t="shared" si="7"/>
        <v>88813.125</v>
      </c>
      <c r="AB31" s="50">
        <f t="shared" si="8"/>
        <v>85602.88808664259</v>
      </c>
      <c r="AC31" s="50">
        <f t="shared" si="9"/>
        <v>71990.641411378529</v>
      </c>
      <c r="AD31" s="50">
        <f t="shared" si="10"/>
        <v>86312.781469646521</v>
      </c>
      <c r="AE31" s="50">
        <f t="shared" si="11"/>
        <v>54549</v>
      </c>
      <c r="AF31" s="50">
        <f t="shared" si="12"/>
        <v>55133.821189641261</v>
      </c>
      <c r="AG31" s="50">
        <f t="shared" si="13"/>
        <v>0</v>
      </c>
      <c r="AH31" s="50">
        <f t="shared" si="14"/>
        <v>85499.999999999985</v>
      </c>
      <c r="AI31" s="50">
        <f t="shared" si="15"/>
        <v>85635.368726692206</v>
      </c>
      <c r="AJ31" s="50">
        <f t="shared" si="16"/>
        <v>54635.365247629619</v>
      </c>
      <c r="AK31" s="52">
        <f>IF($L$1534,1,0)</f>
        <v>0</v>
      </c>
      <c r="AL31" s="49">
        <f>IF($L$1534,$M$1534,0)</f>
        <v>0</v>
      </c>
    </row>
    <row r="32" spans="1:38" x14ac:dyDescent="0.25">
      <c r="A32" s="77" t="str">
        <f>$A$1588</f>
        <v>BU-B|IN</v>
      </c>
      <c r="B32" s="52">
        <f>$C$1588</f>
        <v>12</v>
      </c>
      <c r="C32" s="50">
        <f>$B$1639</f>
        <v>1.05</v>
      </c>
      <c r="D32" s="50">
        <f>$C$1639</f>
        <v>1.0111111111111111</v>
      </c>
      <c r="E32" s="50">
        <f>$D$1639</f>
        <v>1.0472222222222223</v>
      </c>
      <c r="F32" s="50">
        <f>$E$1639</f>
        <v>1.05</v>
      </c>
      <c r="G32" s="169">
        <f>$F$1639</f>
        <v>0.8380041940189642</v>
      </c>
      <c r="H32" s="169">
        <f>$G$1639</f>
        <v>0.83134364362995383</v>
      </c>
      <c r="I32" s="50">
        <f t="shared" si="0"/>
        <v>1.0026525198938991</v>
      </c>
      <c r="J32" s="50">
        <f t="shared" si="1"/>
        <v>1</v>
      </c>
      <c r="K32" s="50">
        <f>IF($L$1588,1,IF(AND(nr_ModAdjMaster="ON",INDEX(lr_modadj,29)="ON"),$F$1588/$G32,1))</f>
        <v>1.0143147326309971</v>
      </c>
      <c r="L32" s="50">
        <f>IF($L$1588,1,IF(AND(nr_ModAdjMaster="ON",INDEX(lr_modadj,29)="ON"),$F$1588/$H32,1))</f>
        <v>1.0224412088947785</v>
      </c>
      <c r="M32" s="49">
        <f>IF(INDEX(lr_basis,29)="proposed",N(INDEX(lr_lrproj,29))*(1+N(INDEX(lr_s,29))),N(INDEX(lr_lrproj,29)))</f>
        <v>0.66600000000000004</v>
      </c>
      <c r="N32" s="49">
        <f t="shared" si="2"/>
        <v>0.67732547827689193</v>
      </c>
      <c r="O32" s="49">
        <f t="shared" si="3"/>
        <v>0.68094584512392253</v>
      </c>
      <c r="P32" s="49">
        <f t="shared" si="4"/>
        <v>-2.6455026455026731E-3</v>
      </c>
      <c r="Q32" s="49">
        <f t="shared" si="5"/>
        <v>2.6525198938991412E-3</v>
      </c>
      <c r="R32" s="50">
        <f>IF(N(INDEX(lr_aother,29))=0,1,INDEX(lr_aother,29))</f>
        <v>1</v>
      </c>
      <c r="S32" s="49">
        <f>IF(ISBLANK(INDEX(lr_trend,29)),N(nr_TrendDefault),N(INDEX(lr_trend,29)))</f>
        <v>0</v>
      </c>
      <c r="T32" s="77" t="str">
        <f>INDEX(lr_state,29)</f>
        <v>IN</v>
      </c>
      <c r="U32" s="77" t="str">
        <f>INDEX(lr_bu,29)</f>
        <v>BU-B</v>
      </c>
      <c r="V32" s="185">
        <f>N(INDEX(lr_ep,29))</f>
        <v>67500</v>
      </c>
      <c r="W32" s="50">
        <f>N(INDEX(lr_mind,29))*$V32</f>
        <v>57375</v>
      </c>
      <c r="X32" s="50">
        <f>N(INDEX(lr_m0,29))*$V32</f>
        <v>56700</v>
      </c>
      <c r="Y32" s="50">
        <f>N(INDEX(lr_m1,29))*$V32</f>
        <v>56025</v>
      </c>
      <c r="Z32" s="50">
        <f t="shared" si="6"/>
        <v>70875</v>
      </c>
      <c r="AA32" s="50">
        <f t="shared" si="7"/>
        <v>70687.5</v>
      </c>
      <c r="AB32" s="50">
        <f t="shared" si="8"/>
        <v>67679.045092838191</v>
      </c>
      <c r="AC32" s="50">
        <f t="shared" si="9"/>
        <v>56565.28309628008</v>
      </c>
      <c r="AD32" s="50">
        <f t="shared" si="10"/>
        <v>68466.244452592306</v>
      </c>
      <c r="AE32" s="50">
        <f t="shared" si="11"/>
        <v>44955</v>
      </c>
      <c r="AF32" s="50">
        <f t="shared" si="12"/>
        <v>45719.469783690205</v>
      </c>
      <c r="AG32" s="50">
        <f t="shared" si="13"/>
        <v>0</v>
      </c>
      <c r="AH32" s="50">
        <f t="shared" si="14"/>
        <v>67500</v>
      </c>
      <c r="AI32" s="50">
        <f t="shared" si="15"/>
        <v>69014.781600397546</v>
      </c>
      <c r="AJ32" s="50">
        <f t="shared" si="16"/>
        <v>45963.844545864769</v>
      </c>
      <c r="AK32" s="52">
        <f>IF($L$1588,1,0)</f>
        <v>0</v>
      </c>
      <c r="AL32" s="49">
        <f>IF($L$1588,$M$1588,0)</f>
        <v>0</v>
      </c>
    </row>
    <row r="33" spans="1:38" x14ac:dyDescent="0.25">
      <c r="A33" s="77" t="str">
        <f>$A$1642</f>
        <v>BU-B|IA</v>
      </c>
      <c r="B33" s="52">
        <f>$C$1642</f>
        <v>12</v>
      </c>
      <c r="C33" s="50">
        <f>$B$1693</f>
        <v>1</v>
      </c>
      <c r="D33" s="50">
        <f>$C$1693</f>
        <v>1</v>
      </c>
      <c r="E33" s="50">
        <f>$D$1693</f>
        <v>1.00125</v>
      </c>
      <c r="F33" s="50">
        <f>$E$1693</f>
        <v>1.0287500000000001</v>
      </c>
      <c r="G33" s="169">
        <f>$F$1693</f>
        <v>0.84099790299051769</v>
      </c>
      <c r="H33" s="169">
        <f>$G$1693</f>
        <v>0.84432817818502282</v>
      </c>
      <c r="I33" s="50">
        <f t="shared" si="0"/>
        <v>0.99875156054931336</v>
      </c>
      <c r="J33" s="50">
        <f t="shared" si="1"/>
        <v>0.97205346294046169</v>
      </c>
      <c r="K33" s="50">
        <f>IF($L$1642,1,IF(AND(nr_ModAdjMaster="ON",INDEX(lr_modadj,30)="ON"),$F$1642/$G33,1))</f>
        <v>1.0107040659405588</v>
      </c>
      <c r="L33" s="50">
        <f>IF($L$1642,1,IF(AND(nr_ModAdjMaster="ON",INDEX(lr_modadj,30)="ON"),$F$1642/$H33,1))</f>
        <v>1.0067175559948376</v>
      </c>
      <c r="M33" s="49">
        <f>IF(INDEX(lr_basis,30)="proposed",N(INDEX(lr_lrproj,30))*(1+N(INDEX(lr_s,30))),N(INDEX(lr_lrproj,30)))</f>
        <v>0.65</v>
      </c>
      <c r="N33" s="49">
        <f t="shared" si="2"/>
        <v>0.65613747102258502</v>
      </c>
      <c r="O33" s="49">
        <f t="shared" si="3"/>
        <v>0.63607913623003109</v>
      </c>
      <c r="P33" s="49">
        <f t="shared" si="4"/>
        <v>1.2499999999999734E-3</v>
      </c>
      <c r="Q33" s="49">
        <f t="shared" si="5"/>
        <v>2.7465667915106184E-2</v>
      </c>
      <c r="R33" s="50">
        <f>IF(N(INDEX(lr_aother,30))=0,1,INDEX(lr_aother,30))</f>
        <v>1</v>
      </c>
      <c r="S33" s="49">
        <f>IF(ISBLANK(INDEX(lr_trend,30)),N(nr_TrendDefault),N(INDEX(lr_trend,30)))</f>
        <v>0</v>
      </c>
      <c r="T33" s="77" t="str">
        <f>INDEX(lr_state,30)</f>
        <v>IA</v>
      </c>
      <c r="U33" s="77" t="str">
        <f>INDEX(lr_bu,30)</f>
        <v>BU-B</v>
      </c>
      <c r="V33" s="185">
        <f>N(INDEX(lr_ep,30))</f>
        <v>49500</v>
      </c>
      <c r="W33" s="50">
        <f>N(INDEX(lr_mind,30))*$V33</f>
        <v>42075</v>
      </c>
      <c r="X33" s="50">
        <f>N(INDEX(lr_m0,30))*$V33</f>
        <v>41580</v>
      </c>
      <c r="Y33" s="50">
        <f>N(INDEX(lr_m1,30))*$V33</f>
        <v>41827.5</v>
      </c>
      <c r="Z33" s="50">
        <f t="shared" si="6"/>
        <v>49500</v>
      </c>
      <c r="AA33" s="50">
        <f t="shared" si="7"/>
        <v>49561.875</v>
      </c>
      <c r="AB33" s="50">
        <f t="shared" si="8"/>
        <v>49438.20224719101</v>
      </c>
      <c r="AC33" s="50">
        <f t="shared" si="9"/>
        <v>41629.396198030627</v>
      </c>
      <c r="AD33" s="50">
        <f t="shared" si="10"/>
        <v>50029.851264057659</v>
      </c>
      <c r="AE33" s="50">
        <f t="shared" si="11"/>
        <v>32175</v>
      </c>
      <c r="AF33" s="50">
        <f t="shared" si="12"/>
        <v>32478.804815617958</v>
      </c>
      <c r="AG33" s="50">
        <f t="shared" si="13"/>
        <v>0</v>
      </c>
      <c r="AH33" s="50">
        <f t="shared" si="14"/>
        <v>48116.646415552852</v>
      </c>
      <c r="AI33" s="50">
        <f t="shared" si="15"/>
        <v>49832.519021744461</v>
      </c>
      <c r="AJ33" s="50">
        <f t="shared" si="16"/>
        <v>31485.917243386539</v>
      </c>
      <c r="AK33" s="52">
        <f>IF($L$1642,1,0)</f>
        <v>0</v>
      </c>
      <c r="AL33" s="49">
        <f>IF($L$1642,$M$1642,0)</f>
        <v>0</v>
      </c>
    </row>
    <row r="34" spans="1:38" x14ac:dyDescent="0.25">
      <c r="A34" s="77" t="str">
        <f>$A$1696</f>
        <v>BU-B|KY</v>
      </c>
      <c r="B34" s="52">
        <f>$C$1696</f>
        <v>12</v>
      </c>
      <c r="C34" s="50">
        <f>$B$1747</f>
        <v>1.02</v>
      </c>
      <c r="D34" s="50">
        <f>$C$1747</f>
        <v>1.0024999999999999</v>
      </c>
      <c r="E34" s="50">
        <f>$D$1747</f>
        <v>1.0174999999999998</v>
      </c>
      <c r="F34" s="50">
        <f>$E$1747</f>
        <v>1.0199999999999998</v>
      </c>
      <c r="G34" s="169">
        <f>$F$1747</f>
        <v>0.84399161196207151</v>
      </c>
      <c r="H34" s="169">
        <f>$G$1747</f>
        <v>0.85731271274009246</v>
      </c>
      <c r="I34" s="50">
        <f t="shared" si="0"/>
        <v>1.0024570024570025</v>
      </c>
      <c r="J34" s="50">
        <f t="shared" si="1"/>
        <v>1.0000000000000002</v>
      </c>
      <c r="K34" s="50">
        <f>IF($L$1696,1,IF(AND(nr_ModAdjMaster="ON",INDEX(lr_modadj,31)="ON"),$F$1696/$G34,1))</f>
        <v>1.0071190139247479</v>
      </c>
      <c r="L34" s="50">
        <f>IF($L$1696,1,IF(AND(nr_ModAdjMaster="ON",INDEX(lr_modadj,31)="ON"),$F$1696/$H34,1))</f>
        <v>0.99147019211144083</v>
      </c>
      <c r="M34" s="49">
        <f>IF(INDEX(lr_basis,31)="proposed",N(INDEX(lr_lrproj,31))*(1+N(INDEX(lr_s,31))),N(INDEX(lr_lrproj,31)))</f>
        <v>0.63400000000000001</v>
      </c>
      <c r="N34" s="49">
        <f t="shared" si="2"/>
        <v>0.64008228395563249</v>
      </c>
      <c r="O34" s="49">
        <f t="shared" si="3"/>
        <v>0.62859210179865366</v>
      </c>
      <c r="P34" s="49">
        <f t="shared" si="4"/>
        <v>-2.4509803921570761E-3</v>
      </c>
      <c r="Q34" s="49">
        <f t="shared" si="5"/>
        <v>2.4570024570023108E-3</v>
      </c>
      <c r="R34" s="50">
        <f>IF(N(INDEX(lr_aother,31))=0,1,INDEX(lr_aother,31))</f>
        <v>1</v>
      </c>
      <c r="S34" s="49">
        <f>IF(ISBLANK(INDEX(lr_trend,31)),N(nr_TrendDefault),N(INDEX(lr_trend,31)))</f>
        <v>0</v>
      </c>
      <c r="T34" s="77" t="str">
        <f>INDEX(lr_state,31)</f>
        <v>KY</v>
      </c>
      <c r="U34" s="77" t="str">
        <f>INDEX(lr_bu,31)</f>
        <v>BU-B</v>
      </c>
      <c r="V34" s="185">
        <f>N(INDEX(lr_ep,31))</f>
        <v>108000</v>
      </c>
      <c r="W34" s="50">
        <f>N(INDEX(lr_mind,31))*$V34</f>
        <v>91800</v>
      </c>
      <c r="X34" s="50">
        <f>N(INDEX(lr_m0,31))*$V34</f>
        <v>90720</v>
      </c>
      <c r="Y34" s="50">
        <f>N(INDEX(lr_m1,31))*$V34</f>
        <v>92880</v>
      </c>
      <c r="Z34" s="50">
        <f t="shared" si="6"/>
        <v>110160</v>
      </c>
      <c r="AA34" s="50">
        <f t="shared" si="7"/>
        <v>109889.99999999999</v>
      </c>
      <c r="AB34" s="50">
        <f t="shared" si="8"/>
        <v>108265.35626535627</v>
      </c>
      <c r="AC34" s="50">
        <f t="shared" si="9"/>
        <v>91151.094091903724</v>
      </c>
      <c r="AD34" s="50">
        <f t="shared" si="10"/>
        <v>108768.85350387277</v>
      </c>
      <c r="AE34" s="50">
        <f t="shared" si="11"/>
        <v>68472</v>
      </c>
      <c r="AF34" s="50">
        <f t="shared" si="12"/>
        <v>69128.88666720831</v>
      </c>
      <c r="AG34" s="50">
        <f t="shared" si="13"/>
        <v>0</v>
      </c>
      <c r="AH34" s="50">
        <f t="shared" si="14"/>
        <v>108000.00000000003</v>
      </c>
      <c r="AI34" s="50">
        <f t="shared" si="15"/>
        <v>107078.78074803561</v>
      </c>
      <c r="AJ34" s="50">
        <f t="shared" si="16"/>
        <v>67887.946994254598</v>
      </c>
      <c r="AK34" s="52">
        <f>IF($L$1696,1,0)</f>
        <v>0</v>
      </c>
      <c r="AL34" s="49">
        <f>IF($L$1696,$M$1696,0)</f>
        <v>0</v>
      </c>
    </row>
    <row r="35" spans="1:38" x14ac:dyDescent="0.25">
      <c r="A35" s="77" t="str">
        <f>$A$1750</f>
        <v>BU-B|MD</v>
      </c>
      <c r="B35" s="52">
        <f>$C$1750</f>
        <v>12</v>
      </c>
      <c r="C35" s="50">
        <f>$B$1801</f>
        <v>1.03</v>
      </c>
      <c r="D35" s="50">
        <f>$C$1801</f>
        <v>1.0026041666666667</v>
      </c>
      <c r="E35" s="50">
        <f>$D$1801</f>
        <v>1.0248958333333338</v>
      </c>
      <c r="F35" s="50">
        <f>$E$1801</f>
        <v>1.0300000000000002</v>
      </c>
      <c r="G35" s="169">
        <f>$F$1801</f>
        <v>0.84</v>
      </c>
      <c r="H35" s="169">
        <f>$G$1801</f>
        <v>0.84</v>
      </c>
      <c r="I35" s="50">
        <f t="shared" si="0"/>
        <v>1.0049801809126939</v>
      </c>
      <c r="J35" s="50">
        <f t="shared" si="1"/>
        <v>0.99999999999999978</v>
      </c>
      <c r="K35" s="50">
        <f>IF($L$1750,1,IF(AND(nr_ModAdjMaster="ON",INDEX(lr_modadj,32)="ON"),$F$1750/$G35,1))</f>
        <v>1.0119047619047619</v>
      </c>
      <c r="L35" s="50">
        <f>IF($L$1750,1,IF(AND(nr_ModAdjMaster="ON",INDEX(lr_modadj,32)="ON"),$F$1750/$H35,1))</f>
        <v>1.0119047619047619</v>
      </c>
      <c r="M35" s="49">
        <f>IF(INDEX(lr_basis,32)="proposed",N(INDEX(lr_lrproj,32))*(1+N(INDEX(lr_s,32))),N(INDEX(lr_lrproj,32)))</f>
        <v>0.66200000000000003</v>
      </c>
      <c r="N35" s="49">
        <f t="shared" si="2"/>
        <v>0.67321708071377717</v>
      </c>
      <c r="O35" s="49">
        <f t="shared" si="3"/>
        <v>0.66988095238095224</v>
      </c>
      <c r="P35" s="49">
        <f t="shared" si="4"/>
        <v>-4.9555016181225264E-3</v>
      </c>
      <c r="Q35" s="49">
        <f t="shared" si="5"/>
        <v>4.9801809126941432E-3</v>
      </c>
      <c r="R35" s="50">
        <f>IF(N(INDEX(lr_aother,32))=0,1,INDEX(lr_aother,32))</f>
        <v>1</v>
      </c>
      <c r="S35" s="49">
        <f>IF(ISBLANK(INDEX(lr_trend,32)),N(nr_TrendDefault),N(INDEX(lr_trend,32)))</f>
        <v>0</v>
      </c>
      <c r="T35" s="77" t="str">
        <f>INDEX(lr_state,32)</f>
        <v>MD</v>
      </c>
      <c r="U35" s="77" t="str">
        <f>INDEX(lr_bu,32)</f>
        <v>BU-B</v>
      </c>
      <c r="V35" s="185">
        <f>N(INDEX(lr_ep,32))</f>
        <v>90000</v>
      </c>
      <c r="W35" s="50">
        <f>N(INDEX(lr_mind,32))*$V35</f>
        <v>76500</v>
      </c>
      <c r="X35" s="50">
        <f>N(INDEX(lr_m0,32))*$V35</f>
        <v>75600</v>
      </c>
      <c r="Y35" s="50">
        <f>N(INDEX(lr_m1,32))*$V35</f>
        <v>75600</v>
      </c>
      <c r="Z35" s="50">
        <f t="shared" si="6"/>
        <v>92700</v>
      </c>
      <c r="AA35" s="50">
        <f t="shared" si="7"/>
        <v>92240.625000000044</v>
      </c>
      <c r="AB35" s="50">
        <f t="shared" si="8"/>
        <v>90448.216282142457</v>
      </c>
      <c r="AC35" s="50">
        <f t="shared" si="9"/>
        <v>75600</v>
      </c>
      <c r="AD35" s="50">
        <f t="shared" si="10"/>
        <v>91071.428571428565</v>
      </c>
      <c r="AE35" s="50">
        <f t="shared" si="11"/>
        <v>59580</v>
      </c>
      <c r="AF35" s="50">
        <f t="shared" si="12"/>
        <v>60589.537264239945</v>
      </c>
      <c r="AG35" s="50">
        <f t="shared" si="13"/>
        <v>0</v>
      </c>
      <c r="AH35" s="50">
        <f t="shared" si="14"/>
        <v>89999.999999999985</v>
      </c>
      <c r="AI35" s="50">
        <f t="shared" si="15"/>
        <v>91071.428571428565</v>
      </c>
      <c r="AJ35" s="50">
        <f t="shared" si="16"/>
        <v>60289.285714285703</v>
      </c>
      <c r="AK35" s="52">
        <f>IF($L$1750,1,0)</f>
        <v>0</v>
      </c>
      <c r="AL35" s="49">
        <f>IF($L$1750,$M$1750,0)</f>
        <v>0</v>
      </c>
    </row>
    <row r="36" spans="1:38" x14ac:dyDescent="0.25">
      <c r="A36" s="77" t="str">
        <f>$A$1804</f>
        <v>BU-B|MI</v>
      </c>
      <c r="B36" s="52">
        <f>$C$1804</f>
        <v>12</v>
      </c>
      <c r="C36" s="50">
        <f>$B$1855</f>
        <v>1</v>
      </c>
      <c r="D36" s="50">
        <f>$C$1855</f>
        <v>1</v>
      </c>
      <c r="E36" s="50">
        <f>$D$1855</f>
        <v>1</v>
      </c>
      <c r="F36" s="50">
        <f>$E$1855</f>
        <v>1</v>
      </c>
      <c r="G36" s="169">
        <f>$F$1855</f>
        <v>0.84299370897155379</v>
      </c>
      <c r="H36" s="169">
        <f>$G$1855</f>
        <v>0.85298453455506928</v>
      </c>
      <c r="I36" s="50">
        <f t="shared" ref="I36:I72" si="17">$C36/$E36</f>
        <v>1</v>
      </c>
      <c r="J36" s="50">
        <f t="shared" ref="J36:J72" si="18">$C36/$F36</f>
        <v>1</v>
      </c>
      <c r="K36" s="50">
        <f>IF($L$1804,1,IF(AND(nr_ModAdjMaster="ON",INDEX(lr_modadj,33)="ON"),$F$1804/$G36,1))</f>
        <v>1.0083112020337539</v>
      </c>
      <c r="L36" s="50">
        <f>IF($L$1804,1,IF(AND(nr_ModAdjMaster="ON",INDEX(lr_modadj,33)="ON"),$F$1804/$H36,1))</f>
        <v>0.99650106838498997</v>
      </c>
      <c r="M36" s="49">
        <f>IF(INDEX(lr_basis,33)="proposed",N(INDEX(lr_lrproj,33))*(1+N(INDEX(lr_s,33))),N(INDEX(lr_lrproj,33)))</f>
        <v>0.64600000000000002</v>
      </c>
      <c r="N36" s="49">
        <f t="shared" ref="N36:N72" si="19">$M36*$I36*$K36*$R36</f>
        <v>0.65136903651380507</v>
      </c>
      <c r="O36" s="49">
        <f t="shared" ref="O36:O72" si="20">$M36*(1+$S36)*$J36*$L36*$R36</f>
        <v>0.64373969017670352</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72000</v>
      </c>
      <c r="W36" s="50">
        <f>N(INDEX(lr_mind,33))*$V36</f>
        <v>61200</v>
      </c>
      <c r="X36" s="50">
        <f>N(INDEX(lr_m0,33))*$V36</f>
        <v>60480</v>
      </c>
      <c r="Y36" s="50">
        <f>N(INDEX(lr_m1,33))*$V36</f>
        <v>61560</v>
      </c>
      <c r="Z36" s="50">
        <f t="shared" ref="Z36:Z72" si="23">$C36*$V36</f>
        <v>72000</v>
      </c>
      <c r="AA36" s="50">
        <f t="shared" ref="AA36:AA72" si="24">$E36*$V36</f>
        <v>72000</v>
      </c>
      <c r="AB36" s="50">
        <f t="shared" ref="AB36:AB72" si="25">$I36*$V36</f>
        <v>72000</v>
      </c>
      <c r="AC36" s="50">
        <f t="shared" ref="AC36:AC72" si="26">$G36*$V36</f>
        <v>60695.547045951876</v>
      </c>
      <c r="AD36" s="50">
        <f t="shared" ref="AD36:AD72" si="27">$K36*$V36</f>
        <v>72598.406546430284</v>
      </c>
      <c r="AE36" s="50">
        <f t="shared" ref="AE36:AE72" si="28">$M36*$V36</f>
        <v>46512</v>
      </c>
      <c r="AF36" s="50">
        <f t="shared" ref="AF36:AF72" si="29">$N36*$V36</f>
        <v>46898.570628993963</v>
      </c>
      <c r="AG36" s="50">
        <f t="shared" ref="AG36:AG72" si="30">$S36*$V36</f>
        <v>0</v>
      </c>
      <c r="AH36" s="50">
        <f t="shared" ref="AH36:AH72" si="31">$J36*$V36</f>
        <v>72000</v>
      </c>
      <c r="AI36" s="50">
        <f t="shared" ref="AI36:AI72" si="32">$L36*$V36</f>
        <v>71748.076923719273</v>
      </c>
      <c r="AJ36" s="50">
        <f t="shared" ref="AJ36:AJ72" si="33">$O36*$V36</f>
        <v>46349.257692722655</v>
      </c>
      <c r="AK36" s="52">
        <f>IF($L$1804,1,0)</f>
        <v>0</v>
      </c>
      <c r="AL36" s="49">
        <f>IF($L$1804,$M$1804,0)</f>
        <v>0</v>
      </c>
    </row>
    <row r="37" spans="1:38" x14ac:dyDescent="0.25">
      <c r="A37" s="77" t="str">
        <f>$A$1858</f>
        <v>BU-B|MN</v>
      </c>
      <c r="B37" s="52">
        <f>$C$1858</f>
        <v>12</v>
      </c>
      <c r="C37" s="50">
        <f>$B$1909</f>
        <v>1.05</v>
      </c>
      <c r="D37" s="50">
        <f>$C$1909</f>
        <v>1.0015624999999999</v>
      </c>
      <c r="E37" s="50">
        <f>$D$1909</f>
        <v>1.04775</v>
      </c>
      <c r="F37" s="50">
        <f>$E$1909</f>
        <v>1.0906875</v>
      </c>
      <c r="G37" s="169">
        <f>$F$1909</f>
        <v>0.83900209700948214</v>
      </c>
      <c r="H37" s="169">
        <f>$G$1909</f>
        <v>0.8356718218149769</v>
      </c>
      <c r="I37" s="50">
        <f t="shared" si="17"/>
        <v>1.0021474588403723</v>
      </c>
      <c r="J37" s="50">
        <f t="shared" si="18"/>
        <v>0.96269554753309272</v>
      </c>
      <c r="K37" s="50">
        <f>IF($L$1858,1,IF(AND(nr_ModAdjMaster="ON",INDEX(lr_modadj,34)="ON"),$F$1858/$G37,1))</f>
        <v>1.0131083140670547</v>
      </c>
      <c r="L37" s="50">
        <f>IF($L$1858,1,IF(AND(nr_ModAdjMaster="ON",INDEX(lr_modadj,34)="ON"),$F$1858/$H37,1))</f>
        <v>1.0171456997962478</v>
      </c>
      <c r="M37" s="49">
        <f>IF(INDEX(lr_basis,34)="proposed",N(INDEX(lr_lrproj,34))*(1+N(INDEX(lr_s,34))),N(INDEX(lr_lrproj,34)))</f>
        <v>0.63</v>
      </c>
      <c r="N37" s="49">
        <f t="shared" si="19"/>
        <v>0.63962887115758216</v>
      </c>
      <c r="O37" s="49">
        <f t="shared" si="20"/>
        <v>0.61689703092335613</v>
      </c>
      <c r="P37" s="49">
        <f t="shared" si="21"/>
        <v>-2.1428571428572241E-3</v>
      </c>
      <c r="Q37" s="49">
        <f t="shared" si="22"/>
        <v>4.0980672870436718E-2</v>
      </c>
      <c r="R37" s="50">
        <f>IF(N(INDEX(lr_aother,34))=0,1,INDEX(lr_aother,34))</f>
        <v>1</v>
      </c>
      <c r="S37" s="49">
        <f>IF(ISBLANK(INDEX(lr_trend,34)),N(nr_TrendDefault),N(INDEX(lr_trend,34)))</f>
        <v>0</v>
      </c>
      <c r="T37" s="77" t="str">
        <f>INDEX(lr_state,34)</f>
        <v>MN</v>
      </c>
      <c r="U37" s="77" t="str">
        <f>INDEX(lr_bu,34)</f>
        <v>BU-B</v>
      </c>
      <c r="V37" s="185">
        <f>N(INDEX(lr_ep,34))</f>
        <v>54000</v>
      </c>
      <c r="W37" s="50">
        <f>N(INDEX(lr_mind,34))*$V37</f>
        <v>45900</v>
      </c>
      <c r="X37" s="50">
        <f>N(INDEX(lr_m0,34))*$V37</f>
        <v>45360</v>
      </c>
      <c r="Y37" s="50">
        <f>N(INDEX(lr_m1,34))*$V37</f>
        <v>45090</v>
      </c>
      <c r="Z37" s="50">
        <f t="shared" si="23"/>
        <v>56700</v>
      </c>
      <c r="AA37" s="50">
        <f t="shared" si="24"/>
        <v>56578.5</v>
      </c>
      <c r="AB37" s="50">
        <f t="shared" si="25"/>
        <v>54115.962777380104</v>
      </c>
      <c r="AC37" s="50">
        <f t="shared" si="26"/>
        <v>45306.113238512036</v>
      </c>
      <c r="AD37" s="50">
        <f t="shared" si="27"/>
        <v>54707.848959620955</v>
      </c>
      <c r="AE37" s="50">
        <f t="shared" si="28"/>
        <v>34020</v>
      </c>
      <c r="AF37" s="50">
        <f t="shared" si="29"/>
        <v>34539.959042509436</v>
      </c>
      <c r="AG37" s="50">
        <f t="shared" si="30"/>
        <v>0</v>
      </c>
      <c r="AH37" s="50">
        <f t="shared" si="31"/>
        <v>51985.559566787007</v>
      </c>
      <c r="AI37" s="50">
        <f t="shared" si="32"/>
        <v>54925.867788997384</v>
      </c>
      <c r="AJ37" s="50">
        <f t="shared" si="33"/>
        <v>33312.439669861233</v>
      </c>
      <c r="AK37" s="52">
        <f>IF($L$1858,1,0)</f>
        <v>0</v>
      </c>
      <c r="AL37" s="49">
        <f>IF($L$1858,$M$1858,0)</f>
        <v>0</v>
      </c>
    </row>
    <row r="38" spans="1:38" x14ac:dyDescent="0.25">
      <c r="A38" s="77" t="str">
        <f>$A$1912</f>
        <v>BU-B|MO</v>
      </c>
      <c r="B38" s="52">
        <f>$C$1912</f>
        <v>12</v>
      </c>
      <c r="C38" s="50">
        <f>$B$1963</f>
        <v>1.06</v>
      </c>
      <c r="D38" s="50">
        <f>$C$1963</f>
        <v>1.0008333333333335</v>
      </c>
      <c r="E38" s="50">
        <f>$D$1963</f>
        <v>1.0391666666666668</v>
      </c>
      <c r="F38" s="50">
        <f>$E$1963</f>
        <v>1.0600000000000003</v>
      </c>
      <c r="G38" s="169">
        <f>$F$1963</f>
        <v>0.84199580598103541</v>
      </c>
      <c r="H38" s="169">
        <f>$G$1963</f>
        <v>0.84865635637004611</v>
      </c>
      <c r="I38" s="50">
        <f t="shared" si="17"/>
        <v>1.020048115477145</v>
      </c>
      <c r="J38" s="50">
        <f t="shared" si="18"/>
        <v>0.99999999999999978</v>
      </c>
      <c r="K38" s="50">
        <f>IF($L$1912,1,IF(AND(nr_ModAdjMaster="ON",INDEX(lr_modadj,35)="ON"),$F$1912/$G38,1))</f>
        <v>1.0095062160192576</v>
      </c>
      <c r="L38" s="50">
        <f>IF($L$1912,1,IF(AND(nr_ModAdjMaster="ON",INDEX(lr_modadj,35)="ON"),$F$1912/$H38,1))</f>
        <v>1.0015832599613124</v>
      </c>
      <c r="M38" s="49">
        <f>IF(INDEX(lr_basis,35)="proposed",N(INDEX(lr_lrproj,35))*(1+N(INDEX(lr_s,35))),N(INDEX(lr_lrproj,35)))</f>
        <v>0.65800000000000003</v>
      </c>
      <c r="N38" s="49">
        <f t="shared" si="19"/>
        <v>0.67757215289409312</v>
      </c>
      <c r="O38" s="49">
        <f t="shared" si="20"/>
        <v>0.65904178505454347</v>
      </c>
      <c r="P38" s="49">
        <f t="shared" si="21"/>
        <v>-1.9654088050314433E-2</v>
      </c>
      <c r="Q38" s="49">
        <f t="shared" si="22"/>
        <v>2.0048115477145245E-2</v>
      </c>
      <c r="R38" s="50">
        <f>IF(N(INDEX(lr_aother,35))=0,1,INDEX(lr_aother,35))</f>
        <v>1</v>
      </c>
      <c r="S38" s="49">
        <f>IF(ISBLANK(INDEX(lr_trend,35)),N(nr_TrendDefault),N(INDEX(lr_trend,35)))</f>
        <v>0</v>
      </c>
      <c r="T38" s="77" t="str">
        <f>INDEX(lr_state,35)</f>
        <v>MO</v>
      </c>
      <c r="U38" s="77" t="str">
        <f>INDEX(lr_bu,35)</f>
        <v>BU-B</v>
      </c>
      <c r="V38" s="185">
        <f>N(INDEX(lr_ep,35))</f>
        <v>36000</v>
      </c>
      <c r="W38" s="50">
        <f>N(INDEX(lr_mind,35))*$V38</f>
        <v>30600</v>
      </c>
      <c r="X38" s="50">
        <f>N(INDEX(lr_m0,35))*$V38</f>
        <v>30240</v>
      </c>
      <c r="Y38" s="50">
        <f>N(INDEX(lr_m1,35))*$V38</f>
        <v>30600</v>
      </c>
      <c r="Z38" s="50">
        <f t="shared" si="23"/>
        <v>38160</v>
      </c>
      <c r="AA38" s="50">
        <f t="shared" si="24"/>
        <v>37410.000000000007</v>
      </c>
      <c r="AB38" s="50">
        <f t="shared" si="25"/>
        <v>36721.732157177219</v>
      </c>
      <c r="AC38" s="50">
        <f t="shared" si="26"/>
        <v>30311.849015317275</v>
      </c>
      <c r="AD38" s="50">
        <f t="shared" si="27"/>
        <v>36342.223776693274</v>
      </c>
      <c r="AE38" s="50">
        <f t="shared" si="28"/>
        <v>23688</v>
      </c>
      <c r="AF38" s="50">
        <f t="shared" si="29"/>
        <v>24392.597504187353</v>
      </c>
      <c r="AG38" s="50">
        <f t="shared" si="30"/>
        <v>0</v>
      </c>
      <c r="AH38" s="50">
        <f t="shared" si="31"/>
        <v>35999.999999999993</v>
      </c>
      <c r="AI38" s="50">
        <f t="shared" si="32"/>
        <v>36056.997358607245</v>
      </c>
      <c r="AJ38" s="50">
        <f t="shared" si="33"/>
        <v>23725.504261963564</v>
      </c>
      <c r="AK38" s="52">
        <f>IF($L$1912,1,0)</f>
        <v>0</v>
      </c>
      <c r="AL38" s="49">
        <f>IF($L$1912,$M$1912,0)</f>
        <v>0</v>
      </c>
    </row>
    <row r="39" spans="1:38" x14ac:dyDescent="0.25">
      <c r="A39" s="77" t="str">
        <f>$A$1966</f>
        <v>BU-B|NC</v>
      </c>
      <c r="B39" s="52">
        <f>$C$1966</f>
        <v>12</v>
      </c>
      <c r="C39" s="50">
        <f>$B$2017</f>
        <v>1</v>
      </c>
      <c r="D39" s="50">
        <f>$C$2017</f>
        <v>1</v>
      </c>
      <c r="E39" s="50">
        <f>$D$2017</f>
        <v>1</v>
      </c>
      <c r="F39" s="50">
        <f>$E$2017</f>
        <v>1</v>
      </c>
      <c r="G39" s="169">
        <f>$F$2017</f>
        <v>0.8380041940189642</v>
      </c>
      <c r="H39" s="169">
        <f>$G$2017</f>
        <v>0.83134364362995383</v>
      </c>
      <c r="I39" s="50">
        <f t="shared" si="17"/>
        <v>1</v>
      </c>
      <c r="J39" s="50">
        <f t="shared" si="18"/>
        <v>1</v>
      </c>
      <c r="K39" s="50">
        <f>IF($L$1966,1,IF(AND(nr_ModAdjMaster="ON",INDEX(lr_modadj,36)="ON"),$F$1966/$G39,1))</f>
        <v>1.0143147326309971</v>
      </c>
      <c r="L39" s="50">
        <f>IF($L$1966,1,IF(AND(nr_ModAdjMaster="ON",INDEX(lr_modadj,36)="ON"),$F$1966/$H39,1))</f>
        <v>1.0224412088947785</v>
      </c>
      <c r="M39" s="49">
        <f>IF(INDEX(lr_basis,36)="proposed",N(INDEX(lr_lrproj,36))*(1+N(INDEX(lr_s,36))),N(INDEX(lr_lrproj,36)))</f>
        <v>0.64200000000000002</v>
      </c>
      <c r="N39" s="49">
        <f t="shared" si="19"/>
        <v>0.65119005834910015</v>
      </c>
      <c r="O39" s="49">
        <f t="shared" si="20"/>
        <v>0.65640725611044781</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94500</v>
      </c>
      <c r="W39" s="50">
        <f>N(INDEX(lr_mind,36))*$V39</f>
        <v>80325</v>
      </c>
      <c r="X39" s="50">
        <f>N(INDEX(lr_m0,36))*$V39</f>
        <v>79380</v>
      </c>
      <c r="Y39" s="50">
        <f>N(INDEX(lr_m1,36))*$V39</f>
        <v>78435</v>
      </c>
      <c r="Z39" s="50">
        <f t="shared" si="23"/>
        <v>94500</v>
      </c>
      <c r="AA39" s="50">
        <f t="shared" si="24"/>
        <v>94500</v>
      </c>
      <c r="AB39" s="50">
        <f t="shared" si="25"/>
        <v>94500</v>
      </c>
      <c r="AC39" s="50">
        <f t="shared" si="26"/>
        <v>79191.396334792124</v>
      </c>
      <c r="AD39" s="50">
        <f t="shared" si="27"/>
        <v>95852.742233629237</v>
      </c>
      <c r="AE39" s="50">
        <f t="shared" si="28"/>
        <v>60669</v>
      </c>
      <c r="AF39" s="50">
        <f t="shared" si="29"/>
        <v>61537.460513989965</v>
      </c>
      <c r="AG39" s="50">
        <f t="shared" si="30"/>
        <v>0</v>
      </c>
      <c r="AH39" s="50">
        <f t="shared" si="31"/>
        <v>94500</v>
      </c>
      <c r="AI39" s="50">
        <f t="shared" si="32"/>
        <v>96620.694240556564</v>
      </c>
      <c r="AJ39" s="50">
        <f t="shared" si="33"/>
        <v>62030.48570243732</v>
      </c>
      <c r="AK39" s="52">
        <f>IF($L$1966,1,0)</f>
        <v>0</v>
      </c>
      <c r="AL39" s="49">
        <f>IF($L$1966,$M$1966,0)</f>
        <v>0</v>
      </c>
    </row>
    <row r="40" spans="1:38" x14ac:dyDescent="0.25">
      <c r="A40" s="77" t="str">
        <f>$A$2020</f>
        <v>BU-B|NJ</v>
      </c>
      <c r="B40" s="52">
        <f>$C$2020</f>
        <v>12</v>
      </c>
      <c r="C40" s="50">
        <f>$B$2071</f>
        <v>1.03</v>
      </c>
      <c r="D40" s="50">
        <f>$C$2071</f>
        <v>1.0150000000000003</v>
      </c>
      <c r="E40" s="50">
        <f>$D$2071</f>
        <v>1.0300000000000002</v>
      </c>
      <c r="F40" s="50">
        <f>$E$2071</f>
        <v>1.0300000000000002</v>
      </c>
      <c r="G40" s="169">
        <f>$F$2071</f>
        <v>0.84099790299051769</v>
      </c>
      <c r="H40" s="169">
        <f>$G$2071</f>
        <v>0.84432817818502282</v>
      </c>
      <c r="I40" s="50">
        <f t="shared" si="17"/>
        <v>0.99999999999999978</v>
      </c>
      <c r="J40" s="50">
        <f t="shared" si="18"/>
        <v>0.99999999999999978</v>
      </c>
      <c r="K40" s="50">
        <f>IF($L$2020,1,IF(AND(nr_ModAdjMaster="ON",INDEX(lr_modadj,37)="ON"),$F$2020/$G40,1))</f>
        <v>1.0107040659405588</v>
      </c>
      <c r="L40" s="50">
        <f>IF($L$2020,1,IF(AND(nr_ModAdjMaster="ON",INDEX(lr_modadj,37)="ON"),$F$2020/$H40,1))</f>
        <v>1.0067175559948376</v>
      </c>
      <c r="M40" s="49">
        <f>IF(INDEX(lr_basis,37)="proposed",N(INDEX(lr_lrproj,37))*(1+N(INDEX(lr_s,37))),N(INDEX(lr_lrproj,37)))</f>
        <v>0.67</v>
      </c>
      <c r="N40" s="49">
        <f t="shared" si="19"/>
        <v>0.67717172418017435</v>
      </c>
      <c r="O40" s="49">
        <f t="shared" si="20"/>
        <v>0.67450076251654112</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76500</v>
      </c>
      <c r="W40" s="50">
        <f>N(INDEX(lr_mind,37))*$V40</f>
        <v>65025</v>
      </c>
      <c r="X40" s="50">
        <f>N(INDEX(lr_m0,37))*$V40</f>
        <v>64260</v>
      </c>
      <c r="Y40" s="50">
        <f>N(INDEX(lr_m1,37))*$V40</f>
        <v>64642.5</v>
      </c>
      <c r="Z40" s="50">
        <f t="shared" si="23"/>
        <v>78795</v>
      </c>
      <c r="AA40" s="50">
        <f t="shared" si="24"/>
        <v>78795.000000000015</v>
      </c>
      <c r="AB40" s="50">
        <f t="shared" si="25"/>
        <v>76499.999999999985</v>
      </c>
      <c r="AC40" s="50">
        <f t="shared" si="26"/>
        <v>64336.339578774605</v>
      </c>
      <c r="AD40" s="50">
        <f t="shared" si="27"/>
        <v>77318.861044452744</v>
      </c>
      <c r="AE40" s="50">
        <f t="shared" si="28"/>
        <v>51255</v>
      </c>
      <c r="AF40" s="50">
        <f t="shared" si="29"/>
        <v>51803.636899783334</v>
      </c>
      <c r="AG40" s="50">
        <f t="shared" si="30"/>
        <v>0</v>
      </c>
      <c r="AH40" s="50">
        <f t="shared" si="31"/>
        <v>76499.999999999985</v>
      </c>
      <c r="AI40" s="50">
        <f t="shared" si="32"/>
        <v>77013.893033605069</v>
      </c>
      <c r="AJ40" s="50">
        <f t="shared" si="33"/>
        <v>51599.308332515393</v>
      </c>
      <c r="AK40" s="52">
        <f>IF($L$2020,1,0)</f>
        <v>0</v>
      </c>
      <c r="AL40" s="49">
        <f>IF($L$2020,$M$2020,0)</f>
        <v>0</v>
      </c>
    </row>
    <row r="41" spans="1:38" x14ac:dyDescent="0.25">
      <c r="A41" s="77" t="str">
        <f>$A$2074</f>
        <v>BU-B|NY</v>
      </c>
      <c r="B41" s="52">
        <f>$C$2074</f>
        <v>12</v>
      </c>
      <c r="C41" s="50">
        <f>$B$2125</f>
        <v>1.04</v>
      </c>
      <c r="D41" s="50">
        <f>$C$2125</f>
        <v>1.0168055555555555</v>
      </c>
      <c r="E41" s="50">
        <f>$D$2125</f>
        <v>1.0434722222222224</v>
      </c>
      <c r="F41" s="50">
        <f>$E$2125</f>
        <v>1.0745222222222226</v>
      </c>
      <c r="G41" s="169">
        <f>$F$2125</f>
        <v>0.84399161196207151</v>
      </c>
      <c r="H41" s="169">
        <f>$G$2125</f>
        <v>0.85731271274009246</v>
      </c>
      <c r="I41" s="50">
        <f t="shared" si="17"/>
        <v>0.99667243444695852</v>
      </c>
      <c r="J41" s="50">
        <f t="shared" si="18"/>
        <v>0.96787202580992038</v>
      </c>
      <c r="K41" s="50">
        <f>IF($L$2074,1,IF(AND(nr_ModAdjMaster="ON",INDEX(lr_modadj,38)="ON"),$F$2074/$G41,1))</f>
        <v>1.0071190139247479</v>
      </c>
      <c r="L41" s="50">
        <f>IF($L$2074,1,IF(AND(nr_ModAdjMaster="ON",INDEX(lr_modadj,38)="ON"),$F$2074/$H41,1))</f>
        <v>0.99147019211144083</v>
      </c>
      <c r="M41" s="49">
        <f>IF(INDEX(lr_basis,38)="proposed",N(INDEX(lr_lrproj,38))*(1+N(INDEX(lr_s,38))),N(INDEX(lr_lrproj,38)))</f>
        <v>0.65400000000000003</v>
      </c>
      <c r="N41" s="49">
        <f t="shared" si="19"/>
        <v>0.65646411463857401</v>
      </c>
      <c r="O41" s="49">
        <f t="shared" si="20"/>
        <v>0.62758903624335949</v>
      </c>
      <c r="P41" s="49">
        <f t="shared" si="21"/>
        <v>3.3386752136752573E-3</v>
      </c>
      <c r="Q41" s="49">
        <f t="shared" si="22"/>
        <v>2.9756422201517641E-2</v>
      </c>
      <c r="R41" s="50">
        <f>IF(N(INDEX(lr_aother,38))=0,1,INDEX(lr_aother,38))</f>
        <v>1</v>
      </c>
      <c r="S41" s="49">
        <f>IF(ISBLANK(INDEX(lr_trend,38)),N(nr_TrendDefault),N(INDEX(lr_trend,38)))</f>
        <v>0</v>
      </c>
      <c r="T41" s="77" t="str">
        <f>INDEX(lr_state,38)</f>
        <v>NY</v>
      </c>
      <c r="U41" s="77" t="str">
        <f>INDEX(lr_bu,38)</f>
        <v>BU-B</v>
      </c>
      <c r="V41" s="185">
        <f>N(INDEX(lr_ep,38))</f>
        <v>58500</v>
      </c>
      <c r="W41" s="50">
        <f>N(INDEX(lr_mind,38))*$V41</f>
        <v>49725</v>
      </c>
      <c r="X41" s="50">
        <f>N(INDEX(lr_m0,38))*$V41</f>
        <v>49140</v>
      </c>
      <c r="Y41" s="50">
        <f>N(INDEX(lr_m1,38))*$V41</f>
        <v>50310</v>
      </c>
      <c r="Z41" s="50">
        <f t="shared" si="23"/>
        <v>60840</v>
      </c>
      <c r="AA41" s="50">
        <f t="shared" si="24"/>
        <v>61043.125000000007</v>
      </c>
      <c r="AB41" s="50">
        <f t="shared" si="25"/>
        <v>58305.337415147071</v>
      </c>
      <c r="AC41" s="50">
        <f t="shared" si="26"/>
        <v>49373.509299781181</v>
      </c>
      <c r="AD41" s="50">
        <f t="shared" si="27"/>
        <v>58916.462314597753</v>
      </c>
      <c r="AE41" s="50">
        <f t="shared" si="28"/>
        <v>38259</v>
      </c>
      <c r="AF41" s="50">
        <f t="shared" si="29"/>
        <v>38403.15070635658</v>
      </c>
      <c r="AG41" s="50">
        <f t="shared" si="30"/>
        <v>0</v>
      </c>
      <c r="AH41" s="50">
        <f t="shared" si="31"/>
        <v>56620.513509880344</v>
      </c>
      <c r="AI41" s="50">
        <f t="shared" si="32"/>
        <v>58001.006238519287</v>
      </c>
      <c r="AJ41" s="50">
        <f t="shared" si="33"/>
        <v>36713.958620236532</v>
      </c>
      <c r="AK41" s="52">
        <f>IF($L$2074,1,0)</f>
        <v>0</v>
      </c>
      <c r="AL41" s="49">
        <f>IF($L$2074,$M$2074,0)</f>
        <v>0</v>
      </c>
    </row>
    <row r="42" spans="1:38" x14ac:dyDescent="0.25">
      <c r="A42" s="77" t="str">
        <f>$A$2128</f>
        <v>BU-B|OH</v>
      </c>
      <c r="B42" s="52">
        <f>$C$2128</f>
        <v>12</v>
      </c>
      <c r="C42" s="50">
        <f>$B$2179</f>
        <v>1</v>
      </c>
      <c r="D42" s="50">
        <f>$C$2179</f>
        <v>1</v>
      </c>
      <c r="E42" s="50">
        <f>$D$2179</f>
        <v>1</v>
      </c>
      <c r="F42" s="50">
        <f>$E$2179</f>
        <v>1</v>
      </c>
      <c r="G42" s="169">
        <f>$F$2179</f>
        <v>0.84</v>
      </c>
      <c r="H42" s="169">
        <f>$G$2179</f>
        <v>0.84</v>
      </c>
      <c r="I42" s="50">
        <f t="shared" si="17"/>
        <v>1</v>
      </c>
      <c r="J42" s="50">
        <f t="shared" si="18"/>
        <v>1</v>
      </c>
      <c r="K42" s="50">
        <f>IF($L$2128,1,IF(AND(nr_ModAdjMaster="ON",INDEX(lr_modadj,39)="ON"),$F$2128/$G42,1))</f>
        <v>1.0119047619047619</v>
      </c>
      <c r="L42" s="50">
        <f>IF($L$2128,1,IF(AND(nr_ModAdjMaster="ON",INDEX(lr_modadj,39)="ON"),$F$2128/$H42,1))</f>
        <v>1.0119047619047619</v>
      </c>
      <c r="M42" s="49">
        <f>IF(INDEX(lr_basis,39)="proposed",N(INDEX(lr_lrproj,39))*(1+N(INDEX(lr_s,39))),N(INDEX(lr_lrproj,39)))</f>
        <v>0.63800000000000001</v>
      </c>
      <c r="N42" s="49">
        <f t="shared" si="19"/>
        <v>0.64559523809523811</v>
      </c>
      <c r="O42" s="49">
        <f t="shared" si="20"/>
        <v>0.64559523809523811</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40500</v>
      </c>
      <c r="W42" s="50">
        <f>N(INDEX(lr_mind,39))*$V42</f>
        <v>34425</v>
      </c>
      <c r="X42" s="50">
        <f>N(INDEX(lr_m0,39))*$V42</f>
        <v>34020</v>
      </c>
      <c r="Y42" s="50">
        <f>N(INDEX(lr_m1,39))*$V42</f>
        <v>34020</v>
      </c>
      <c r="Z42" s="50">
        <f t="shared" si="23"/>
        <v>40500</v>
      </c>
      <c r="AA42" s="50">
        <f t="shared" si="24"/>
        <v>40500</v>
      </c>
      <c r="AB42" s="50">
        <f t="shared" si="25"/>
        <v>40500</v>
      </c>
      <c r="AC42" s="50">
        <f t="shared" si="26"/>
        <v>34020</v>
      </c>
      <c r="AD42" s="50">
        <f t="shared" si="27"/>
        <v>40982.142857142855</v>
      </c>
      <c r="AE42" s="50">
        <f t="shared" si="28"/>
        <v>25839</v>
      </c>
      <c r="AF42" s="50">
        <f t="shared" si="29"/>
        <v>26146.607142857145</v>
      </c>
      <c r="AG42" s="50">
        <f t="shared" si="30"/>
        <v>0</v>
      </c>
      <c r="AH42" s="50">
        <f t="shared" si="31"/>
        <v>40500</v>
      </c>
      <c r="AI42" s="50">
        <f t="shared" si="32"/>
        <v>40982.142857142855</v>
      </c>
      <c r="AJ42" s="50">
        <f t="shared" si="33"/>
        <v>26146.607142857145</v>
      </c>
      <c r="AK42" s="52">
        <f>IF($L$2128,1,0)</f>
        <v>0</v>
      </c>
      <c r="AL42" s="49">
        <f>IF($L$2128,$M$2128,0)</f>
        <v>0</v>
      </c>
    </row>
    <row r="43" spans="1:38" x14ac:dyDescent="0.25">
      <c r="A43" s="77" t="str">
        <f>$A$2182</f>
        <v>BU-B|PA</v>
      </c>
      <c r="B43" s="52">
        <f>$C$2182</f>
        <v>12</v>
      </c>
      <c r="C43" s="50">
        <f>$B$2233</f>
        <v>1.06</v>
      </c>
      <c r="D43" s="50">
        <f>$C$2233</f>
        <v>1.016875</v>
      </c>
      <c r="E43" s="50">
        <f>$D$2233</f>
        <v>1.0581250000000002</v>
      </c>
      <c r="F43" s="50">
        <f>$E$2233</f>
        <v>1.0600000000000003</v>
      </c>
      <c r="G43" s="169">
        <f>$F$2233</f>
        <v>0.84299370897155379</v>
      </c>
      <c r="H43" s="169">
        <f>$G$2233</f>
        <v>0.85298453455506928</v>
      </c>
      <c r="I43" s="50">
        <f t="shared" si="17"/>
        <v>1.0017720023626697</v>
      </c>
      <c r="J43" s="50">
        <f t="shared" si="18"/>
        <v>0.99999999999999978</v>
      </c>
      <c r="K43" s="50">
        <f>IF($L$2182,1,IF(AND(nr_ModAdjMaster="ON",INDEX(lr_modadj,40)="ON"),$F$2182/$G43,1))</f>
        <v>1.0083112020337539</v>
      </c>
      <c r="L43" s="50">
        <f>IF($L$2182,1,IF(AND(nr_ModAdjMaster="ON",INDEX(lr_modadj,40)="ON"),$F$2182/$H43,1))</f>
        <v>0.99650106838498997</v>
      </c>
      <c r="M43" s="49">
        <f>IF(INDEX(lr_basis,40)="proposed",N(INDEX(lr_lrproj,40))*(1+N(INDEX(lr_s,40))),N(INDEX(lr_lrproj,40)))</f>
        <v>0.66600000000000004</v>
      </c>
      <c r="N43" s="49">
        <f t="shared" si="19"/>
        <v>0.67272522262279877</v>
      </c>
      <c r="O43" s="49">
        <f t="shared" si="20"/>
        <v>0.66366971154440324</v>
      </c>
      <c r="P43" s="49">
        <f t="shared" si="21"/>
        <v>-1.768867924528128E-3</v>
      </c>
      <c r="Q43" s="49">
        <f t="shared" si="22"/>
        <v>1.7720023626699444E-3</v>
      </c>
      <c r="R43" s="50">
        <f>IF(N(INDEX(lr_aother,40))=0,1,INDEX(lr_aother,40))</f>
        <v>1</v>
      </c>
      <c r="S43" s="49">
        <f>IF(ISBLANK(INDEX(lr_trend,40)),N(nr_TrendDefault),N(INDEX(lr_trend,40)))</f>
        <v>0</v>
      </c>
      <c r="T43" s="77" t="str">
        <f>INDEX(lr_state,40)</f>
        <v>PA</v>
      </c>
      <c r="U43" s="77" t="str">
        <f>INDEX(lr_bu,40)</f>
        <v>BU-B</v>
      </c>
      <c r="V43" s="185">
        <f>N(INDEX(lr_ep,40))</f>
        <v>99000</v>
      </c>
      <c r="W43" s="50">
        <f>N(INDEX(lr_mind,40))*$V43</f>
        <v>84150</v>
      </c>
      <c r="X43" s="50">
        <f>N(INDEX(lr_m0,40))*$V43</f>
        <v>83160</v>
      </c>
      <c r="Y43" s="50">
        <f>N(INDEX(lr_m1,40))*$V43</f>
        <v>84645</v>
      </c>
      <c r="Z43" s="50">
        <f t="shared" si="23"/>
        <v>104940</v>
      </c>
      <c r="AA43" s="50">
        <f t="shared" si="24"/>
        <v>104754.37500000001</v>
      </c>
      <c r="AB43" s="50">
        <f t="shared" si="25"/>
        <v>99175.428233904298</v>
      </c>
      <c r="AC43" s="50">
        <f t="shared" si="26"/>
        <v>83456.377188183818</v>
      </c>
      <c r="AD43" s="50">
        <f t="shared" si="27"/>
        <v>99822.809001341637</v>
      </c>
      <c r="AE43" s="50">
        <f t="shared" si="28"/>
        <v>65934</v>
      </c>
      <c r="AF43" s="50">
        <f t="shared" si="29"/>
        <v>66599.797039657074</v>
      </c>
      <c r="AG43" s="50">
        <f t="shared" si="30"/>
        <v>0</v>
      </c>
      <c r="AH43" s="50">
        <f t="shared" si="31"/>
        <v>98999.999999999971</v>
      </c>
      <c r="AI43" s="50">
        <f t="shared" si="32"/>
        <v>98653.605770114009</v>
      </c>
      <c r="AJ43" s="50">
        <f t="shared" si="33"/>
        <v>65703.301442895914</v>
      </c>
      <c r="AK43" s="52">
        <f>IF($L$2182,1,0)</f>
        <v>0</v>
      </c>
      <c r="AL43" s="49">
        <f>IF($L$2182,$M$2182,0)</f>
        <v>0</v>
      </c>
    </row>
    <row r="44" spans="1:38" x14ac:dyDescent="0.25">
      <c r="A44" s="77" t="str">
        <f>$A$2236</f>
        <v>BU-B|TN</v>
      </c>
      <c r="B44" s="52">
        <f>$C$2236</f>
        <v>12</v>
      </c>
      <c r="C44" s="50">
        <f>$B$2287</f>
        <v>1.02</v>
      </c>
      <c r="D44" s="50">
        <f>$C$2287</f>
        <v>1.0044444444444445</v>
      </c>
      <c r="E44" s="50">
        <f>$D$2287</f>
        <v>1.018888888888889</v>
      </c>
      <c r="F44" s="50">
        <f>$E$2287</f>
        <v>1.0199999999999998</v>
      </c>
      <c r="G44" s="169">
        <f>$F$2287</f>
        <v>0.83900209700948214</v>
      </c>
      <c r="H44" s="169">
        <f>$G$2287</f>
        <v>0.8356718218149769</v>
      </c>
      <c r="I44" s="50">
        <f t="shared" si="17"/>
        <v>1.0010905125408942</v>
      </c>
      <c r="J44" s="50">
        <f t="shared" si="18"/>
        <v>1.0000000000000002</v>
      </c>
      <c r="K44" s="50">
        <f>IF($L$2236,1,IF(AND(nr_ModAdjMaster="ON",INDEX(lr_modadj,41)="ON"),$F$2236/$G44,1))</f>
        <v>1.0131083140670547</v>
      </c>
      <c r="L44" s="50">
        <f>IF($L$2236,1,IF(AND(nr_ModAdjMaster="ON",INDEX(lr_modadj,41)="ON"),$F$2236/$H44,1))</f>
        <v>1.0171456997962478</v>
      </c>
      <c r="M44" s="49">
        <f>IF(INDEX(lr_basis,41)="proposed",N(INDEX(lr_lrproj,41))*(1+N(INDEX(lr_s,41))),N(INDEX(lr_lrproj,41)))</f>
        <v>0.65</v>
      </c>
      <c r="N44" s="49">
        <f t="shared" si="19"/>
        <v>0.65923852890273882</v>
      </c>
      <c r="O44" s="49">
        <f t="shared" si="20"/>
        <v>0.66114470486756116</v>
      </c>
      <c r="P44" s="49">
        <f t="shared" si="21"/>
        <v>-1.0893246187363426E-3</v>
      </c>
      <c r="Q44" s="49">
        <f t="shared" si="22"/>
        <v>1.0905125408939842E-3</v>
      </c>
      <c r="R44" s="50">
        <f>IF(N(INDEX(lr_aother,41))=0,1,INDEX(lr_aother,41))</f>
        <v>1</v>
      </c>
      <c r="S44" s="49">
        <f>IF(ISBLANK(INDEX(lr_trend,41)),N(nr_TrendDefault),N(INDEX(lr_trend,41)))</f>
        <v>0</v>
      </c>
      <c r="T44" s="77" t="str">
        <f>INDEX(lr_state,41)</f>
        <v>TN</v>
      </c>
      <c r="U44" s="77" t="str">
        <f>INDEX(lr_bu,41)</f>
        <v>BU-B</v>
      </c>
      <c r="V44" s="185">
        <f>N(INDEX(lr_ep,41))</f>
        <v>81000</v>
      </c>
      <c r="W44" s="50">
        <f>N(INDEX(lr_mind,41))*$V44</f>
        <v>68850</v>
      </c>
      <c r="X44" s="50">
        <f>N(INDEX(lr_m0,41))*$V44</f>
        <v>68040</v>
      </c>
      <c r="Y44" s="50">
        <f>N(INDEX(lr_m1,41))*$V44</f>
        <v>67635</v>
      </c>
      <c r="Z44" s="50">
        <f t="shared" si="23"/>
        <v>82620</v>
      </c>
      <c r="AA44" s="50">
        <f t="shared" si="24"/>
        <v>82530</v>
      </c>
      <c r="AB44" s="50">
        <f t="shared" si="25"/>
        <v>81088.331515812431</v>
      </c>
      <c r="AC44" s="50">
        <f t="shared" si="26"/>
        <v>67959.169857768051</v>
      </c>
      <c r="AD44" s="50">
        <f t="shared" si="27"/>
        <v>82061.773439431432</v>
      </c>
      <c r="AE44" s="50">
        <f t="shared" si="28"/>
        <v>52650</v>
      </c>
      <c r="AF44" s="50">
        <f t="shared" si="29"/>
        <v>53398.320841121844</v>
      </c>
      <c r="AG44" s="50">
        <f t="shared" si="30"/>
        <v>0</v>
      </c>
      <c r="AH44" s="50">
        <f t="shared" si="31"/>
        <v>81000.000000000015</v>
      </c>
      <c r="AI44" s="50">
        <f t="shared" si="32"/>
        <v>82388.801683496073</v>
      </c>
      <c r="AJ44" s="50">
        <f t="shared" si="33"/>
        <v>53552.721094272456</v>
      </c>
      <c r="AK44" s="52">
        <f>IF($L$2236,1,0)</f>
        <v>0</v>
      </c>
      <c r="AL44" s="49">
        <f>IF($L$2236,$M$2236,0)</f>
        <v>0</v>
      </c>
    </row>
    <row r="45" spans="1:38" x14ac:dyDescent="0.25">
      <c r="A45" s="77" t="str">
        <f>$A$2290</f>
        <v>BU-B|TX</v>
      </c>
      <c r="B45" s="52">
        <f>$C$2290</f>
        <v>12</v>
      </c>
      <c r="C45" s="50">
        <f>$B$2341</f>
        <v>1</v>
      </c>
      <c r="D45" s="50">
        <f>$C$2341</f>
        <v>1</v>
      </c>
      <c r="E45" s="50">
        <f>$D$2341</f>
        <v>1.0168055555555555</v>
      </c>
      <c r="F45" s="50">
        <f>$E$2341</f>
        <v>1.0398611111111113</v>
      </c>
      <c r="G45" s="169">
        <f>$F$2341</f>
        <v>0.84199580598103541</v>
      </c>
      <c r="H45" s="169">
        <f>$G$2341</f>
        <v>0.84865635637004611</v>
      </c>
      <c r="I45" s="50">
        <f t="shared" si="17"/>
        <v>0.98347220325092199</v>
      </c>
      <c r="J45" s="50">
        <f t="shared" si="18"/>
        <v>0.96166688927474264</v>
      </c>
      <c r="K45" s="50">
        <f>IF($L$2290,1,IF(AND(nr_ModAdjMaster="ON",INDEX(lr_modadj,42)="ON"),$F$2290/$G45,1))</f>
        <v>1.0095062160192576</v>
      </c>
      <c r="L45" s="50">
        <f>IF($L$2290,1,IF(AND(nr_ModAdjMaster="ON",INDEX(lr_modadj,42)="ON"),$F$2290/$H45,1))</f>
        <v>1.0015832599613124</v>
      </c>
      <c r="M45" s="49">
        <f>IF(INDEX(lr_basis,42)="proposed",N(INDEX(lr_lrproj,42))*(1+N(INDEX(lr_s,42))),N(INDEX(lr_lrproj,42)))</f>
        <v>0.63400000000000001</v>
      </c>
      <c r="N45" s="49">
        <f t="shared" si="19"/>
        <v>0.62944870576215095</v>
      </c>
      <c r="O45" s="49">
        <f t="shared" si="20"/>
        <v>0.61066211634451684</v>
      </c>
      <c r="P45" s="49">
        <f t="shared" si="21"/>
        <v>1.6805555555555518E-2</v>
      </c>
      <c r="Q45" s="49">
        <f t="shared" si="22"/>
        <v>2.2674498019396472E-2</v>
      </c>
      <c r="R45" s="50">
        <f>IF(N(INDEX(lr_aother,42))=0,1,INDEX(lr_aother,42))</f>
        <v>1</v>
      </c>
      <c r="S45" s="49">
        <f>IF(ISBLANK(INDEX(lr_trend,42)),N(nr_TrendDefault),N(INDEX(lr_trend,42)))</f>
        <v>0</v>
      </c>
      <c r="T45" s="77" t="str">
        <f>INDEX(lr_state,42)</f>
        <v>TX</v>
      </c>
      <c r="U45" s="77" t="str">
        <f>INDEX(lr_bu,42)</f>
        <v>BU-B</v>
      </c>
      <c r="V45" s="185">
        <f>N(INDEX(lr_ep,42))</f>
        <v>63000</v>
      </c>
      <c r="W45" s="50">
        <f>N(INDEX(lr_mind,42))*$V45</f>
        <v>53550</v>
      </c>
      <c r="X45" s="50">
        <f>N(INDEX(lr_m0,42))*$V45</f>
        <v>52920</v>
      </c>
      <c r="Y45" s="50">
        <f>N(INDEX(lr_m1,42))*$V45</f>
        <v>53550</v>
      </c>
      <c r="Z45" s="50">
        <f t="shared" si="23"/>
        <v>63000</v>
      </c>
      <c r="AA45" s="50">
        <f t="shared" si="24"/>
        <v>64058.75</v>
      </c>
      <c r="AB45" s="50">
        <f t="shared" si="25"/>
        <v>61958.748804808085</v>
      </c>
      <c r="AC45" s="50">
        <f t="shared" si="26"/>
        <v>53045.735776805232</v>
      </c>
      <c r="AD45" s="50">
        <f t="shared" si="27"/>
        <v>63598.891609213228</v>
      </c>
      <c r="AE45" s="50">
        <f t="shared" si="28"/>
        <v>39942</v>
      </c>
      <c r="AF45" s="50">
        <f t="shared" si="29"/>
        <v>39655.268463015513</v>
      </c>
      <c r="AG45" s="50">
        <f t="shared" si="30"/>
        <v>0</v>
      </c>
      <c r="AH45" s="50">
        <f t="shared" si="31"/>
        <v>60585.014024308788</v>
      </c>
      <c r="AI45" s="50">
        <f t="shared" si="32"/>
        <v>63099.745377562678</v>
      </c>
      <c r="AJ45" s="50">
        <f t="shared" si="33"/>
        <v>38471.713329704558</v>
      </c>
      <c r="AK45" s="52">
        <f>IF($L$2290,1,0)</f>
        <v>0</v>
      </c>
      <c r="AL45" s="49">
        <f>IF($L$2290,$M$2290,0)</f>
        <v>0</v>
      </c>
    </row>
    <row r="46" spans="1:38" x14ac:dyDescent="0.25">
      <c r="A46" s="77" t="str">
        <f>$A$2344</f>
        <v>BU-C|AZ</v>
      </c>
      <c r="B46" s="52">
        <f>$C$2344</f>
        <v>12</v>
      </c>
      <c r="C46" s="50">
        <f>$B$2395</f>
        <v>1.04</v>
      </c>
      <c r="D46" s="50">
        <f>$C$2395</f>
        <v>1.0050000000000001</v>
      </c>
      <c r="E46" s="50">
        <f>$D$2395</f>
        <v>1.0350000000000001</v>
      </c>
      <c r="F46" s="50">
        <f>$E$2395</f>
        <v>1.0400000000000003</v>
      </c>
      <c r="G46" s="169">
        <f>$F$2395</f>
        <v>0.8380041940189642</v>
      </c>
      <c r="H46" s="169">
        <f>$G$2395</f>
        <v>0.83134364362995383</v>
      </c>
      <c r="I46" s="50">
        <f t="shared" si="17"/>
        <v>1.0048309178743959</v>
      </c>
      <c r="J46" s="50">
        <f t="shared" si="18"/>
        <v>0.99999999999999978</v>
      </c>
      <c r="K46" s="50">
        <f>IF($L$2344,1,IF(AND(nr_ModAdjMaster="ON",INDEX(lr_modadj,43)="ON"),$F$2344/$G46,1))</f>
        <v>1.0143147326309971</v>
      </c>
      <c r="L46" s="50">
        <f>IF($L$2344,1,IF(AND(nr_ModAdjMaster="ON",INDEX(lr_modadj,43)="ON"),$F$2344/$H46,1))</f>
        <v>1.0224412088947785</v>
      </c>
      <c r="M46" s="49">
        <f>IF(INDEX(lr_basis,43)="proposed",N(INDEX(lr_lrproj,43))*(1+N(INDEX(lr_s,43))),N(INDEX(lr_lrproj,43)))</f>
        <v>0.66200000000000003</v>
      </c>
      <c r="N46" s="49">
        <f t="shared" si="19"/>
        <v>0.67472020011767042</v>
      </c>
      <c r="O46" s="49">
        <f t="shared" si="20"/>
        <v>0.67685608028834332</v>
      </c>
      <c r="P46" s="49">
        <f t="shared" si="21"/>
        <v>-4.8076923076921796E-3</v>
      </c>
      <c r="Q46" s="49">
        <f t="shared" si="22"/>
        <v>4.8309178743961567E-3</v>
      </c>
      <c r="R46" s="50">
        <f>IF(N(INDEX(lr_aother,43))=0,1,INDEX(lr_aother,43))</f>
        <v>1</v>
      </c>
      <c r="S46" s="49">
        <f>IF(ISBLANK(INDEX(lr_trend,43)),N(nr_TrendDefault),N(INDEX(lr_trend,43)))</f>
        <v>0</v>
      </c>
      <c r="T46" s="77" t="str">
        <f>INDEX(lr_state,43)</f>
        <v>AZ</v>
      </c>
      <c r="U46" s="77" t="str">
        <f>INDEX(lr_bu,43)</f>
        <v>BU-C</v>
      </c>
      <c r="V46" s="185">
        <f>N(INDEX(lr_ep,43))</f>
        <v>45000</v>
      </c>
      <c r="W46" s="50">
        <f>N(INDEX(lr_mind,43))*$V46</f>
        <v>38250</v>
      </c>
      <c r="X46" s="50">
        <f>N(INDEX(lr_m0,43))*$V46</f>
        <v>37800</v>
      </c>
      <c r="Y46" s="50">
        <f>N(INDEX(lr_m1,43))*$V46</f>
        <v>37350</v>
      </c>
      <c r="Z46" s="50">
        <f t="shared" si="23"/>
        <v>46800</v>
      </c>
      <c r="AA46" s="50">
        <f t="shared" si="24"/>
        <v>46575.000000000007</v>
      </c>
      <c r="AB46" s="50">
        <f t="shared" si="25"/>
        <v>45217.391304347817</v>
      </c>
      <c r="AC46" s="50">
        <f t="shared" si="26"/>
        <v>37710.188730853391</v>
      </c>
      <c r="AD46" s="50">
        <f t="shared" si="27"/>
        <v>45644.16296839487</v>
      </c>
      <c r="AE46" s="50">
        <f t="shared" si="28"/>
        <v>29790</v>
      </c>
      <c r="AF46" s="50">
        <f t="shared" si="29"/>
        <v>30362.409005295169</v>
      </c>
      <c r="AG46" s="50">
        <f t="shared" si="30"/>
        <v>0</v>
      </c>
      <c r="AH46" s="50">
        <f t="shared" si="31"/>
        <v>44999.999999999993</v>
      </c>
      <c r="AI46" s="50">
        <f t="shared" si="32"/>
        <v>46009.854400265031</v>
      </c>
      <c r="AJ46" s="50">
        <f t="shared" si="33"/>
        <v>30458.523612975448</v>
      </c>
      <c r="AK46" s="52">
        <f>IF($L$2344,1,0)</f>
        <v>0</v>
      </c>
      <c r="AL46" s="49">
        <f>IF($L$2344,$M$2344,0)</f>
        <v>0</v>
      </c>
    </row>
    <row r="47" spans="1:38" x14ac:dyDescent="0.25">
      <c r="A47" s="77" t="str">
        <f>$A$2398</f>
        <v>BU-C|CA</v>
      </c>
      <c r="B47" s="52">
        <f>$C$2398</f>
        <v>12</v>
      </c>
      <c r="C47" s="50">
        <f>$B$2449</f>
        <v>1.05</v>
      </c>
      <c r="D47" s="50">
        <f>$C$2449</f>
        <v>1.0043402777777779</v>
      </c>
      <c r="E47" s="50">
        <f>$D$2449</f>
        <v>1.0414930555555555</v>
      </c>
      <c r="F47" s="50">
        <f>$E$2449</f>
        <v>1.05</v>
      </c>
      <c r="G47" s="169">
        <f>$F$2449</f>
        <v>0.84099790299051769</v>
      </c>
      <c r="H47" s="169">
        <f>$G$2449</f>
        <v>0.84432817818502282</v>
      </c>
      <c r="I47" s="50">
        <f t="shared" si="17"/>
        <v>1.0081680280046676</v>
      </c>
      <c r="J47" s="50">
        <f t="shared" si="18"/>
        <v>1</v>
      </c>
      <c r="K47" s="50">
        <f>IF($L$2398,1,IF(AND(nr_ModAdjMaster="ON",INDEX(lr_modadj,44)="ON"),$F$2398/$G47,1))</f>
        <v>1.0107040659405588</v>
      </c>
      <c r="L47" s="50">
        <f>IF($L$2398,1,IF(AND(nr_ModAdjMaster="ON",INDEX(lr_modadj,44)="ON"),$F$2398/$H47,1))</f>
        <v>1.0067175559948376</v>
      </c>
      <c r="M47" s="49">
        <f>IF(INDEX(lr_basis,44)="proposed",N(INDEX(lr_lrproj,44))*(1+N(INDEX(lr_s,44))),N(INDEX(lr_lrproj,44)))</f>
        <v>0.64600000000000002</v>
      </c>
      <c r="N47" s="49">
        <f t="shared" si="19"/>
        <v>0.65824785318591306</v>
      </c>
      <c r="O47" s="49">
        <f t="shared" si="20"/>
        <v>0.65033954117266513</v>
      </c>
      <c r="P47" s="49">
        <f t="shared" si="21"/>
        <v>-8.1018518518519711E-3</v>
      </c>
      <c r="Q47" s="49">
        <f t="shared" si="22"/>
        <v>8.168028004667649E-3</v>
      </c>
      <c r="R47" s="50">
        <f>IF(N(INDEX(lr_aother,44))=0,1,INDEX(lr_aother,44))</f>
        <v>1</v>
      </c>
      <c r="S47" s="49">
        <f>IF(ISBLANK(INDEX(lr_trend,44)),N(nr_TrendDefault),N(INDEX(lr_trend,44)))</f>
        <v>0</v>
      </c>
      <c r="T47" s="77" t="str">
        <f>INDEX(lr_state,44)</f>
        <v>CA</v>
      </c>
      <c r="U47" s="77" t="str">
        <f>INDEX(lr_bu,44)</f>
        <v>BU-C</v>
      </c>
      <c r="V47" s="185">
        <f>N(INDEX(lr_ep,44))</f>
        <v>103500</v>
      </c>
      <c r="W47" s="50">
        <f>N(INDEX(lr_mind,44))*$V47</f>
        <v>87975</v>
      </c>
      <c r="X47" s="50">
        <f>N(INDEX(lr_m0,44))*$V47</f>
        <v>86940</v>
      </c>
      <c r="Y47" s="50">
        <f>N(INDEX(lr_m1,44))*$V47</f>
        <v>87457.5</v>
      </c>
      <c r="Z47" s="50">
        <f t="shared" si="23"/>
        <v>108675</v>
      </c>
      <c r="AA47" s="50">
        <f t="shared" si="24"/>
        <v>107794.53125</v>
      </c>
      <c r="AB47" s="50">
        <f t="shared" si="25"/>
        <v>104345.39089848311</v>
      </c>
      <c r="AC47" s="50">
        <f t="shared" si="26"/>
        <v>87043.282959518576</v>
      </c>
      <c r="AD47" s="50">
        <f t="shared" si="27"/>
        <v>104607.87082484784</v>
      </c>
      <c r="AE47" s="50">
        <f t="shared" si="28"/>
        <v>66861</v>
      </c>
      <c r="AF47" s="50">
        <f t="shared" si="29"/>
        <v>68128.652804742</v>
      </c>
      <c r="AG47" s="50">
        <f t="shared" si="30"/>
        <v>0</v>
      </c>
      <c r="AH47" s="50">
        <f t="shared" si="31"/>
        <v>103500</v>
      </c>
      <c r="AI47" s="50">
        <f t="shared" si="32"/>
        <v>104195.26704546569</v>
      </c>
      <c r="AJ47" s="50">
        <f t="shared" si="33"/>
        <v>67310.142511370839</v>
      </c>
      <c r="AK47" s="52">
        <f>IF($L$2398,1,0)</f>
        <v>0</v>
      </c>
      <c r="AL47" s="49">
        <f>IF($L$2398,$M$2398,0)</f>
        <v>0</v>
      </c>
    </row>
    <row r="48" spans="1:38" x14ac:dyDescent="0.25">
      <c r="A48" s="77" t="str">
        <f>$A$2452</f>
        <v>BU-C|CO</v>
      </c>
      <c r="B48" s="52">
        <f>$C$2452</f>
        <v>12</v>
      </c>
      <c r="C48" s="50">
        <f>$B$2503</f>
        <v>1</v>
      </c>
      <c r="D48" s="50">
        <f>$C$2503</f>
        <v>1</v>
      </c>
      <c r="E48" s="50">
        <f>$D$2503</f>
        <v>1</v>
      </c>
      <c r="F48" s="50">
        <f>$E$2503</f>
        <v>1</v>
      </c>
      <c r="G48" s="169">
        <f>$F$2503</f>
        <v>0.84399161196207151</v>
      </c>
      <c r="H48" s="169">
        <f>$G$2503</f>
        <v>0.85731271274009246</v>
      </c>
      <c r="I48" s="50">
        <f t="shared" si="17"/>
        <v>1</v>
      </c>
      <c r="J48" s="50">
        <f t="shared" si="18"/>
        <v>1</v>
      </c>
      <c r="K48" s="50">
        <f>IF($L$2452,1,IF(AND(nr_ModAdjMaster="ON",INDEX(lr_modadj,45)="ON"),$F$2452/$G48,1))</f>
        <v>1.0071190139247479</v>
      </c>
      <c r="L48" s="50">
        <f>IF($L$2452,1,IF(AND(nr_ModAdjMaster="ON",INDEX(lr_modadj,45)="ON"),$F$2452/$H48,1))</f>
        <v>0.99147019211144083</v>
      </c>
      <c r="M48" s="49">
        <f>IF(INDEX(lr_basis,45)="proposed",N(INDEX(lr_lrproj,45))*(1+N(INDEX(lr_s,45))),N(INDEX(lr_lrproj,45)))</f>
        <v>0.63</v>
      </c>
      <c r="N48" s="49">
        <f t="shared" si="19"/>
        <v>0.63448497877259113</v>
      </c>
      <c r="O48" s="49">
        <f t="shared" si="20"/>
        <v>0.62462622103020771</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85500</v>
      </c>
      <c r="W48" s="50">
        <f>N(INDEX(lr_mind,45))*$V48</f>
        <v>72675</v>
      </c>
      <c r="X48" s="50">
        <f>N(INDEX(lr_m0,45))*$V48</f>
        <v>71820</v>
      </c>
      <c r="Y48" s="50">
        <f>N(INDEX(lr_m1,45))*$V48</f>
        <v>73530</v>
      </c>
      <c r="Z48" s="50">
        <f t="shared" si="23"/>
        <v>85500</v>
      </c>
      <c r="AA48" s="50">
        <f t="shared" si="24"/>
        <v>85500</v>
      </c>
      <c r="AB48" s="50">
        <f t="shared" si="25"/>
        <v>85500</v>
      </c>
      <c r="AC48" s="50">
        <f t="shared" si="26"/>
        <v>72161.282822757115</v>
      </c>
      <c r="AD48" s="50">
        <f t="shared" si="27"/>
        <v>86108.675690565942</v>
      </c>
      <c r="AE48" s="50">
        <f t="shared" si="28"/>
        <v>53865</v>
      </c>
      <c r="AF48" s="50">
        <f t="shared" si="29"/>
        <v>54248.465685056544</v>
      </c>
      <c r="AG48" s="50">
        <f t="shared" si="30"/>
        <v>0</v>
      </c>
      <c r="AH48" s="50">
        <f t="shared" si="31"/>
        <v>85500</v>
      </c>
      <c r="AI48" s="50">
        <f t="shared" si="32"/>
        <v>84770.701425528197</v>
      </c>
      <c r="AJ48" s="50">
        <f t="shared" si="33"/>
        <v>53405.54189808276</v>
      </c>
      <c r="AK48" s="52">
        <f>IF($L$2452,1,0)</f>
        <v>0</v>
      </c>
      <c r="AL48" s="49">
        <f>IF($L$2452,$M$2452,0)</f>
        <v>0</v>
      </c>
    </row>
    <row r="49" spans="1:38" x14ac:dyDescent="0.25">
      <c r="A49" s="77" t="str">
        <f>$A$2506</f>
        <v>BU-C|CT</v>
      </c>
      <c r="B49" s="52">
        <f>$C$2506</f>
        <v>12</v>
      </c>
      <c r="C49" s="50">
        <f>$B$2557</f>
        <v>1.02</v>
      </c>
      <c r="D49" s="50">
        <f>$C$2557</f>
        <v>1.0006250000000001</v>
      </c>
      <c r="E49" s="50">
        <f>$D$2557</f>
        <v>1.0213166666666667</v>
      </c>
      <c r="F49" s="50">
        <f>$E$2557</f>
        <v>1.0572583333333336</v>
      </c>
      <c r="G49" s="169">
        <f>$F$2557</f>
        <v>0.84</v>
      </c>
      <c r="H49" s="169">
        <f>$G$2557</f>
        <v>0.84</v>
      </c>
      <c r="I49" s="50">
        <f t="shared" si="17"/>
        <v>0.99871081447151555</v>
      </c>
      <c r="J49" s="50">
        <f t="shared" si="18"/>
        <v>0.96475948010183543</v>
      </c>
      <c r="K49" s="50">
        <f>IF($L$2506,1,IF(AND(nr_ModAdjMaster="ON",INDEX(lr_modadj,46)="ON"),$F$2506/$G49,1))</f>
        <v>1.0119047619047619</v>
      </c>
      <c r="L49" s="50">
        <f>IF($L$2506,1,IF(AND(nr_ModAdjMaster="ON",INDEX(lr_modadj,46)="ON"),$F$2506/$H49,1))</f>
        <v>1.0119047619047619</v>
      </c>
      <c r="M49" s="49">
        <f>IF(INDEX(lr_basis,46)="proposed",N(INDEX(lr_lrproj,46))*(1+N(INDEX(lr_s,46))),N(INDEX(lr_lrproj,46)))</f>
        <v>0.65800000000000003</v>
      </c>
      <c r="N49" s="49">
        <f t="shared" si="19"/>
        <v>0.66497495063561751</v>
      </c>
      <c r="O49" s="49">
        <f t="shared" si="20"/>
        <v>0.64236902050113875</v>
      </c>
      <c r="P49" s="49">
        <f t="shared" si="21"/>
        <v>1.2908496732024766E-3</v>
      </c>
      <c r="Q49" s="49">
        <f t="shared" si="22"/>
        <v>3.5191501166794703E-2</v>
      </c>
      <c r="R49" s="50">
        <f>IF(N(INDEX(lr_aother,46))=0,1,INDEX(lr_aother,46))</f>
        <v>1</v>
      </c>
      <c r="S49" s="49">
        <f>IF(ISBLANK(INDEX(lr_trend,46)),N(nr_TrendDefault),N(INDEX(lr_trend,46)))</f>
        <v>0</v>
      </c>
      <c r="T49" s="77" t="str">
        <f>INDEX(lr_state,46)</f>
        <v>CT</v>
      </c>
      <c r="U49" s="77" t="str">
        <f>INDEX(lr_bu,46)</f>
        <v>BU-C</v>
      </c>
      <c r="V49" s="185">
        <f>N(INDEX(lr_ep,46))</f>
        <v>67500</v>
      </c>
      <c r="W49" s="50">
        <f>N(INDEX(lr_mind,46))*$V49</f>
        <v>57375</v>
      </c>
      <c r="X49" s="50">
        <f>N(INDEX(lr_m0,46))*$V49</f>
        <v>56700</v>
      </c>
      <c r="Y49" s="50">
        <f>N(INDEX(lr_m1,46))*$V49</f>
        <v>56700</v>
      </c>
      <c r="Z49" s="50">
        <f t="shared" si="23"/>
        <v>68850</v>
      </c>
      <c r="AA49" s="50">
        <f t="shared" si="24"/>
        <v>68938.875</v>
      </c>
      <c r="AB49" s="50">
        <f t="shared" si="25"/>
        <v>67412.979976827293</v>
      </c>
      <c r="AC49" s="50">
        <f t="shared" si="26"/>
        <v>56700</v>
      </c>
      <c r="AD49" s="50">
        <f t="shared" si="27"/>
        <v>68303.57142857142</v>
      </c>
      <c r="AE49" s="50">
        <f t="shared" si="28"/>
        <v>44415</v>
      </c>
      <c r="AF49" s="50">
        <f t="shared" si="29"/>
        <v>44885.809167904183</v>
      </c>
      <c r="AG49" s="50">
        <f t="shared" si="30"/>
        <v>0</v>
      </c>
      <c r="AH49" s="50">
        <f t="shared" si="31"/>
        <v>65121.26490687389</v>
      </c>
      <c r="AI49" s="50">
        <f t="shared" si="32"/>
        <v>68303.57142857142</v>
      </c>
      <c r="AJ49" s="50">
        <f t="shared" si="33"/>
        <v>43359.908883826865</v>
      </c>
      <c r="AK49" s="52">
        <f>IF($L$2506,1,0)</f>
        <v>0</v>
      </c>
      <c r="AL49" s="49">
        <f>IF($L$2506,$M$2506,0)</f>
        <v>0</v>
      </c>
    </row>
    <row r="50" spans="1:38" x14ac:dyDescent="0.25">
      <c r="A50" s="77" t="str">
        <f>$A$2560</f>
        <v>BU-C|FL</v>
      </c>
      <c r="B50" s="52">
        <f>$C$2560</f>
        <v>12</v>
      </c>
      <c r="C50" s="50">
        <f>$B$2611</f>
        <v>1</v>
      </c>
      <c r="D50" s="50">
        <f>$C$2611</f>
        <v>1</v>
      </c>
      <c r="E50" s="50">
        <f>$D$2611</f>
        <v>1</v>
      </c>
      <c r="F50" s="50">
        <f>$E$2611</f>
        <v>1</v>
      </c>
      <c r="G50" s="169">
        <f>$F$2611</f>
        <v>0.84299370897155379</v>
      </c>
      <c r="H50" s="169">
        <f>$G$2611</f>
        <v>0.85298453455506928</v>
      </c>
      <c r="I50" s="50">
        <f t="shared" si="17"/>
        <v>1</v>
      </c>
      <c r="J50" s="50">
        <f t="shared" si="18"/>
        <v>1</v>
      </c>
      <c r="K50" s="50">
        <f>IF($L$2560,1,IF(AND(nr_ModAdjMaster="ON",INDEX(lr_modadj,47)="ON"),$F$2560/$G50,1))</f>
        <v>1.0083112020337539</v>
      </c>
      <c r="L50" s="50">
        <f>IF($L$2560,1,IF(AND(nr_ModAdjMaster="ON",INDEX(lr_modadj,47)="ON"),$F$2560/$H50,1))</f>
        <v>0.99650106838498997</v>
      </c>
      <c r="M50" s="49">
        <f>IF(INDEX(lr_basis,47)="proposed",N(INDEX(lr_lrproj,47))*(1+N(INDEX(lr_s,47))),N(INDEX(lr_lrproj,47)))</f>
        <v>0.64200000000000002</v>
      </c>
      <c r="N50" s="49">
        <f t="shared" si="19"/>
        <v>0.64733579170567002</v>
      </c>
      <c r="O50" s="49">
        <f t="shared" si="20"/>
        <v>0.63975368590316362</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49500</v>
      </c>
      <c r="W50" s="50">
        <f>N(INDEX(lr_mind,47))*$V50</f>
        <v>42075</v>
      </c>
      <c r="X50" s="50">
        <f>N(INDEX(lr_m0,47))*$V50</f>
        <v>41580</v>
      </c>
      <c r="Y50" s="50">
        <f>N(INDEX(lr_m1,47))*$V50</f>
        <v>42322.5</v>
      </c>
      <c r="Z50" s="50">
        <f t="shared" si="23"/>
        <v>49500</v>
      </c>
      <c r="AA50" s="50">
        <f t="shared" si="24"/>
        <v>49500</v>
      </c>
      <c r="AB50" s="50">
        <f t="shared" si="25"/>
        <v>49500</v>
      </c>
      <c r="AC50" s="50">
        <f t="shared" si="26"/>
        <v>41728.188594091909</v>
      </c>
      <c r="AD50" s="50">
        <f t="shared" si="27"/>
        <v>49911.404500670818</v>
      </c>
      <c r="AE50" s="50">
        <f t="shared" si="28"/>
        <v>31779</v>
      </c>
      <c r="AF50" s="50">
        <f t="shared" si="29"/>
        <v>32043.121689430667</v>
      </c>
      <c r="AG50" s="50">
        <f t="shared" si="30"/>
        <v>0</v>
      </c>
      <c r="AH50" s="50">
        <f t="shared" si="31"/>
        <v>49500</v>
      </c>
      <c r="AI50" s="50">
        <f t="shared" si="32"/>
        <v>49326.802885057004</v>
      </c>
      <c r="AJ50" s="50">
        <f t="shared" si="33"/>
        <v>31667.807452206598</v>
      </c>
      <c r="AK50" s="52">
        <f>IF($L$2560,1,0)</f>
        <v>0</v>
      </c>
      <c r="AL50" s="49">
        <f>IF($L$2560,$M$2560,0)</f>
        <v>0</v>
      </c>
    </row>
    <row r="51" spans="1:38" x14ac:dyDescent="0.25">
      <c r="A51" s="77" t="str">
        <f>$A$2614</f>
        <v>BU-C|GA</v>
      </c>
      <c r="B51" s="52">
        <f>$C$2614</f>
        <v>12</v>
      </c>
      <c r="C51" s="50">
        <f>$B$2665</f>
        <v>1</v>
      </c>
      <c r="D51" s="50">
        <f>$C$2665</f>
        <v>1</v>
      </c>
      <c r="E51" s="50">
        <f>$D$2665</f>
        <v>1</v>
      </c>
      <c r="F51" s="50">
        <f>$E$2665</f>
        <v>1</v>
      </c>
      <c r="G51" s="169">
        <f>$F$2665</f>
        <v>0.83900209700948214</v>
      </c>
      <c r="H51" s="169">
        <f>$G$2665</f>
        <v>0.8356718218149769</v>
      </c>
      <c r="I51" s="50">
        <f t="shared" si="17"/>
        <v>1</v>
      </c>
      <c r="J51" s="50">
        <f t="shared" si="18"/>
        <v>1</v>
      </c>
      <c r="K51" s="50">
        <f>IF($L$2614,1,IF(AND(nr_ModAdjMaster="ON",INDEX(lr_modadj,48)="ON"),$F$2614/$G51,1))</f>
        <v>1.0131083140670547</v>
      </c>
      <c r="L51" s="50">
        <f>IF($L$2614,1,IF(AND(nr_ModAdjMaster="ON",INDEX(lr_modadj,48)="ON"),$F$2614/$H51,1))</f>
        <v>1.0171456997962478</v>
      </c>
      <c r="M51" s="49">
        <f>IF(INDEX(lr_basis,48)="proposed",N(INDEX(lr_lrproj,48))*(1+N(INDEX(lr_s,48))),N(INDEX(lr_lrproj,48)))</f>
        <v>0.67</v>
      </c>
      <c r="N51" s="49">
        <f t="shared" si="19"/>
        <v>0.67878257042492673</v>
      </c>
      <c r="O51" s="49">
        <f t="shared" si="20"/>
        <v>0.68148761886348608</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108000</v>
      </c>
      <c r="W51" s="50">
        <f>N(INDEX(lr_mind,48))*$V51</f>
        <v>91800</v>
      </c>
      <c r="X51" s="50">
        <f>N(INDEX(lr_m0,48))*$V51</f>
        <v>90720</v>
      </c>
      <c r="Y51" s="50">
        <f>N(INDEX(lr_m1,48))*$V51</f>
        <v>90180</v>
      </c>
      <c r="Z51" s="50">
        <f t="shared" si="23"/>
        <v>108000</v>
      </c>
      <c r="AA51" s="50">
        <f t="shared" si="24"/>
        <v>108000</v>
      </c>
      <c r="AB51" s="50">
        <f t="shared" si="25"/>
        <v>108000</v>
      </c>
      <c r="AC51" s="50">
        <f t="shared" si="26"/>
        <v>90612.226477024073</v>
      </c>
      <c r="AD51" s="50">
        <f t="shared" si="27"/>
        <v>109415.69791924191</v>
      </c>
      <c r="AE51" s="50">
        <f t="shared" si="28"/>
        <v>72360</v>
      </c>
      <c r="AF51" s="50">
        <f t="shared" si="29"/>
        <v>73308.517605892092</v>
      </c>
      <c r="AG51" s="50">
        <f t="shared" si="30"/>
        <v>0</v>
      </c>
      <c r="AH51" s="50">
        <f t="shared" si="31"/>
        <v>108000</v>
      </c>
      <c r="AI51" s="50">
        <f t="shared" si="32"/>
        <v>109851.73557799477</v>
      </c>
      <c r="AJ51" s="50">
        <f t="shared" si="33"/>
        <v>73600.662837256503</v>
      </c>
      <c r="AK51" s="52">
        <f>IF($L$2614,1,0)</f>
        <v>0</v>
      </c>
      <c r="AL51" s="49">
        <f>IF($L$2614,$M$2614,0)</f>
        <v>0</v>
      </c>
    </row>
    <row r="52" spans="1:38" x14ac:dyDescent="0.25">
      <c r="A52" s="77" t="str">
        <f>$A$2668</f>
        <v>BU-C|IL</v>
      </c>
      <c r="B52" s="52">
        <f>$C$2668</f>
        <v>12</v>
      </c>
      <c r="C52" s="50">
        <f>$B$2719</f>
        <v>1</v>
      </c>
      <c r="D52" s="50">
        <f>$C$2719</f>
        <v>1.0081249999999999</v>
      </c>
      <c r="E52" s="50">
        <f>$D$2719</f>
        <v>1.056875</v>
      </c>
      <c r="F52" s="50">
        <f>$E$2719</f>
        <v>1.0649999999999999</v>
      </c>
      <c r="G52" s="169">
        <f>$F$2719</f>
        <v>0.84199580598103541</v>
      </c>
      <c r="H52" s="169">
        <f>$G$2719</f>
        <v>0.84865635637004611</v>
      </c>
      <c r="I52" s="50">
        <f t="shared" si="17"/>
        <v>0.94618568894145472</v>
      </c>
      <c r="J52" s="50">
        <f t="shared" si="18"/>
        <v>0.93896713615023475</v>
      </c>
      <c r="K52" s="50">
        <f>IF($L$2668,1,IF(AND(nr_ModAdjMaster="ON",INDEX(lr_modadj,49)="ON"),$F$2668/$G52,1))</f>
        <v>1.0095062160192576</v>
      </c>
      <c r="L52" s="50">
        <f>IF($L$2668,1,IF(AND(nr_ModAdjMaster="ON",INDEX(lr_modadj,49)="ON"),$F$2668/$H52,1))</f>
        <v>1.0015832599613124</v>
      </c>
      <c r="M52" s="49">
        <f>IF(INDEX(lr_basis,49)="proposed",N(INDEX(lr_lrproj,49))*(1+N(INDEX(lr_s,49))),N(INDEX(lr_lrproj,49)))</f>
        <v>0.65400000000000003</v>
      </c>
      <c r="N52" s="49">
        <f t="shared" si="19"/>
        <v>0.6246879387596399</v>
      </c>
      <c r="O52" s="49">
        <f t="shared" si="20"/>
        <v>0.61505676245511587</v>
      </c>
      <c r="P52" s="49">
        <f t="shared" si="21"/>
        <v>5.6875000000000009E-2</v>
      </c>
      <c r="Q52" s="49">
        <f t="shared" si="22"/>
        <v>7.6877587226491517E-3</v>
      </c>
      <c r="R52" s="50">
        <f>IF(N(INDEX(lr_aother,49))=0,1,INDEX(lr_aother,49))</f>
        <v>1</v>
      </c>
      <c r="S52" s="49">
        <f>IF(ISBLANK(INDEX(lr_trend,49)),N(nr_TrendDefault),N(INDEX(lr_trend,49)))</f>
        <v>0</v>
      </c>
      <c r="T52" s="77" t="str">
        <f>INDEX(lr_state,49)</f>
        <v>IL</v>
      </c>
      <c r="U52" s="77" t="str">
        <f>INDEX(lr_bu,49)</f>
        <v>BU-C</v>
      </c>
      <c r="V52" s="185">
        <f>N(INDEX(lr_ep,49))</f>
        <v>90000</v>
      </c>
      <c r="W52" s="50">
        <f>N(INDEX(lr_mind,49))*$V52</f>
        <v>76500</v>
      </c>
      <c r="X52" s="50">
        <f>N(INDEX(lr_m0,49))*$V52</f>
        <v>75600</v>
      </c>
      <c r="Y52" s="50">
        <f>N(INDEX(lr_m1,49))*$V52</f>
        <v>76500</v>
      </c>
      <c r="Z52" s="50">
        <f t="shared" si="23"/>
        <v>90000</v>
      </c>
      <c r="AA52" s="50">
        <f t="shared" si="24"/>
        <v>95118.75</v>
      </c>
      <c r="AB52" s="50">
        <f t="shared" si="25"/>
        <v>85156.712004730929</v>
      </c>
      <c r="AC52" s="50">
        <f t="shared" si="26"/>
        <v>75779.622538293188</v>
      </c>
      <c r="AD52" s="50">
        <f t="shared" si="27"/>
        <v>90855.559441733189</v>
      </c>
      <c r="AE52" s="50">
        <f t="shared" si="28"/>
        <v>58860</v>
      </c>
      <c r="AF52" s="50">
        <f t="shared" si="29"/>
        <v>56221.914488367591</v>
      </c>
      <c r="AG52" s="50">
        <f t="shared" si="30"/>
        <v>0</v>
      </c>
      <c r="AH52" s="50">
        <f t="shared" si="31"/>
        <v>84507.042253521126</v>
      </c>
      <c r="AI52" s="50">
        <f t="shared" si="32"/>
        <v>90142.493396518112</v>
      </c>
      <c r="AJ52" s="50">
        <f t="shared" si="33"/>
        <v>55355.108620960425</v>
      </c>
      <c r="AK52" s="52">
        <f>IF($L$2668,1,0)</f>
        <v>0</v>
      </c>
      <c r="AL52" s="49">
        <f>IF($L$2668,$M$2668,0)</f>
        <v>0</v>
      </c>
    </row>
    <row r="53" spans="1:38" x14ac:dyDescent="0.25">
      <c r="A53" s="77" t="str">
        <f>$A$2722</f>
        <v>BU-C|IN</v>
      </c>
      <c r="B53" s="52">
        <f>$C$2722</f>
        <v>12</v>
      </c>
      <c r="C53" s="50">
        <f>$B$2773</f>
        <v>1.06</v>
      </c>
      <c r="D53" s="50">
        <f>$C$2773</f>
        <v>1.0252083333333335</v>
      </c>
      <c r="E53" s="50">
        <f>$D$2773</f>
        <v>1.0611166666666667</v>
      </c>
      <c r="F53" s="50">
        <f>$E$2773</f>
        <v>1.0904750000000003</v>
      </c>
      <c r="G53" s="169">
        <f>$F$2773</f>
        <v>0.8380041940189642</v>
      </c>
      <c r="H53" s="169">
        <f>$G$2773</f>
        <v>0.83134364362995383</v>
      </c>
      <c r="I53" s="50">
        <f t="shared" si="17"/>
        <v>0.99894764948874615</v>
      </c>
      <c r="J53" s="50">
        <f t="shared" si="18"/>
        <v>0.97205346294046147</v>
      </c>
      <c r="K53" s="50">
        <f>IF($L$2722,1,IF(AND(nr_ModAdjMaster="ON",INDEX(lr_modadj,50)="ON"),$F$2722/$G53,1))</f>
        <v>1.0143147326309971</v>
      </c>
      <c r="L53" s="50">
        <f>IF($L$2722,1,IF(AND(nr_ModAdjMaster="ON",INDEX(lr_modadj,50)="ON"),$F$2722/$H53,1))</f>
        <v>1.0224412088947785</v>
      </c>
      <c r="M53" s="49">
        <f>IF(INDEX(lr_basis,50)="proposed",N(INDEX(lr_lrproj,50))*(1+N(INDEX(lr_s,50))),N(INDEX(lr_lrproj,50)))</f>
        <v>0.63800000000000001</v>
      </c>
      <c r="N53" s="49">
        <f t="shared" si="19"/>
        <v>0.64645178888625898</v>
      </c>
      <c r="O53" s="49">
        <f t="shared" si="20"/>
        <v>0.63408747633037044</v>
      </c>
      <c r="P53" s="49">
        <f t="shared" si="21"/>
        <v>1.0534591194968357E-3</v>
      </c>
      <c r="Q53" s="49">
        <f t="shared" si="22"/>
        <v>2.7667394411547752E-2</v>
      </c>
      <c r="R53" s="50">
        <f>IF(N(INDEX(lr_aother,50))=0,1,INDEX(lr_aother,50))</f>
        <v>1</v>
      </c>
      <c r="S53" s="49">
        <f>IF(ISBLANK(INDEX(lr_trend,50)),N(nr_TrendDefault),N(INDEX(lr_trend,50)))</f>
        <v>0</v>
      </c>
      <c r="T53" s="77" t="str">
        <f>INDEX(lr_state,50)</f>
        <v>IN</v>
      </c>
      <c r="U53" s="77" t="str">
        <f>INDEX(lr_bu,50)</f>
        <v>BU-C</v>
      </c>
      <c r="V53" s="185">
        <f>N(INDEX(lr_ep,50))</f>
        <v>72000</v>
      </c>
      <c r="W53" s="50">
        <f>N(INDEX(lr_mind,50))*$V53</f>
        <v>61200</v>
      </c>
      <c r="X53" s="50">
        <f>N(INDEX(lr_m0,50))*$V53</f>
        <v>60480</v>
      </c>
      <c r="Y53" s="50">
        <f>N(INDEX(lr_m1,50))*$V53</f>
        <v>59760</v>
      </c>
      <c r="Z53" s="50">
        <f t="shared" si="23"/>
        <v>76320</v>
      </c>
      <c r="AA53" s="50">
        <f t="shared" si="24"/>
        <v>76400.400000000009</v>
      </c>
      <c r="AB53" s="50">
        <f t="shared" si="25"/>
        <v>71924.230763189727</v>
      </c>
      <c r="AC53" s="50">
        <f t="shared" si="26"/>
        <v>60336.301969365421</v>
      </c>
      <c r="AD53" s="50">
        <f t="shared" si="27"/>
        <v>73030.660749431787</v>
      </c>
      <c r="AE53" s="50">
        <f t="shared" si="28"/>
        <v>45936</v>
      </c>
      <c r="AF53" s="50">
        <f t="shared" si="29"/>
        <v>46544.528799810643</v>
      </c>
      <c r="AG53" s="50">
        <f t="shared" si="30"/>
        <v>0</v>
      </c>
      <c r="AH53" s="50">
        <f t="shared" si="31"/>
        <v>69987.849331713223</v>
      </c>
      <c r="AI53" s="50">
        <f t="shared" si="32"/>
        <v>73615.767040424049</v>
      </c>
      <c r="AJ53" s="50">
        <f t="shared" si="33"/>
        <v>45654.29829578667</v>
      </c>
      <c r="AK53" s="52">
        <f>IF($L$2722,1,0)</f>
        <v>0</v>
      </c>
      <c r="AL53" s="49">
        <f>IF($L$2722,$M$2722,0)</f>
        <v>0</v>
      </c>
    </row>
    <row r="54" spans="1:38" x14ac:dyDescent="0.25">
      <c r="A54" s="77" t="str">
        <f>$A$2776</f>
        <v>BU-C|IA</v>
      </c>
      <c r="B54" s="52">
        <f>$C$2776</f>
        <v>12</v>
      </c>
      <c r="C54" s="50">
        <f>$B$2827</f>
        <v>1</v>
      </c>
      <c r="D54" s="50">
        <f>$C$2827</f>
        <v>0.98780067862301768</v>
      </c>
      <c r="E54" s="50">
        <f>$D$2827</f>
        <v>1.0614039420381576</v>
      </c>
      <c r="F54" s="50">
        <f>$E$2827</f>
        <v>1.1675443362419735</v>
      </c>
      <c r="G54" s="169">
        <f>$F$2827</f>
        <v>0.84099790299051769</v>
      </c>
      <c r="H54" s="169">
        <f>$G$2827</f>
        <v>0.84432817818502282</v>
      </c>
      <c r="I54" s="50">
        <f t="shared" si="17"/>
        <v>0.94214837574444388</v>
      </c>
      <c r="J54" s="50">
        <f t="shared" si="18"/>
        <v>0.85649852340403976</v>
      </c>
      <c r="K54" s="50">
        <f>IF($L$2776,1,IF(AND(nr_ModAdjMaster="ON",INDEX(lr_modadj,51)="ON"),$F$2776/$G54,1))</f>
        <v>1</v>
      </c>
      <c r="L54" s="50">
        <f>IF($L$2776,1,IF(AND(nr_ModAdjMaster="ON",INDEX(lr_modadj,51)="ON"),$F$2776/$H54,1))</f>
        <v>1</v>
      </c>
      <c r="M54" s="49">
        <f>IF(INDEX(lr_basis,51)="proposed",N(INDEX(lr_lrproj,51))*(1+N(INDEX(lr_s,51))),N(INDEX(lr_lrproj,51)))</f>
        <v>0.66600000000000004</v>
      </c>
      <c r="N54" s="49">
        <f t="shared" si="19"/>
        <v>0.62747081824579964</v>
      </c>
      <c r="O54" s="49">
        <f t="shared" si="20"/>
        <v>0.57042801658709053</v>
      </c>
      <c r="P54" s="49">
        <f t="shared" si="21"/>
        <v>6.1403942038157577E-2</v>
      </c>
      <c r="Q54" s="49">
        <f t="shared" si="22"/>
        <v>0.10000000000000009</v>
      </c>
      <c r="R54" s="50">
        <f>IF(N(INDEX(lr_aother,51))=0,1,INDEX(lr_aother,51))</f>
        <v>1</v>
      </c>
      <c r="S54" s="49">
        <f>IF(ISBLANK(INDEX(lr_trend,51)),N(nr_TrendDefault),N(INDEX(lr_trend,51)))</f>
        <v>0</v>
      </c>
      <c r="T54" s="77" t="str">
        <f>INDEX(lr_state,51)</f>
        <v>IA</v>
      </c>
      <c r="U54" s="77" t="str">
        <f>INDEX(lr_bu,51)</f>
        <v>BU-C</v>
      </c>
      <c r="V54" s="185">
        <f>N(INDEX(lr_ep,51))</f>
        <v>54000</v>
      </c>
      <c r="W54" s="50">
        <f>N(INDEX(lr_mind,51))*$V54</f>
        <v>45900</v>
      </c>
      <c r="X54" s="50">
        <f>N(INDEX(lr_m0,51))*$V54</f>
        <v>45360</v>
      </c>
      <c r="Y54" s="50">
        <f>N(INDEX(lr_m1,51))*$V54</f>
        <v>45630</v>
      </c>
      <c r="Z54" s="50">
        <f t="shared" si="23"/>
        <v>54000</v>
      </c>
      <c r="AA54" s="50">
        <f t="shared" si="24"/>
        <v>57315.812870060508</v>
      </c>
      <c r="AB54" s="50">
        <f t="shared" si="25"/>
        <v>50876.012290199971</v>
      </c>
      <c r="AC54" s="50">
        <f t="shared" si="26"/>
        <v>45413.886761487956</v>
      </c>
      <c r="AD54" s="50">
        <f t="shared" si="27"/>
        <v>54000</v>
      </c>
      <c r="AE54" s="50">
        <f t="shared" si="28"/>
        <v>35964</v>
      </c>
      <c r="AF54" s="50">
        <f t="shared" si="29"/>
        <v>33883.424185273179</v>
      </c>
      <c r="AG54" s="50">
        <f t="shared" si="30"/>
        <v>0</v>
      </c>
      <c r="AH54" s="50">
        <f t="shared" si="31"/>
        <v>46250.920263818145</v>
      </c>
      <c r="AI54" s="50">
        <f t="shared" si="32"/>
        <v>54000</v>
      </c>
      <c r="AJ54" s="50">
        <f t="shared" si="33"/>
        <v>30803.112895702889</v>
      </c>
      <c r="AK54" s="52">
        <f>IF($L$2776,1,0)</f>
        <v>1</v>
      </c>
      <c r="AL54" s="49">
        <f>IF($L$2776,$M$2776,0)</f>
        <v>0.1</v>
      </c>
    </row>
    <row r="55" spans="1:38" x14ac:dyDescent="0.25">
      <c r="A55" s="77" t="str">
        <f>$A$2830</f>
        <v>BU-C|KY</v>
      </c>
      <c r="B55" s="52">
        <f>$C$2830</f>
        <v>12</v>
      </c>
      <c r="C55" s="50">
        <f>$B$2881</f>
        <v>1.03</v>
      </c>
      <c r="D55" s="50">
        <f>$C$2881</f>
        <v>1.0084375000000003</v>
      </c>
      <c r="E55" s="50">
        <f>$D$2881</f>
        <v>1.0290625000000002</v>
      </c>
      <c r="F55" s="50">
        <f>$E$2881</f>
        <v>1.0300000000000002</v>
      </c>
      <c r="G55" s="169">
        <f>$F$2881</f>
        <v>0.84399161196207151</v>
      </c>
      <c r="H55" s="169">
        <f>$G$2881</f>
        <v>0.85731271274009246</v>
      </c>
      <c r="I55" s="50">
        <f t="shared" si="17"/>
        <v>1.0009110233829333</v>
      </c>
      <c r="J55" s="50">
        <f t="shared" si="18"/>
        <v>0.99999999999999978</v>
      </c>
      <c r="K55" s="50">
        <f>IF($L$2830,1,IF(AND(nr_ModAdjMaster="ON",INDEX(lr_modadj,52)="ON"),$F$2830/$G55,1))</f>
        <v>1.0071190139247479</v>
      </c>
      <c r="L55" s="50">
        <f>IF($L$2830,1,IF(AND(nr_ModAdjMaster="ON",INDEX(lr_modadj,52)="ON"),$F$2830/$H55,1))</f>
        <v>0.99147019211144083</v>
      </c>
      <c r="M55" s="49">
        <f>IF(INDEX(lr_basis,52)="proposed",N(INDEX(lr_lrproj,52))*(1+N(INDEX(lr_s,52))),N(INDEX(lr_lrproj,52)))</f>
        <v>0.65</v>
      </c>
      <c r="N55" s="49">
        <f t="shared" si="19"/>
        <v>0.65522373988228955</v>
      </c>
      <c r="O55" s="49">
        <f t="shared" si="20"/>
        <v>0.64445562487243646</v>
      </c>
      <c r="P55" s="49">
        <f t="shared" si="21"/>
        <v>-9.1019417475712849E-4</v>
      </c>
      <c r="Q55" s="49">
        <f t="shared" si="22"/>
        <v>9.1102338293347351E-4</v>
      </c>
      <c r="R55" s="50">
        <f>IF(N(INDEX(lr_aother,52))=0,1,INDEX(lr_aother,52))</f>
        <v>1</v>
      </c>
      <c r="S55" s="49">
        <f>IF(ISBLANK(INDEX(lr_trend,52)),N(nr_TrendDefault),N(INDEX(lr_trend,52)))</f>
        <v>0</v>
      </c>
      <c r="T55" s="77" t="str">
        <f>INDEX(lr_state,52)</f>
        <v>KY</v>
      </c>
      <c r="U55" s="77" t="str">
        <f>INDEX(lr_bu,52)</f>
        <v>BU-C</v>
      </c>
      <c r="V55" s="185">
        <f>N(INDEX(lr_ep,52))</f>
        <v>36000</v>
      </c>
      <c r="W55" s="50">
        <f>N(INDEX(lr_mind,52))*$V55</f>
        <v>30600</v>
      </c>
      <c r="X55" s="50">
        <f>N(INDEX(lr_m0,52))*$V55</f>
        <v>30240</v>
      </c>
      <c r="Y55" s="50">
        <f>N(INDEX(lr_m1,52))*$V55</f>
        <v>30960</v>
      </c>
      <c r="Z55" s="50">
        <f t="shared" si="23"/>
        <v>37080</v>
      </c>
      <c r="AA55" s="50">
        <f t="shared" si="24"/>
        <v>37046.250000000007</v>
      </c>
      <c r="AB55" s="50">
        <f t="shared" si="25"/>
        <v>36032.796841785595</v>
      </c>
      <c r="AC55" s="50">
        <f t="shared" si="26"/>
        <v>30383.698030634576</v>
      </c>
      <c r="AD55" s="50">
        <f t="shared" si="27"/>
        <v>36256.284501290924</v>
      </c>
      <c r="AE55" s="50">
        <f t="shared" si="28"/>
        <v>23400</v>
      </c>
      <c r="AF55" s="50">
        <f t="shared" si="29"/>
        <v>23588.054635762423</v>
      </c>
      <c r="AG55" s="50">
        <f t="shared" si="30"/>
        <v>0</v>
      </c>
      <c r="AH55" s="50">
        <f t="shared" si="31"/>
        <v>35999.999999999993</v>
      </c>
      <c r="AI55" s="50">
        <f t="shared" si="32"/>
        <v>35692.926916011871</v>
      </c>
      <c r="AJ55" s="50">
        <f t="shared" si="33"/>
        <v>23200.402495407714</v>
      </c>
      <c r="AK55" s="52">
        <f>IF($L$2830,1,0)</f>
        <v>0</v>
      </c>
      <c r="AL55" s="49">
        <f>IF($L$2830,$M$2830,0)</f>
        <v>0</v>
      </c>
    </row>
    <row r="56" spans="1:38" x14ac:dyDescent="0.25">
      <c r="A56" s="77" t="str">
        <f>$A$2884</f>
        <v>BU-C|MD</v>
      </c>
      <c r="B56" s="52">
        <f>$C$2884</f>
        <v>12</v>
      </c>
      <c r="C56" s="50">
        <f>$B$2935</f>
        <v>1.04</v>
      </c>
      <c r="D56" s="50">
        <f>$C$2935</f>
        <v>1.0088888888888889</v>
      </c>
      <c r="E56" s="50">
        <f>$D$2935</f>
        <v>1.0377777777777779</v>
      </c>
      <c r="F56" s="50">
        <f>$E$2935</f>
        <v>1.0400000000000003</v>
      </c>
      <c r="G56" s="169">
        <f>$F$2935</f>
        <v>0.84</v>
      </c>
      <c r="H56" s="169">
        <f>$G$2935</f>
        <v>0.84</v>
      </c>
      <c r="I56" s="50">
        <f t="shared" si="17"/>
        <v>1.0021413276231264</v>
      </c>
      <c r="J56" s="50">
        <f t="shared" si="18"/>
        <v>0.99999999999999978</v>
      </c>
      <c r="K56" s="50">
        <f>IF($L$2884,1,IF(AND(nr_ModAdjMaster="ON",INDEX(lr_modadj,53)="ON"),$F$2884/$G56,1))</f>
        <v>1.0119047619047619</v>
      </c>
      <c r="L56" s="50">
        <f>IF($L$2884,1,IF(AND(nr_ModAdjMaster="ON",INDEX(lr_modadj,53)="ON"),$F$2884/$H56,1))</f>
        <v>1.0119047619047619</v>
      </c>
      <c r="M56" s="49">
        <f>IF(INDEX(lr_basis,53)="proposed",N(INDEX(lr_lrproj,53))*(1+N(INDEX(lr_s,53))),N(INDEX(lr_lrproj,53)))</f>
        <v>0.63400000000000001</v>
      </c>
      <c r="N56" s="49">
        <f t="shared" si="19"/>
        <v>0.64292138268583665</v>
      </c>
      <c r="O56" s="49">
        <f t="shared" si="20"/>
        <v>0.64154761904761892</v>
      </c>
      <c r="P56" s="49">
        <f t="shared" si="21"/>
        <v>-2.1367521367520181E-3</v>
      </c>
      <c r="Q56" s="49">
        <f t="shared" si="22"/>
        <v>2.1413276231263545E-3</v>
      </c>
      <c r="R56" s="50">
        <f>IF(N(INDEX(lr_aother,53))=0,1,INDEX(lr_aother,53))</f>
        <v>1</v>
      </c>
      <c r="S56" s="49">
        <f>IF(ISBLANK(INDEX(lr_trend,53)),N(nr_TrendDefault),N(INDEX(lr_trend,53)))</f>
        <v>0</v>
      </c>
      <c r="T56" s="77" t="str">
        <f>INDEX(lr_state,53)</f>
        <v>MD</v>
      </c>
      <c r="U56" s="77" t="str">
        <f>INDEX(lr_bu,53)</f>
        <v>BU-C</v>
      </c>
      <c r="V56" s="185">
        <f>N(INDEX(lr_ep,53))</f>
        <v>94500</v>
      </c>
      <c r="W56" s="50">
        <f>N(INDEX(lr_mind,53))*$V56</f>
        <v>80325</v>
      </c>
      <c r="X56" s="50">
        <f>N(INDEX(lr_m0,53))*$V56</f>
        <v>79380</v>
      </c>
      <c r="Y56" s="50">
        <f>N(INDEX(lr_m1,53))*$V56</f>
        <v>79380</v>
      </c>
      <c r="Z56" s="50">
        <f t="shared" si="23"/>
        <v>98280</v>
      </c>
      <c r="AA56" s="50">
        <f t="shared" si="24"/>
        <v>98070.000000000015</v>
      </c>
      <c r="AB56" s="50">
        <f t="shared" si="25"/>
        <v>94702.355460385443</v>
      </c>
      <c r="AC56" s="50">
        <f t="shared" si="26"/>
        <v>79380</v>
      </c>
      <c r="AD56" s="50">
        <f t="shared" si="27"/>
        <v>95625</v>
      </c>
      <c r="AE56" s="50">
        <f t="shared" si="28"/>
        <v>59913</v>
      </c>
      <c r="AF56" s="50">
        <f t="shared" si="29"/>
        <v>60756.070663811566</v>
      </c>
      <c r="AG56" s="50">
        <f t="shared" si="30"/>
        <v>0</v>
      </c>
      <c r="AH56" s="50">
        <f t="shared" si="31"/>
        <v>94499.999999999985</v>
      </c>
      <c r="AI56" s="50">
        <f t="shared" si="32"/>
        <v>95625</v>
      </c>
      <c r="AJ56" s="50">
        <f t="shared" si="33"/>
        <v>60626.249999999985</v>
      </c>
      <c r="AK56" s="52">
        <f>IF($L$2884,1,0)</f>
        <v>0</v>
      </c>
      <c r="AL56" s="49">
        <f>IF($L$2884,$M$2884,0)</f>
        <v>0</v>
      </c>
    </row>
    <row r="57" spans="1:38" x14ac:dyDescent="0.25">
      <c r="A57" s="77" t="str">
        <f>$A$2938</f>
        <v>BU-C|MI</v>
      </c>
      <c r="B57" s="52">
        <f>$C$2938</f>
        <v>12</v>
      </c>
      <c r="C57" s="50">
        <f>$B$2989</f>
        <v>1</v>
      </c>
      <c r="D57" s="50">
        <f>$C$2989</f>
        <v>1</v>
      </c>
      <c r="E57" s="50">
        <f>$D$2989</f>
        <v>1.01125</v>
      </c>
      <c r="F57" s="50">
        <f>$E$2989</f>
        <v>1.0387500000000001</v>
      </c>
      <c r="G57" s="169">
        <f>$F$2989</f>
        <v>0.84299370897155379</v>
      </c>
      <c r="H57" s="169">
        <f>$G$2989</f>
        <v>0.85298453455506928</v>
      </c>
      <c r="I57" s="50">
        <f t="shared" si="17"/>
        <v>0.9888751545117429</v>
      </c>
      <c r="J57" s="50">
        <f t="shared" si="18"/>
        <v>0.96269554753309261</v>
      </c>
      <c r="K57" s="50">
        <f>IF($L$2938,1,IF(AND(nr_ModAdjMaster="ON",INDEX(lr_modadj,54)="ON"),$F$2938/$G57,1))</f>
        <v>1.0083112020337539</v>
      </c>
      <c r="L57" s="50">
        <f>IF($L$2938,1,IF(AND(nr_ModAdjMaster="ON",INDEX(lr_modadj,54)="ON"),$F$2938/$H57,1))</f>
        <v>0.99650106838498997</v>
      </c>
      <c r="M57" s="49">
        <f>IF(INDEX(lr_basis,54)="proposed",N(INDEX(lr_lrproj,54))*(1+N(INDEX(lr_s,54))),N(INDEX(lr_lrproj,54)))</f>
        <v>0.66200000000000003</v>
      </c>
      <c r="N57" s="49">
        <f t="shared" si="19"/>
        <v>0.66007615895806682</v>
      </c>
      <c r="O57" s="49">
        <f t="shared" si="20"/>
        <v>0.63507456776978422</v>
      </c>
      <c r="P57" s="49">
        <f t="shared" si="21"/>
        <v>1.1249999999999982E-2</v>
      </c>
      <c r="Q57" s="49">
        <f t="shared" si="22"/>
        <v>2.7194066749073098E-2</v>
      </c>
      <c r="R57" s="50">
        <f>IF(N(INDEX(lr_aother,54))=0,1,INDEX(lr_aother,54))</f>
        <v>1</v>
      </c>
      <c r="S57" s="49">
        <f>IF(ISBLANK(INDEX(lr_trend,54)),N(nr_TrendDefault),N(INDEX(lr_trend,54)))</f>
        <v>0</v>
      </c>
      <c r="T57" s="77" t="str">
        <f>INDEX(lr_state,54)</f>
        <v>MI</v>
      </c>
      <c r="U57" s="77" t="str">
        <f>INDEX(lr_bu,54)</f>
        <v>BU-C</v>
      </c>
      <c r="V57" s="185">
        <f>N(INDEX(lr_ep,54))</f>
        <v>76500</v>
      </c>
      <c r="W57" s="50">
        <f>N(INDEX(lr_mind,54))*$V57</f>
        <v>65025</v>
      </c>
      <c r="X57" s="50">
        <f>N(INDEX(lr_m0,54))*$V57</f>
        <v>64260</v>
      </c>
      <c r="Y57" s="50">
        <f>N(INDEX(lr_m1,54))*$V57</f>
        <v>65407.5</v>
      </c>
      <c r="Z57" s="50">
        <f t="shared" si="23"/>
        <v>76500</v>
      </c>
      <c r="AA57" s="50">
        <f t="shared" si="24"/>
        <v>77360.625</v>
      </c>
      <c r="AB57" s="50">
        <f t="shared" si="25"/>
        <v>75648.949320148327</v>
      </c>
      <c r="AC57" s="50">
        <f t="shared" si="26"/>
        <v>64489.018736323866</v>
      </c>
      <c r="AD57" s="50">
        <f t="shared" si="27"/>
        <v>77135.806955582171</v>
      </c>
      <c r="AE57" s="50">
        <f t="shared" si="28"/>
        <v>50643</v>
      </c>
      <c r="AF57" s="50">
        <f t="shared" si="29"/>
        <v>50495.826160292112</v>
      </c>
      <c r="AG57" s="50">
        <f t="shared" si="30"/>
        <v>0</v>
      </c>
      <c r="AH57" s="50">
        <f t="shared" si="31"/>
        <v>73646.209386281582</v>
      </c>
      <c r="AI57" s="50">
        <f t="shared" si="32"/>
        <v>76232.331731451734</v>
      </c>
      <c r="AJ57" s="50">
        <f t="shared" si="33"/>
        <v>48583.204434388492</v>
      </c>
      <c r="AK57" s="52">
        <f>IF($L$2938,1,0)</f>
        <v>0</v>
      </c>
      <c r="AL57" s="49">
        <f>IF($L$2938,$M$2938,0)</f>
        <v>0</v>
      </c>
    </row>
    <row r="58" spans="1:38" x14ac:dyDescent="0.25">
      <c r="A58" s="77" t="str">
        <f>$A$2992</f>
        <v>BU-C|MN</v>
      </c>
      <c r="B58" s="52">
        <f>$C$2992</f>
        <v>12</v>
      </c>
      <c r="C58" s="50">
        <f>$B$3043</f>
        <v>1.06</v>
      </c>
      <c r="D58" s="50">
        <f>$C$3043</f>
        <v>1.0075000000000001</v>
      </c>
      <c r="E58" s="50">
        <f>$D$3043</f>
        <v>1.0525000000000002</v>
      </c>
      <c r="F58" s="50">
        <f>$E$3043</f>
        <v>1.0600000000000003</v>
      </c>
      <c r="G58" s="169">
        <f>$F$3043</f>
        <v>0.83900209700948214</v>
      </c>
      <c r="H58" s="169">
        <f>$G$3043</f>
        <v>0.8356718218149769</v>
      </c>
      <c r="I58" s="50">
        <f t="shared" si="17"/>
        <v>1.0071258907363418</v>
      </c>
      <c r="J58" s="50">
        <f t="shared" si="18"/>
        <v>0.99999999999999978</v>
      </c>
      <c r="K58" s="50">
        <f>IF($L$2992,1,IF(AND(nr_ModAdjMaster="ON",INDEX(lr_modadj,55)="ON"),$F$2992/$G58,1))</f>
        <v>1.0131083140670547</v>
      </c>
      <c r="L58" s="50">
        <f>IF($L$2992,1,IF(AND(nr_ModAdjMaster="ON",INDEX(lr_modadj,55)="ON"),$F$2992/$H58,1))</f>
        <v>1.0171456997962478</v>
      </c>
      <c r="M58" s="49">
        <f>IF(INDEX(lr_basis,55)="proposed",N(INDEX(lr_lrproj,55))*(1+N(INDEX(lr_s,55))),N(INDEX(lr_lrproj,55)))</f>
        <v>0.64600000000000002</v>
      </c>
      <c r="N58" s="49">
        <f t="shared" si="19"/>
        <v>0.65913163813829578</v>
      </c>
      <c r="O58" s="49">
        <f t="shared" si="20"/>
        <v>0.65707612206837596</v>
      </c>
      <c r="P58" s="49">
        <f t="shared" si="21"/>
        <v>-7.0754716981130672E-3</v>
      </c>
      <c r="Q58" s="49">
        <f t="shared" si="22"/>
        <v>7.1258907363420665E-3</v>
      </c>
      <c r="R58" s="50">
        <f>IF(N(INDEX(lr_aother,55))=0,1,INDEX(lr_aother,55))</f>
        <v>1</v>
      </c>
      <c r="S58" s="49">
        <f>IF(ISBLANK(INDEX(lr_trend,55)),N(nr_TrendDefault),N(INDEX(lr_trend,55)))</f>
        <v>0</v>
      </c>
      <c r="T58" s="77" t="str">
        <f>INDEX(lr_state,55)</f>
        <v>MN</v>
      </c>
      <c r="U58" s="77" t="str">
        <f>INDEX(lr_bu,55)</f>
        <v>BU-C</v>
      </c>
      <c r="V58" s="185">
        <f>N(INDEX(lr_ep,55))</f>
        <v>58500</v>
      </c>
      <c r="W58" s="50">
        <f>N(INDEX(lr_mind,55))*$V58</f>
        <v>49725</v>
      </c>
      <c r="X58" s="50">
        <f>N(INDEX(lr_m0,55))*$V58</f>
        <v>49140</v>
      </c>
      <c r="Y58" s="50">
        <f>N(INDEX(lr_m1,55))*$V58</f>
        <v>48847.5</v>
      </c>
      <c r="Z58" s="50">
        <f t="shared" si="23"/>
        <v>62010</v>
      </c>
      <c r="AA58" s="50">
        <f t="shared" si="24"/>
        <v>61571.250000000015</v>
      </c>
      <c r="AB58" s="50">
        <f t="shared" si="25"/>
        <v>58916.864608076001</v>
      </c>
      <c r="AC58" s="50">
        <f t="shared" si="26"/>
        <v>49081.622675054707</v>
      </c>
      <c r="AD58" s="50">
        <f t="shared" si="27"/>
        <v>59266.836372922699</v>
      </c>
      <c r="AE58" s="50">
        <f t="shared" si="28"/>
        <v>37791</v>
      </c>
      <c r="AF58" s="50">
        <f t="shared" si="29"/>
        <v>38559.200831090304</v>
      </c>
      <c r="AG58" s="50">
        <f t="shared" si="30"/>
        <v>0</v>
      </c>
      <c r="AH58" s="50">
        <f t="shared" si="31"/>
        <v>58499.999999999985</v>
      </c>
      <c r="AI58" s="50">
        <f t="shared" si="32"/>
        <v>59503.023438080498</v>
      </c>
      <c r="AJ58" s="50">
        <f t="shared" si="33"/>
        <v>38438.953140999991</v>
      </c>
      <c r="AK58" s="52">
        <f>IF($L$2992,1,0)</f>
        <v>0</v>
      </c>
      <c r="AL58" s="49">
        <f>IF($L$2992,$M$2992,0)</f>
        <v>0</v>
      </c>
    </row>
    <row r="59" spans="1:38" x14ac:dyDescent="0.25">
      <c r="A59" s="77" t="str">
        <f>$A$3046</f>
        <v>BU-C|MO</v>
      </c>
      <c r="B59" s="52">
        <f>$C$3046</f>
        <v>12</v>
      </c>
      <c r="C59" s="50">
        <f>$B$3097</f>
        <v>1.02</v>
      </c>
      <c r="D59" s="50">
        <f>$C$3097</f>
        <v>1.0017361111111112</v>
      </c>
      <c r="E59" s="50">
        <f>$D$3097</f>
        <v>1.0165972222222222</v>
      </c>
      <c r="F59" s="50">
        <f>$E$3097</f>
        <v>1.0199999999999998</v>
      </c>
      <c r="G59" s="169">
        <f>$F$3097</f>
        <v>0.84199580598103541</v>
      </c>
      <c r="H59" s="169">
        <f>$G$3097</f>
        <v>0.84865635637004611</v>
      </c>
      <c r="I59" s="50">
        <f t="shared" si="17"/>
        <v>1.0033472231709817</v>
      </c>
      <c r="J59" s="50">
        <f t="shared" si="18"/>
        <v>1.0000000000000002</v>
      </c>
      <c r="K59" s="50">
        <f>IF($L$3046,1,IF(AND(nr_ModAdjMaster="ON",INDEX(lr_modadj,56)="ON"),$F$3046/$G59,1))</f>
        <v>1.0095062160192576</v>
      </c>
      <c r="L59" s="50">
        <f>IF($L$3046,1,IF(AND(nr_ModAdjMaster="ON",INDEX(lr_modadj,56)="ON"),$F$3046/$H59,1))</f>
        <v>1.0015832599613124</v>
      </c>
      <c r="M59" s="49">
        <f>IF(INDEX(lr_basis,56)="proposed",N(INDEX(lr_lrproj,56))*(1+N(INDEX(lr_s,56))),N(INDEX(lr_lrproj,56)))</f>
        <v>0.63</v>
      </c>
      <c r="N59" s="49">
        <f t="shared" si="19"/>
        <v>0.63811771292856334</v>
      </c>
      <c r="O59" s="49">
        <f t="shared" si="20"/>
        <v>0.63099745377562688</v>
      </c>
      <c r="P59" s="49">
        <f t="shared" si="21"/>
        <v>-3.3360566448802365E-3</v>
      </c>
      <c r="Q59" s="49">
        <f t="shared" si="22"/>
        <v>3.3472231709814615E-3</v>
      </c>
      <c r="R59" s="50">
        <f>IF(N(INDEX(lr_aother,56))=0,1,INDEX(lr_aother,56))</f>
        <v>1</v>
      </c>
      <c r="S59" s="49">
        <f>IF(ISBLANK(INDEX(lr_trend,56)),N(nr_TrendDefault),N(INDEX(lr_trend,56)))</f>
        <v>0</v>
      </c>
      <c r="T59" s="77" t="str">
        <f>INDEX(lr_state,56)</f>
        <v>MO</v>
      </c>
      <c r="U59" s="77" t="str">
        <f>INDEX(lr_bu,56)</f>
        <v>BU-C</v>
      </c>
      <c r="V59" s="185">
        <f>N(INDEX(lr_ep,56))</f>
        <v>40500</v>
      </c>
      <c r="W59" s="50">
        <f>N(INDEX(lr_mind,56))*$V59</f>
        <v>34425</v>
      </c>
      <c r="X59" s="50">
        <f>N(INDEX(lr_m0,56))*$V59</f>
        <v>34020</v>
      </c>
      <c r="Y59" s="50">
        <f>N(INDEX(lr_m1,56))*$V59</f>
        <v>34425</v>
      </c>
      <c r="Z59" s="50">
        <f t="shared" si="23"/>
        <v>41310</v>
      </c>
      <c r="AA59" s="50">
        <f t="shared" si="24"/>
        <v>41172.1875</v>
      </c>
      <c r="AB59" s="50">
        <f t="shared" si="25"/>
        <v>40635.562538424761</v>
      </c>
      <c r="AC59" s="50">
        <f t="shared" si="26"/>
        <v>34100.830142231935</v>
      </c>
      <c r="AD59" s="50">
        <f t="shared" si="27"/>
        <v>40885.001748779934</v>
      </c>
      <c r="AE59" s="50">
        <f t="shared" si="28"/>
        <v>25515</v>
      </c>
      <c r="AF59" s="50">
        <f t="shared" si="29"/>
        <v>25843.767373606814</v>
      </c>
      <c r="AG59" s="50">
        <f t="shared" si="30"/>
        <v>0</v>
      </c>
      <c r="AH59" s="50">
        <f t="shared" si="31"/>
        <v>40500.000000000007</v>
      </c>
      <c r="AI59" s="50">
        <f t="shared" si="32"/>
        <v>40564.12202843315</v>
      </c>
      <c r="AJ59" s="50">
        <f t="shared" si="33"/>
        <v>25555.396877912888</v>
      </c>
      <c r="AK59" s="52">
        <f>IF($L$3046,1,0)</f>
        <v>0</v>
      </c>
      <c r="AL59" s="49">
        <f>IF($L$3046,$M$3046,0)</f>
        <v>0</v>
      </c>
    </row>
    <row r="60" spans="1:38" x14ac:dyDescent="0.25">
      <c r="A60" s="77" t="str">
        <f>$A$3100</f>
        <v>BU-C|NC</v>
      </c>
      <c r="B60" s="52">
        <f>$C$3100</f>
        <v>12</v>
      </c>
      <c r="C60" s="50">
        <f>$B$3151</f>
        <v>1</v>
      </c>
      <c r="D60" s="50">
        <f>$C$3151</f>
        <v>1</v>
      </c>
      <c r="E60" s="50">
        <f>$D$3151</f>
        <v>1</v>
      </c>
      <c r="F60" s="50">
        <f>$E$3151</f>
        <v>1</v>
      </c>
      <c r="G60" s="169">
        <f>$F$3151</f>
        <v>0.8380041940189642</v>
      </c>
      <c r="H60" s="169">
        <f>$G$3151</f>
        <v>0.83134364362995383</v>
      </c>
      <c r="I60" s="50">
        <f t="shared" si="17"/>
        <v>1</v>
      </c>
      <c r="J60" s="50">
        <f t="shared" si="18"/>
        <v>1</v>
      </c>
      <c r="K60" s="50">
        <f>IF($L$3100,1,IF(AND(nr_ModAdjMaster="ON",INDEX(lr_modadj,57)="ON"),$F$3100/$G60,1))</f>
        <v>1.0143147326309971</v>
      </c>
      <c r="L60" s="50">
        <f>IF($L$3100,1,IF(AND(nr_ModAdjMaster="ON",INDEX(lr_modadj,57)="ON"),$F$3100/$H60,1))</f>
        <v>1.0224412088947785</v>
      </c>
      <c r="M60" s="49">
        <f>IF(INDEX(lr_basis,57)="proposed",N(INDEX(lr_lrproj,57))*(1+N(INDEX(lr_s,57))),N(INDEX(lr_lrproj,57)))</f>
        <v>0.65800000000000003</v>
      </c>
      <c r="N60" s="49">
        <f t="shared" si="19"/>
        <v>0.66741909407119615</v>
      </c>
      <c r="O60" s="49">
        <f t="shared" si="20"/>
        <v>0.67276631545276433</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99000</v>
      </c>
      <c r="W60" s="50">
        <f>N(INDEX(lr_mind,57))*$V60</f>
        <v>84150</v>
      </c>
      <c r="X60" s="50">
        <f>N(INDEX(lr_m0,57))*$V60</f>
        <v>83160</v>
      </c>
      <c r="Y60" s="50">
        <f>N(INDEX(lr_m1,57))*$V60</f>
        <v>82170</v>
      </c>
      <c r="Z60" s="50">
        <f t="shared" si="23"/>
        <v>99000</v>
      </c>
      <c r="AA60" s="50">
        <f t="shared" si="24"/>
        <v>99000</v>
      </c>
      <c r="AB60" s="50">
        <f t="shared" si="25"/>
        <v>99000</v>
      </c>
      <c r="AC60" s="50">
        <f t="shared" si="26"/>
        <v>82962.41520787745</v>
      </c>
      <c r="AD60" s="50">
        <f t="shared" si="27"/>
        <v>100417.15853046872</v>
      </c>
      <c r="AE60" s="50">
        <f t="shared" si="28"/>
        <v>65142</v>
      </c>
      <c r="AF60" s="50">
        <f t="shared" si="29"/>
        <v>66074.490313048416</v>
      </c>
      <c r="AG60" s="50">
        <f t="shared" si="30"/>
        <v>0</v>
      </c>
      <c r="AH60" s="50">
        <f t="shared" si="31"/>
        <v>99000</v>
      </c>
      <c r="AI60" s="50">
        <f t="shared" si="32"/>
        <v>101221.67968058307</v>
      </c>
      <c r="AJ60" s="50">
        <f t="shared" si="33"/>
        <v>66603.86522982367</v>
      </c>
      <c r="AK60" s="52">
        <f>IF($L$3100,1,0)</f>
        <v>0</v>
      </c>
      <c r="AL60" s="49">
        <f>IF($L$3100,$M$3100,0)</f>
        <v>0</v>
      </c>
    </row>
    <row r="61" spans="1:38" x14ac:dyDescent="0.25">
      <c r="A61" s="77" t="str">
        <f>$A$3154</f>
        <v>BU-C|NJ</v>
      </c>
      <c r="B61" s="52">
        <f>$C$3154</f>
        <v>12</v>
      </c>
      <c r="C61" s="50">
        <f>$B$3205</f>
        <v>1.04</v>
      </c>
      <c r="D61" s="50">
        <f>$C$3205</f>
        <v>1.00125</v>
      </c>
      <c r="E61" s="50">
        <f>$D$3205</f>
        <v>1.0323611111111111</v>
      </c>
      <c r="F61" s="50">
        <f>$E$3205</f>
        <v>1.0745222222222226</v>
      </c>
      <c r="G61" s="169">
        <f>$F$3205</f>
        <v>0.84099790299051769</v>
      </c>
      <c r="H61" s="169">
        <f>$G$3205</f>
        <v>0.84432817818502282</v>
      </c>
      <c r="I61" s="50">
        <f t="shared" si="17"/>
        <v>1.0073994349522402</v>
      </c>
      <c r="J61" s="50">
        <f t="shared" si="18"/>
        <v>0.96787202580992038</v>
      </c>
      <c r="K61" s="50">
        <f>IF($L$3154,1,IF(AND(nr_ModAdjMaster="ON",INDEX(lr_modadj,58)="ON"),$F$3154/$G61,1))</f>
        <v>1.0107040659405588</v>
      </c>
      <c r="L61" s="50">
        <f>IF($L$3154,1,IF(AND(nr_ModAdjMaster="ON",INDEX(lr_modadj,58)="ON"),$F$3154/$H61,1))</f>
        <v>1.0067175559948376</v>
      </c>
      <c r="M61" s="49">
        <f>IF(INDEX(lr_basis,58)="proposed",N(INDEX(lr_lrproj,58))*(1+N(INDEX(lr_s,58))),N(INDEX(lr_lrproj,58)))</f>
        <v>0.64200000000000002</v>
      </c>
      <c r="N61" s="49">
        <f t="shared" si="19"/>
        <v>0.65367329656663331</v>
      </c>
      <c r="O61" s="49">
        <f t="shared" si="20"/>
        <v>0.62554795413772502</v>
      </c>
      <c r="P61" s="49">
        <f t="shared" si="21"/>
        <v>-7.3450854700854995E-3</v>
      </c>
      <c r="Q61" s="49">
        <f t="shared" si="22"/>
        <v>4.0839499529127243E-2</v>
      </c>
      <c r="R61" s="50">
        <f>IF(N(INDEX(lr_aother,58))=0,1,INDEX(lr_aother,58))</f>
        <v>1</v>
      </c>
      <c r="S61" s="49">
        <f>IF(ISBLANK(INDEX(lr_trend,58)),N(nr_TrendDefault),N(INDEX(lr_trend,58)))</f>
        <v>0</v>
      </c>
      <c r="T61" s="77" t="str">
        <f>INDEX(lr_state,58)</f>
        <v>NJ</v>
      </c>
      <c r="U61" s="77" t="str">
        <f>INDEX(lr_bu,58)</f>
        <v>BU-C</v>
      </c>
      <c r="V61" s="185">
        <f>N(INDEX(lr_ep,58))</f>
        <v>81000</v>
      </c>
      <c r="W61" s="50">
        <f>N(INDEX(lr_mind,58))*$V61</f>
        <v>68850</v>
      </c>
      <c r="X61" s="50">
        <f>N(INDEX(lr_m0,58))*$V61</f>
        <v>68040</v>
      </c>
      <c r="Y61" s="50">
        <f>N(INDEX(lr_m1,58))*$V61</f>
        <v>68445</v>
      </c>
      <c r="Z61" s="50">
        <f t="shared" si="23"/>
        <v>84240</v>
      </c>
      <c r="AA61" s="50">
        <f t="shared" si="24"/>
        <v>83621.25</v>
      </c>
      <c r="AB61" s="50">
        <f t="shared" si="25"/>
        <v>81599.354231131452</v>
      </c>
      <c r="AC61" s="50">
        <f t="shared" si="26"/>
        <v>68120.830142231935</v>
      </c>
      <c r="AD61" s="50">
        <f t="shared" si="27"/>
        <v>81867.029341185262</v>
      </c>
      <c r="AE61" s="50">
        <f t="shared" si="28"/>
        <v>52002</v>
      </c>
      <c r="AF61" s="50">
        <f t="shared" si="29"/>
        <v>52947.537021897297</v>
      </c>
      <c r="AG61" s="50">
        <f t="shared" si="30"/>
        <v>0</v>
      </c>
      <c r="AH61" s="50">
        <f t="shared" si="31"/>
        <v>78397.634090603548</v>
      </c>
      <c r="AI61" s="50">
        <f t="shared" si="32"/>
        <v>81544.122035581851</v>
      </c>
      <c r="AJ61" s="50">
        <f t="shared" si="33"/>
        <v>50669.384285155727</v>
      </c>
      <c r="AK61" s="52">
        <f>IF($L$3154,1,0)</f>
        <v>0</v>
      </c>
      <c r="AL61" s="49">
        <f>IF($L$3154,$M$3154,0)</f>
        <v>0</v>
      </c>
    </row>
    <row r="62" spans="1:38" x14ac:dyDescent="0.25">
      <c r="A62" s="77" t="str">
        <f>$A$3208</f>
        <v>BU-C|NY</v>
      </c>
      <c r="B62" s="52">
        <f>$C$3208</f>
        <v>12</v>
      </c>
      <c r="C62" s="50">
        <f>$B$3259</f>
        <v>1.05</v>
      </c>
      <c r="D62" s="50">
        <f>$C$3259</f>
        <v>1.0006944444444443</v>
      </c>
      <c r="E62" s="50">
        <f>$D$3259</f>
        <v>1.0326388888888889</v>
      </c>
      <c r="F62" s="50">
        <f>$E$3259</f>
        <v>1.05</v>
      </c>
      <c r="G62" s="169">
        <f>$F$3259</f>
        <v>0.84399161196207151</v>
      </c>
      <c r="H62" s="169">
        <f>$G$3259</f>
        <v>0.85731271274009246</v>
      </c>
      <c r="I62" s="50">
        <f t="shared" si="17"/>
        <v>1.0168123739071957</v>
      </c>
      <c r="J62" s="50">
        <f t="shared" si="18"/>
        <v>1</v>
      </c>
      <c r="K62" s="50">
        <f>IF($L$3208,1,IF(AND(nr_ModAdjMaster="ON",INDEX(lr_modadj,59)="ON"),$F$3208/$G62,1))</f>
        <v>1.0071190139247479</v>
      </c>
      <c r="L62" s="50">
        <f>IF($L$3208,1,IF(AND(nr_ModAdjMaster="ON",INDEX(lr_modadj,59)="ON"),$F$3208/$H62,1))</f>
        <v>0.99147019211144083</v>
      </c>
      <c r="M62" s="49">
        <f>IF(INDEX(lr_basis,59)="proposed",N(INDEX(lr_lrproj,59))*(1+N(INDEX(lr_s,59))),N(INDEX(lr_lrproj,59)))</f>
        <v>0.67</v>
      </c>
      <c r="N62" s="49">
        <f t="shared" si="19"/>
        <v>0.68611422048845094</v>
      </c>
      <c r="O62" s="49">
        <f t="shared" si="20"/>
        <v>0.66428502871466544</v>
      </c>
      <c r="P62" s="49">
        <f t="shared" si="21"/>
        <v>-1.6534391534391624E-2</v>
      </c>
      <c r="Q62" s="49">
        <f t="shared" si="22"/>
        <v>1.6812373907195699E-2</v>
      </c>
      <c r="R62" s="50">
        <f>IF(N(INDEX(lr_aother,59))=0,1,INDEX(lr_aother,59))</f>
        <v>1</v>
      </c>
      <c r="S62" s="49">
        <f>IF(ISBLANK(INDEX(lr_trend,59)),N(nr_TrendDefault),N(INDEX(lr_trend,59)))</f>
        <v>0</v>
      </c>
      <c r="T62" s="77" t="str">
        <f>INDEX(lr_state,59)</f>
        <v>NY</v>
      </c>
      <c r="U62" s="77" t="str">
        <f>INDEX(lr_bu,59)</f>
        <v>BU-C</v>
      </c>
      <c r="V62" s="185">
        <f>N(INDEX(lr_ep,59))</f>
        <v>63000</v>
      </c>
      <c r="W62" s="50">
        <f>N(INDEX(lr_mind,59))*$V62</f>
        <v>53550</v>
      </c>
      <c r="X62" s="50">
        <f>N(INDEX(lr_m0,59))*$V62</f>
        <v>52920</v>
      </c>
      <c r="Y62" s="50">
        <f>N(INDEX(lr_m1,59))*$V62</f>
        <v>54180</v>
      </c>
      <c r="Z62" s="50">
        <f t="shared" si="23"/>
        <v>66150</v>
      </c>
      <c r="AA62" s="50">
        <f t="shared" si="24"/>
        <v>65056.25</v>
      </c>
      <c r="AB62" s="50">
        <f t="shared" si="25"/>
        <v>64059.179556153329</v>
      </c>
      <c r="AC62" s="50">
        <f t="shared" si="26"/>
        <v>53171.471553610507</v>
      </c>
      <c r="AD62" s="50">
        <f t="shared" si="27"/>
        <v>63448.49787725912</v>
      </c>
      <c r="AE62" s="50">
        <f t="shared" si="28"/>
        <v>42210</v>
      </c>
      <c r="AF62" s="50">
        <f t="shared" si="29"/>
        <v>43225.195890772411</v>
      </c>
      <c r="AG62" s="50">
        <f t="shared" si="30"/>
        <v>0</v>
      </c>
      <c r="AH62" s="50">
        <f t="shared" si="31"/>
        <v>63000</v>
      </c>
      <c r="AI62" s="50">
        <f t="shared" si="32"/>
        <v>62462.622103020774</v>
      </c>
      <c r="AJ62" s="50">
        <f t="shared" si="33"/>
        <v>41849.956809023919</v>
      </c>
      <c r="AK62" s="52">
        <f>IF($L$3208,1,0)</f>
        <v>0</v>
      </c>
      <c r="AL62" s="49">
        <f>IF($L$3208,$M$3208,0)</f>
        <v>0</v>
      </c>
    </row>
    <row r="63" spans="1:38" x14ac:dyDescent="0.25">
      <c r="A63" s="77" t="str">
        <f>$A$3262</f>
        <v>BU-C|OH</v>
      </c>
      <c r="B63" s="52">
        <f>$C$3262</f>
        <v>12</v>
      </c>
      <c r="C63" s="50">
        <f>$B$3313</f>
        <v>1</v>
      </c>
      <c r="D63" s="50">
        <f>$C$3313</f>
        <v>1</v>
      </c>
      <c r="E63" s="50">
        <f>$D$3313</f>
        <v>1</v>
      </c>
      <c r="F63" s="50">
        <f>$E$3313</f>
        <v>1</v>
      </c>
      <c r="G63" s="169">
        <f>$F$3313</f>
        <v>0.84</v>
      </c>
      <c r="H63" s="169">
        <f>$G$3313</f>
        <v>0.84</v>
      </c>
      <c r="I63" s="50">
        <f t="shared" si="17"/>
        <v>1</v>
      </c>
      <c r="J63" s="50">
        <f t="shared" si="18"/>
        <v>1</v>
      </c>
      <c r="K63" s="50">
        <f>IF($L$3262,1,IF(AND(nr_ModAdjMaster="ON",INDEX(lr_modadj,60)="ON"),$F$3262/$G63,1))</f>
        <v>1.0119047619047619</v>
      </c>
      <c r="L63" s="50">
        <f>IF($L$3262,1,IF(AND(nr_ModAdjMaster="ON",INDEX(lr_modadj,60)="ON"),$F$3262/$H63,1))</f>
        <v>1.0119047619047619</v>
      </c>
      <c r="M63" s="49">
        <f>IF(INDEX(lr_basis,60)="proposed",N(INDEX(lr_lrproj,60))*(1+N(INDEX(lr_s,60))),N(INDEX(lr_lrproj,60)))</f>
        <v>0.65400000000000003</v>
      </c>
      <c r="N63" s="49">
        <f t="shared" si="19"/>
        <v>0.66178571428571431</v>
      </c>
      <c r="O63" s="49">
        <f t="shared" si="20"/>
        <v>0.66178571428571431</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45000</v>
      </c>
      <c r="W63" s="50">
        <f>N(INDEX(lr_mind,60))*$V63</f>
        <v>38250</v>
      </c>
      <c r="X63" s="50">
        <f>N(INDEX(lr_m0,60))*$V63</f>
        <v>37800</v>
      </c>
      <c r="Y63" s="50">
        <f>N(INDEX(lr_m1,60))*$V63</f>
        <v>37800</v>
      </c>
      <c r="Z63" s="50">
        <f t="shared" si="23"/>
        <v>45000</v>
      </c>
      <c r="AA63" s="50">
        <f t="shared" si="24"/>
        <v>45000</v>
      </c>
      <c r="AB63" s="50">
        <f t="shared" si="25"/>
        <v>45000</v>
      </c>
      <c r="AC63" s="50">
        <f t="shared" si="26"/>
        <v>37800</v>
      </c>
      <c r="AD63" s="50">
        <f t="shared" si="27"/>
        <v>45535.714285714283</v>
      </c>
      <c r="AE63" s="50">
        <f t="shared" si="28"/>
        <v>29430</v>
      </c>
      <c r="AF63" s="50">
        <f t="shared" si="29"/>
        <v>29780.357142857145</v>
      </c>
      <c r="AG63" s="50">
        <f t="shared" si="30"/>
        <v>0</v>
      </c>
      <c r="AH63" s="50">
        <f t="shared" si="31"/>
        <v>45000</v>
      </c>
      <c r="AI63" s="50">
        <f t="shared" si="32"/>
        <v>45535.714285714283</v>
      </c>
      <c r="AJ63" s="50">
        <f t="shared" si="33"/>
        <v>29780.357142857145</v>
      </c>
      <c r="AK63" s="52">
        <f>IF($L$3262,1,0)</f>
        <v>0</v>
      </c>
      <c r="AL63" s="49">
        <f>IF($L$3262,$M$3262,0)</f>
        <v>0</v>
      </c>
    </row>
    <row r="64" spans="1:38" x14ac:dyDescent="0.25">
      <c r="A64" s="77" t="str">
        <f>$A$3316</f>
        <v>BU-C|PA</v>
      </c>
      <c r="B64" s="52">
        <f>$C$3316</f>
        <v>12</v>
      </c>
      <c r="C64" s="50">
        <f>$B$3367</f>
        <v>1.02</v>
      </c>
      <c r="D64" s="50">
        <f>$C$3367</f>
        <v>1.01</v>
      </c>
      <c r="E64" s="50">
        <f>$D$3367</f>
        <v>1.0199999999999998</v>
      </c>
      <c r="F64" s="50">
        <f>$E$3367</f>
        <v>1.0199999999999998</v>
      </c>
      <c r="G64" s="169">
        <f>$F$3367</f>
        <v>0.84299370897155379</v>
      </c>
      <c r="H64" s="169">
        <f>$G$3367</f>
        <v>0.85298453455506928</v>
      </c>
      <c r="I64" s="50">
        <f t="shared" si="17"/>
        <v>1.0000000000000002</v>
      </c>
      <c r="J64" s="50">
        <f t="shared" si="18"/>
        <v>1.0000000000000002</v>
      </c>
      <c r="K64" s="50">
        <f>IF($L$3316,1,IF(AND(nr_ModAdjMaster="ON",INDEX(lr_modadj,61)="ON"),$F$3316/$G64,1))</f>
        <v>1.0083112020337539</v>
      </c>
      <c r="L64" s="50">
        <f>IF($L$3316,1,IF(AND(nr_ModAdjMaster="ON",INDEX(lr_modadj,61)="ON"),$F$3316/$H64,1))</f>
        <v>0.99650106838498997</v>
      </c>
      <c r="M64" s="49">
        <f>IF(INDEX(lr_basis,61)="proposed",N(INDEX(lr_lrproj,61))*(1+N(INDEX(lr_s,61))),N(INDEX(lr_lrproj,61)))</f>
        <v>0.63800000000000001</v>
      </c>
      <c r="N64" s="49">
        <f t="shared" si="19"/>
        <v>0.64330254689753508</v>
      </c>
      <c r="O64" s="49">
        <f t="shared" si="20"/>
        <v>0.63576768162962372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103500</v>
      </c>
      <c r="W64" s="50">
        <f>N(INDEX(lr_mind,61))*$V64</f>
        <v>87975</v>
      </c>
      <c r="X64" s="50">
        <f>N(INDEX(lr_m0,61))*$V64</f>
        <v>86940</v>
      </c>
      <c r="Y64" s="50">
        <f>N(INDEX(lr_m1,61))*$V64</f>
        <v>88492.5</v>
      </c>
      <c r="Z64" s="50">
        <f t="shared" si="23"/>
        <v>105570</v>
      </c>
      <c r="AA64" s="50">
        <f t="shared" si="24"/>
        <v>105569.99999999999</v>
      </c>
      <c r="AB64" s="50">
        <f t="shared" si="25"/>
        <v>103500.00000000003</v>
      </c>
      <c r="AC64" s="50">
        <f t="shared" si="26"/>
        <v>87249.848878555815</v>
      </c>
      <c r="AD64" s="50">
        <f t="shared" si="27"/>
        <v>104360.20941049352</v>
      </c>
      <c r="AE64" s="50">
        <f t="shared" si="28"/>
        <v>66033</v>
      </c>
      <c r="AF64" s="50">
        <f t="shared" si="29"/>
        <v>66581.813603894887</v>
      </c>
      <c r="AG64" s="50">
        <f t="shared" si="30"/>
        <v>0</v>
      </c>
      <c r="AH64" s="50">
        <f t="shared" si="31"/>
        <v>103500.00000000003</v>
      </c>
      <c r="AI64" s="50">
        <f t="shared" si="32"/>
        <v>103137.86057784646</v>
      </c>
      <c r="AJ64" s="50">
        <f t="shared" si="33"/>
        <v>65801.955048666059</v>
      </c>
      <c r="AK64" s="52">
        <f>IF($L$3316,1,0)</f>
        <v>0</v>
      </c>
      <c r="AL64" s="49">
        <f>IF($L$3316,$M$3316,0)</f>
        <v>0</v>
      </c>
    </row>
    <row r="65" spans="1:38" x14ac:dyDescent="0.25">
      <c r="A65" s="77" t="str">
        <f>$A$3370</f>
        <v>BU-C|TN</v>
      </c>
      <c r="B65" s="52">
        <f>$C$3370</f>
        <v>12</v>
      </c>
      <c r="C65" s="50">
        <f>$B$3421</f>
        <v>1.03</v>
      </c>
      <c r="D65" s="50">
        <f>$C$3421</f>
        <v>1.012604166666667</v>
      </c>
      <c r="E65" s="50">
        <f>$D$3421</f>
        <v>1.0472055555555555</v>
      </c>
      <c r="F65" s="50">
        <f>$E$3421</f>
        <v>1.0710569444444447</v>
      </c>
      <c r="G65" s="169">
        <f>$F$3421</f>
        <v>0.83900209700948214</v>
      </c>
      <c r="H65" s="169">
        <f>$G$3421</f>
        <v>0.8356718218149769</v>
      </c>
      <c r="I65" s="50">
        <f t="shared" si="17"/>
        <v>0.98357003029225942</v>
      </c>
      <c r="J65" s="50">
        <f t="shared" si="18"/>
        <v>0.96166688927474275</v>
      </c>
      <c r="K65" s="50">
        <f>IF($L$3370,1,IF(AND(nr_ModAdjMaster="ON",INDEX(lr_modadj,62)="ON"),$F$3370/$G65,1))</f>
        <v>1.0131083140670547</v>
      </c>
      <c r="L65" s="50">
        <f>IF($L$3370,1,IF(AND(nr_ModAdjMaster="ON",INDEX(lr_modadj,62)="ON"),$F$3370/$H65,1))</f>
        <v>1.0171456997962478</v>
      </c>
      <c r="M65" s="49">
        <f>IF(INDEX(lr_basis,62)="proposed",N(INDEX(lr_lrproj,62))*(1+N(INDEX(lr_s,62))),N(INDEX(lr_lrproj,62)))</f>
        <v>0.66600000000000004</v>
      </c>
      <c r="N65" s="49">
        <f t="shared" si="19"/>
        <v>0.6636443414540778</v>
      </c>
      <c r="O65" s="49">
        <f t="shared" si="20"/>
        <v>0.65145145714745112</v>
      </c>
      <c r="P65" s="49">
        <f t="shared" si="21"/>
        <v>1.6704422869471269E-2</v>
      </c>
      <c r="Q65" s="49">
        <f t="shared" si="22"/>
        <v>2.2776224555298263E-2</v>
      </c>
      <c r="R65" s="50">
        <f>IF(N(INDEX(lr_aother,62))=0,1,INDEX(lr_aother,62))</f>
        <v>1</v>
      </c>
      <c r="S65" s="49">
        <f>IF(ISBLANK(INDEX(lr_trend,62)),N(nr_TrendDefault),N(INDEX(lr_trend,62)))</f>
        <v>0</v>
      </c>
      <c r="T65" s="77" t="str">
        <f>INDEX(lr_state,62)</f>
        <v>TN</v>
      </c>
      <c r="U65" s="77" t="str">
        <f>INDEX(lr_bu,62)</f>
        <v>BU-C</v>
      </c>
      <c r="V65" s="185">
        <f>N(INDEX(lr_ep,62))</f>
        <v>85500</v>
      </c>
      <c r="W65" s="50">
        <f>N(INDEX(lr_mind,62))*$V65</f>
        <v>72675</v>
      </c>
      <c r="X65" s="50">
        <f>N(INDEX(lr_m0,62))*$V65</f>
        <v>71820</v>
      </c>
      <c r="Y65" s="50">
        <f>N(INDEX(lr_m1,62))*$V65</f>
        <v>71392.5</v>
      </c>
      <c r="Z65" s="50">
        <f t="shared" si="23"/>
        <v>88065</v>
      </c>
      <c r="AA65" s="50">
        <f t="shared" si="24"/>
        <v>89536.074999999997</v>
      </c>
      <c r="AB65" s="50">
        <f t="shared" si="25"/>
        <v>84095.237589988174</v>
      </c>
      <c r="AC65" s="50">
        <f t="shared" si="26"/>
        <v>71734.679294310728</v>
      </c>
      <c r="AD65" s="50">
        <f t="shared" si="27"/>
        <v>86620.760852733176</v>
      </c>
      <c r="AE65" s="50">
        <f t="shared" si="28"/>
        <v>56943</v>
      </c>
      <c r="AF65" s="50">
        <f t="shared" si="29"/>
        <v>56741.59119432365</v>
      </c>
      <c r="AG65" s="50">
        <f t="shared" si="30"/>
        <v>0</v>
      </c>
      <c r="AH65" s="50">
        <f t="shared" si="31"/>
        <v>82222.519032990502</v>
      </c>
      <c r="AI65" s="50">
        <f t="shared" si="32"/>
        <v>86965.957332579186</v>
      </c>
      <c r="AJ65" s="50">
        <f t="shared" si="33"/>
        <v>55699.09958610707</v>
      </c>
      <c r="AK65" s="52">
        <f>IF($L$3370,1,0)</f>
        <v>0</v>
      </c>
      <c r="AL65" s="49">
        <f>IF($L$3370,$M$3370,0)</f>
        <v>0</v>
      </c>
    </row>
    <row r="66" spans="1:38" x14ac:dyDescent="0.25">
      <c r="A66" s="77" t="str">
        <f>$A$3424</f>
        <v>BU-C|TX</v>
      </c>
      <c r="B66" s="52">
        <f>$C$3424</f>
        <v>12</v>
      </c>
      <c r="C66" s="50">
        <f>$B$3475</f>
        <v>1</v>
      </c>
      <c r="D66" s="50">
        <f>$C$3475</f>
        <v>1</v>
      </c>
      <c r="E66" s="50">
        <f>$D$3475</f>
        <v>1</v>
      </c>
      <c r="F66" s="50">
        <f>$E$3475</f>
        <v>1</v>
      </c>
      <c r="G66" s="169">
        <f>$F$3475</f>
        <v>0.84199580598103541</v>
      </c>
      <c r="H66" s="169">
        <f>$G$3475</f>
        <v>0.84865635637004611</v>
      </c>
      <c r="I66" s="50">
        <f t="shared" si="17"/>
        <v>1</v>
      </c>
      <c r="J66" s="50">
        <f t="shared" si="18"/>
        <v>1</v>
      </c>
      <c r="K66" s="50">
        <f>IF($L$3424,1,IF(AND(nr_ModAdjMaster="ON",INDEX(lr_modadj,63)="ON"),$F$3424/$G66,1))</f>
        <v>1.0095062160192576</v>
      </c>
      <c r="L66" s="50">
        <f>IF($L$3424,1,IF(AND(nr_ModAdjMaster="ON",INDEX(lr_modadj,63)="ON"),$F$3424/$H66,1))</f>
        <v>1.0015832599613124</v>
      </c>
      <c r="M66" s="49">
        <f>IF(INDEX(lr_basis,63)="proposed",N(INDEX(lr_lrproj,63))*(1+N(INDEX(lr_s,63))),N(INDEX(lr_lrproj,63)))</f>
        <v>0.65</v>
      </c>
      <c r="N66" s="49">
        <f t="shared" si="19"/>
        <v>0.65617904041251751</v>
      </c>
      <c r="O66" s="49">
        <f t="shared" si="20"/>
        <v>0.65102911897485305</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67500</v>
      </c>
      <c r="W66" s="50">
        <f>N(INDEX(lr_mind,63))*$V66</f>
        <v>57375</v>
      </c>
      <c r="X66" s="50">
        <f>N(INDEX(lr_m0,63))*$V66</f>
        <v>56700</v>
      </c>
      <c r="Y66" s="50">
        <f>N(INDEX(lr_m1,63))*$V66</f>
        <v>57375</v>
      </c>
      <c r="Z66" s="50">
        <f t="shared" si="23"/>
        <v>67500</v>
      </c>
      <c r="AA66" s="50">
        <f t="shared" si="24"/>
        <v>67500</v>
      </c>
      <c r="AB66" s="50">
        <f t="shared" si="25"/>
        <v>67500</v>
      </c>
      <c r="AC66" s="50">
        <f t="shared" si="26"/>
        <v>56834.716903719891</v>
      </c>
      <c r="AD66" s="50">
        <f t="shared" si="27"/>
        <v>68141.669581299895</v>
      </c>
      <c r="AE66" s="50">
        <f t="shared" si="28"/>
        <v>43875</v>
      </c>
      <c r="AF66" s="50">
        <f t="shared" si="29"/>
        <v>44292.085227844931</v>
      </c>
      <c r="AG66" s="50">
        <f t="shared" si="30"/>
        <v>0</v>
      </c>
      <c r="AH66" s="50">
        <f t="shared" si="31"/>
        <v>67500</v>
      </c>
      <c r="AI66" s="50">
        <f t="shared" si="32"/>
        <v>67606.870047388584</v>
      </c>
      <c r="AJ66" s="50">
        <f t="shared" si="33"/>
        <v>43944.465530802583</v>
      </c>
      <c r="AK66" s="52">
        <f>IF($L$3424,1,0)</f>
        <v>0</v>
      </c>
      <c r="AL66" s="49">
        <f>IF($L$3424,$M$3424,0)</f>
        <v>0</v>
      </c>
    </row>
    <row r="67" spans="1:38" x14ac:dyDescent="0.25">
      <c r="A67" s="77" t="str">
        <f>$A$3478</f>
        <v/>
      </c>
      <c r="B67" s="52">
        <f>$C$3478</f>
        <v>12</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25">
      <c r="A68" s="77" t="str">
        <f>$A$3532</f>
        <v/>
      </c>
      <c r="B68" s="52">
        <f>$C$3532</f>
        <v>12</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25">
      <c r="A69" s="77" t="str">
        <f>$A$3586</f>
        <v/>
      </c>
      <c r="B69" s="52">
        <f>$C$3586</f>
        <v>12</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25">
      <c r="A70" s="77" t="str">
        <f>$A$3640</f>
        <v/>
      </c>
      <c r="B70" s="52">
        <f>$C$3640</f>
        <v>12</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25">
      <c r="A71" s="77" t="str">
        <f>$A$3694</f>
        <v/>
      </c>
      <c r="B71" s="52">
        <f>$C$3694</f>
        <v>12</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25">
      <c r="A72" s="77" t="str">
        <f>$A$3748</f>
        <v/>
      </c>
      <c r="B72" s="52">
        <f>$C$3748</f>
        <v>12</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25">
      <c r="A76" s="77" t="str">
        <f>INDEX(lr_key,1)</f>
        <v>BU-A|AZ</v>
      </c>
      <c r="B76" s="77" t="str">
        <f>INDEX(lr_state,1)</f>
        <v>AZ</v>
      </c>
      <c r="C76" s="52">
        <f>nr_TermMonths</f>
        <v>12</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25">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25">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25">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25">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25">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25">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25">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25">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25">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25">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25">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25">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25">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25">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25">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25">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25">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25">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25">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25">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25">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25">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25">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25">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25">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25">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25">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25">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25">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25">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25">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25">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25">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25">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25">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25">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25">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25">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25">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25">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25">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25">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25">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25">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25">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25">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25">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25">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25">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25">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25">
      <c r="A127" s="77" t="s">
        <v>1209</v>
      </c>
      <c r="B127" s="50">
        <f>EXP(SUMPRODUCT((rl_key=$A$76)*(rl_cons="Y")*rl_ln1p))</f>
        <v>1.1024</v>
      </c>
      <c r="C127" s="50">
        <f>SUMPRODUCT($H$79:$H$126,$P$79:$P$126,$U$79:$U$126)/SUMPRODUCT($H$79:$H$126,$P$79:$P$126)</f>
        <v>1.0428000000000002</v>
      </c>
      <c r="D127" s="50">
        <f>SUMPRODUCT($H$79:$H$126,$Q$79:$Q$126,$U$79:$U$126)/SUMPRODUCT($H$79:$H$126,$Q$79:$Q$126)</f>
        <v>1.1101025000000002</v>
      </c>
      <c r="E127" s="50">
        <f>SUMPRODUCT($H$79:$H$126,$R$79:$R$126,$U$79:$U$126)/SUMPRODUCT($H$79:$H$126,$R$79:$R$126)</f>
        <v>1.1557975</v>
      </c>
      <c r="F127" s="169">
        <f>SUMPRODUCT($H$79:$H$126,$Q$79:$Q$126,$O$79:$O$126)/SUMPRODUCT($H$79:$H$126,$Q$79:$Q$126)</f>
        <v>0.8659874179431073</v>
      </c>
      <c r="G127" s="169">
        <f>SUMPRODUCT($H$79:$H$126,$R$79:$R$126,$O$79:$O$126)/SUMPRODUCT($H$79:$H$126,$R$79:$R$126)</f>
        <v>0.88596906911013884</v>
      </c>
    </row>
    <row r="130" spans="1:21" x14ac:dyDescent="0.25">
      <c r="A130" s="77" t="str">
        <f>INDEX(lr_key,2)</f>
        <v>BU-A|CA</v>
      </c>
      <c r="B130" s="77" t="str">
        <f>INDEX(lr_state,2)</f>
        <v>CA</v>
      </c>
      <c r="C130" s="52">
        <f>nr_TermMonths</f>
        <v>12</v>
      </c>
      <c r="D130" s="52">
        <f>IF(COUNTIF(se_state,$B130)=0,0,MATCH($B130,se_state,0))</f>
        <v>0</v>
      </c>
      <c r="E130" s="54">
        <f>IF($D130=0,0,INDEX(se_sum,$D130))</f>
        <v>0</v>
      </c>
      <c r="F130" s="169">
        <f>IF(N(INDEX(lr_mind,2))=0,1,INDEX(lr_mind,2))</f>
        <v>0.85</v>
      </c>
      <c r="G130" s="169">
        <f>IF(N(INDEX(lr_m0,2))=0,1,INDEX(lr_m0,2))</f>
        <v>0.84</v>
      </c>
      <c r="H130" s="51">
        <f>IF(N(INDEX(lr_m0asof,2))=0,DATE(nr_PlanYear-1,10,1),INDEX(lr_m0asof,2))</f>
        <v>46295</v>
      </c>
      <c r="I130" s="169">
        <f>IF(N(INDEX(lr_m1,2))=0,1,INDEX(lr_m1,2))</f>
        <v>0.84499999999999997</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25">
      <c r="A131" s="77">
        <f>EDATE($H$130,-12)+1</f>
        <v>45931</v>
      </c>
      <c r="B131" s="77">
        <f>$H$130+1</f>
        <v>46296</v>
      </c>
      <c r="C131" s="77">
        <f>DATE(nr_PlanYear,12,31)+1</f>
        <v>46753</v>
      </c>
      <c r="D131" s="77">
        <f>DATE(nr_PlanYear+1,12,31)+1</f>
        <v>47119</v>
      </c>
      <c r="E131" s="77">
        <f>IF(N($J$130)=0,$F$131-($G$131-$F$131)/($C$131-$B$131)*($B$131-$A$131),$J$130)</f>
        <v>0.8360065645514223</v>
      </c>
      <c r="F131" s="77">
        <f>$G$130</f>
        <v>0.84</v>
      </c>
      <c r="G131" s="77">
        <f>$I$130</f>
        <v>0.84499999999999997</v>
      </c>
      <c r="H131" s="77">
        <f>IF(N($K$130)=0,$I$130,$K$130)</f>
        <v>0.84499999999999997</v>
      </c>
      <c r="I131" s="77">
        <f>($F$131-$E$131)/($B$131-$A$131)</f>
        <v>1.0940919037199081E-5</v>
      </c>
      <c r="J131" s="77">
        <f>($G$131-$F$131)/($C$131-$B$131)</f>
        <v>1.0940919037199135E-5</v>
      </c>
      <c r="K131" s="77">
        <f>($H$131-$G$131)/($D$131-$C$131)</f>
        <v>0</v>
      </c>
    </row>
    <row r="132" spans="1:21" ht="24" x14ac:dyDescent="0.25">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25">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0.83318927789934349</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0.98022267988158063</v>
      </c>
      <c r="T133" s="72">
        <f t="shared" ref="T133:T180" si="71">IF($G133&lt;nr_MStartP,$S133,$T121*(1+IF($G133&lt;nr_MStartP1,$M$130,$N$130)))</f>
        <v>0.98022267988158063</v>
      </c>
      <c r="U133" s="72">
        <f t="shared" ref="U133:U180" si="72">IF($L$130,$T133,$N133)</f>
        <v>1</v>
      </c>
    </row>
    <row r="134" spans="1:21" x14ac:dyDescent="0.25">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0.83351203501094095</v>
      </c>
      <c r="P134" s="72">
        <f t="shared" si="67"/>
        <v>0.125</v>
      </c>
      <c r="Q134" s="72">
        <f t="shared" si="68"/>
        <v>0</v>
      </c>
      <c r="R134" s="72">
        <f t="shared" si="69"/>
        <v>0</v>
      </c>
      <c r="S134" s="72">
        <f t="shared" si="70"/>
        <v>0.98060239413051875</v>
      </c>
      <c r="T134" s="72">
        <f t="shared" si="71"/>
        <v>0.98060239413051875</v>
      </c>
      <c r="U134" s="72">
        <f t="shared" si="72"/>
        <v>1</v>
      </c>
    </row>
    <row r="135" spans="1:21" x14ac:dyDescent="0.25">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0.8338347921225383</v>
      </c>
      <c r="P135" s="72">
        <f t="shared" si="67"/>
        <v>0.20833333333333337</v>
      </c>
      <c r="Q135" s="72">
        <f t="shared" si="68"/>
        <v>0</v>
      </c>
      <c r="R135" s="72">
        <f t="shared" si="69"/>
        <v>0</v>
      </c>
      <c r="S135" s="72">
        <f t="shared" si="70"/>
        <v>0.98098210837945687</v>
      </c>
      <c r="T135" s="72">
        <f t="shared" si="71"/>
        <v>0.98098210837945687</v>
      </c>
      <c r="U135" s="72">
        <f t="shared" si="72"/>
        <v>1</v>
      </c>
    </row>
    <row r="136" spans="1:21" x14ac:dyDescent="0.25">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0.83416849015317285</v>
      </c>
      <c r="P136" s="72">
        <f t="shared" si="67"/>
        <v>0.29166666666666663</v>
      </c>
      <c r="Q136" s="72">
        <f t="shared" si="68"/>
        <v>0</v>
      </c>
      <c r="R136" s="72">
        <f t="shared" si="69"/>
        <v>0</v>
      </c>
      <c r="S136" s="72">
        <f t="shared" si="70"/>
        <v>0.9813746942978504</v>
      </c>
      <c r="T136" s="72">
        <f t="shared" si="71"/>
        <v>0.9813746942978504</v>
      </c>
      <c r="U136" s="72">
        <f t="shared" si="72"/>
        <v>1</v>
      </c>
    </row>
    <row r="137" spans="1:21" x14ac:dyDescent="0.25">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0.83450218818380739</v>
      </c>
      <c r="P137" s="72">
        <f t="shared" si="67"/>
        <v>0.375</v>
      </c>
      <c r="Q137" s="72">
        <f t="shared" si="68"/>
        <v>0</v>
      </c>
      <c r="R137" s="72">
        <f t="shared" si="69"/>
        <v>0</v>
      </c>
      <c r="S137" s="72">
        <f t="shared" si="70"/>
        <v>0.98176728021624404</v>
      </c>
      <c r="T137" s="72">
        <f t="shared" si="71"/>
        <v>0.98176728021624404</v>
      </c>
      <c r="U137" s="72">
        <f t="shared" si="72"/>
        <v>1</v>
      </c>
    </row>
    <row r="138" spans="1:21" x14ac:dyDescent="0.25">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0.83483588621444205</v>
      </c>
      <c r="P138" s="72">
        <f t="shared" si="67"/>
        <v>0.45833333333333337</v>
      </c>
      <c r="Q138" s="72">
        <f t="shared" si="68"/>
        <v>0</v>
      </c>
      <c r="R138" s="72">
        <f t="shared" si="69"/>
        <v>0</v>
      </c>
      <c r="S138" s="72">
        <f t="shared" si="70"/>
        <v>0.98215986613463768</v>
      </c>
      <c r="T138" s="72">
        <f t="shared" si="71"/>
        <v>0.98215986613463768</v>
      </c>
      <c r="U138" s="72">
        <f t="shared" si="72"/>
        <v>1</v>
      </c>
    </row>
    <row r="139" spans="1:21" x14ac:dyDescent="0.25">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0.83516958424507659</v>
      </c>
      <c r="P139" s="72">
        <f t="shared" si="67"/>
        <v>0.54166666666666674</v>
      </c>
      <c r="Q139" s="72">
        <f t="shared" si="68"/>
        <v>0</v>
      </c>
      <c r="R139" s="72">
        <f t="shared" si="69"/>
        <v>0</v>
      </c>
      <c r="S139" s="72">
        <f t="shared" si="70"/>
        <v>0.98255245205303132</v>
      </c>
      <c r="T139" s="72">
        <f t="shared" si="71"/>
        <v>0.98255245205303132</v>
      </c>
      <c r="U139" s="72">
        <f t="shared" si="72"/>
        <v>1</v>
      </c>
    </row>
    <row r="140" spans="1:21" x14ac:dyDescent="0.25">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0.83550875273522973</v>
      </c>
      <c r="P140" s="72">
        <f t="shared" si="67"/>
        <v>0.625</v>
      </c>
      <c r="Q140" s="72">
        <f t="shared" si="68"/>
        <v>0</v>
      </c>
      <c r="R140" s="72">
        <f t="shared" si="69"/>
        <v>0</v>
      </c>
      <c r="S140" s="72">
        <f t="shared" si="70"/>
        <v>0.98295147380615266</v>
      </c>
      <c r="T140" s="72">
        <f t="shared" si="71"/>
        <v>0.98295147380615266</v>
      </c>
      <c r="U140" s="72">
        <f t="shared" si="72"/>
        <v>1</v>
      </c>
    </row>
    <row r="141" spans="1:21" x14ac:dyDescent="0.25">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0.83584245076586428</v>
      </c>
      <c r="P141" s="72">
        <f t="shared" si="67"/>
        <v>0.70833333333333326</v>
      </c>
      <c r="Q141" s="72">
        <f t="shared" si="68"/>
        <v>0</v>
      </c>
      <c r="R141" s="72">
        <f t="shared" si="69"/>
        <v>0</v>
      </c>
      <c r="S141" s="72">
        <f t="shared" si="70"/>
        <v>0.98334405972454619</v>
      </c>
      <c r="T141" s="72">
        <f t="shared" si="71"/>
        <v>0.98334405972454619</v>
      </c>
      <c r="U141" s="72">
        <f t="shared" si="72"/>
        <v>1</v>
      </c>
    </row>
    <row r="142" spans="1:21" x14ac:dyDescent="0.25">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0.83617614879649893</v>
      </c>
      <c r="P142" s="72">
        <f t="shared" si="67"/>
        <v>0.79166666666666663</v>
      </c>
      <c r="Q142" s="72">
        <f t="shared" si="68"/>
        <v>0</v>
      </c>
      <c r="R142" s="72">
        <f t="shared" si="69"/>
        <v>0</v>
      </c>
      <c r="S142" s="72">
        <f t="shared" si="70"/>
        <v>0.98373664564293994</v>
      </c>
      <c r="T142" s="72">
        <f t="shared" si="71"/>
        <v>0.98373664564293994</v>
      </c>
      <c r="U142" s="72">
        <f t="shared" si="72"/>
        <v>1</v>
      </c>
    </row>
    <row r="143" spans="1:21" x14ac:dyDescent="0.25">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0.83650984682713347</v>
      </c>
      <c r="P143" s="72">
        <f t="shared" si="67"/>
        <v>0.875</v>
      </c>
      <c r="Q143" s="72">
        <f t="shared" si="68"/>
        <v>0</v>
      </c>
      <c r="R143" s="72">
        <f t="shared" si="69"/>
        <v>0</v>
      </c>
      <c r="S143" s="72">
        <f t="shared" si="70"/>
        <v>0.98412923156133347</v>
      </c>
      <c r="T143" s="72">
        <f t="shared" si="71"/>
        <v>0.98412923156133347</v>
      </c>
      <c r="U143" s="72">
        <f t="shared" si="72"/>
        <v>1</v>
      </c>
    </row>
    <row r="144" spans="1:21" x14ac:dyDescent="0.25">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0.83684354485776802</v>
      </c>
      <c r="P144" s="72">
        <f t="shared" si="67"/>
        <v>0.95833333333333337</v>
      </c>
      <c r="Q144" s="72">
        <f t="shared" si="68"/>
        <v>0</v>
      </c>
      <c r="R144" s="72">
        <f t="shared" si="69"/>
        <v>0</v>
      </c>
      <c r="S144" s="72">
        <f t="shared" si="70"/>
        <v>0.98452181747972711</v>
      </c>
      <c r="T144" s="72">
        <f t="shared" si="71"/>
        <v>0.98452181747972711</v>
      </c>
      <c r="U144" s="72">
        <f t="shared" si="72"/>
        <v>1</v>
      </c>
    </row>
    <row r="145" spans="1:21" x14ac:dyDescent="0.25">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0.83718271334792116</v>
      </c>
      <c r="P145" s="72">
        <f t="shared" si="67"/>
        <v>0.95833333333333337</v>
      </c>
      <c r="Q145" s="72">
        <f t="shared" si="68"/>
        <v>4.166666666666663E-2</v>
      </c>
      <c r="R145" s="72">
        <f t="shared" si="69"/>
        <v>0</v>
      </c>
      <c r="S145" s="72">
        <f t="shared" si="70"/>
        <v>0.98492083923284846</v>
      </c>
      <c r="T145" s="72">
        <f t="shared" si="71"/>
        <v>0.98492083923284846</v>
      </c>
      <c r="U145" s="72">
        <f t="shared" si="72"/>
        <v>1</v>
      </c>
    </row>
    <row r="146" spans="1:21" x14ac:dyDescent="0.25">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0.83750547045951862</v>
      </c>
      <c r="P146" s="72">
        <f t="shared" si="67"/>
        <v>0.875</v>
      </c>
      <c r="Q146" s="72">
        <f t="shared" si="68"/>
        <v>0.125</v>
      </c>
      <c r="R146" s="72">
        <f t="shared" si="69"/>
        <v>0</v>
      </c>
      <c r="S146" s="72">
        <f t="shared" si="70"/>
        <v>1.0148595700862404</v>
      </c>
      <c r="T146" s="72">
        <f t="shared" si="71"/>
        <v>1.0148595700862404</v>
      </c>
      <c r="U146" s="72">
        <f t="shared" si="72"/>
        <v>1.03</v>
      </c>
    </row>
    <row r="147" spans="1:21" x14ac:dyDescent="0.25">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0.83782822757111597</v>
      </c>
      <c r="P147" s="72">
        <f t="shared" si="67"/>
        <v>0.79166666666666663</v>
      </c>
      <c r="Q147" s="72">
        <f t="shared" si="68"/>
        <v>0.20833333333333337</v>
      </c>
      <c r="R147" s="72">
        <f t="shared" si="69"/>
        <v>0</v>
      </c>
      <c r="S147" s="72">
        <f t="shared" si="70"/>
        <v>1.0152506757626465</v>
      </c>
      <c r="T147" s="72">
        <f t="shared" si="71"/>
        <v>1.0152506757626465</v>
      </c>
      <c r="U147" s="72">
        <f t="shared" si="72"/>
        <v>1.03</v>
      </c>
    </row>
    <row r="148" spans="1:21" x14ac:dyDescent="0.25">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0.83816192560175051</v>
      </c>
      <c r="P148" s="72">
        <f t="shared" si="67"/>
        <v>0.70833333333333337</v>
      </c>
      <c r="Q148" s="72">
        <f t="shared" si="68"/>
        <v>0.29166666666666663</v>
      </c>
      <c r="R148" s="72">
        <f t="shared" si="69"/>
        <v>0</v>
      </c>
      <c r="S148" s="72">
        <f t="shared" si="70"/>
        <v>1.0156550392585919</v>
      </c>
      <c r="T148" s="72">
        <f t="shared" si="71"/>
        <v>1.0156550392585919</v>
      </c>
      <c r="U148" s="72">
        <f t="shared" si="72"/>
        <v>1.03</v>
      </c>
    </row>
    <row r="149" spans="1:21" x14ac:dyDescent="0.25">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0.83849562363238506</v>
      </c>
      <c r="P149" s="72">
        <f t="shared" si="67"/>
        <v>0.625</v>
      </c>
      <c r="Q149" s="72">
        <f t="shared" si="68"/>
        <v>0.375</v>
      </c>
      <c r="R149" s="72">
        <f t="shared" si="69"/>
        <v>0</v>
      </c>
      <c r="S149" s="72">
        <f t="shared" si="70"/>
        <v>1.0160594027545373</v>
      </c>
      <c r="T149" s="72">
        <f t="shared" si="71"/>
        <v>1.0160594027545373</v>
      </c>
      <c r="U149" s="72">
        <f t="shared" si="72"/>
        <v>1.03</v>
      </c>
    </row>
    <row r="150" spans="1:21" x14ac:dyDescent="0.25">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0.83882932166301971</v>
      </c>
      <c r="P150" s="72">
        <f t="shared" si="67"/>
        <v>0.54166666666666663</v>
      </c>
      <c r="Q150" s="72">
        <f t="shared" si="68"/>
        <v>0.45833333333333337</v>
      </c>
      <c r="R150" s="72">
        <f t="shared" si="69"/>
        <v>0</v>
      </c>
      <c r="S150" s="72">
        <f t="shared" si="70"/>
        <v>1.0164637662504827</v>
      </c>
      <c r="T150" s="72">
        <f t="shared" si="71"/>
        <v>1.0164637662504827</v>
      </c>
      <c r="U150" s="72">
        <f t="shared" si="72"/>
        <v>1.03</v>
      </c>
    </row>
    <row r="151" spans="1:21" x14ac:dyDescent="0.25">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0.83916301969365426</v>
      </c>
      <c r="P151" s="72">
        <f t="shared" si="67"/>
        <v>0.45833333333333331</v>
      </c>
      <c r="Q151" s="72">
        <f t="shared" si="68"/>
        <v>0.54166666666666674</v>
      </c>
      <c r="R151" s="72">
        <f t="shared" si="69"/>
        <v>0</v>
      </c>
      <c r="S151" s="72">
        <f t="shared" si="70"/>
        <v>1.0168681297464282</v>
      </c>
      <c r="T151" s="72">
        <f t="shared" si="71"/>
        <v>1.0168681297464282</v>
      </c>
      <c r="U151" s="72">
        <f t="shared" si="72"/>
        <v>1.03</v>
      </c>
    </row>
    <row r="152" spans="1:21" x14ac:dyDescent="0.25">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0.8395021881838074</v>
      </c>
      <c r="P152" s="72">
        <f t="shared" si="67"/>
        <v>0.375</v>
      </c>
      <c r="Q152" s="72">
        <f t="shared" si="68"/>
        <v>0.625</v>
      </c>
      <c r="R152" s="72">
        <f t="shared" si="69"/>
        <v>0</v>
      </c>
      <c r="S152" s="72">
        <f t="shared" si="70"/>
        <v>1.0172791221521431</v>
      </c>
      <c r="T152" s="72">
        <f t="shared" si="71"/>
        <v>1.0172791221521431</v>
      </c>
      <c r="U152" s="72">
        <f t="shared" si="72"/>
        <v>1.03</v>
      </c>
    </row>
    <row r="153" spans="1:21" x14ac:dyDescent="0.25">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0.83983588621444194</v>
      </c>
      <c r="P153" s="72">
        <f t="shared" si="67"/>
        <v>0.29166666666666669</v>
      </c>
      <c r="Q153" s="72">
        <f t="shared" si="68"/>
        <v>0.70833333333333326</v>
      </c>
      <c r="R153" s="72">
        <f t="shared" si="69"/>
        <v>0</v>
      </c>
      <c r="S153" s="72">
        <f t="shared" si="70"/>
        <v>1.0176834856480885</v>
      </c>
      <c r="T153" s="72">
        <f t="shared" si="71"/>
        <v>1.0176834856480885</v>
      </c>
      <c r="U153" s="72">
        <f t="shared" si="72"/>
        <v>1.03</v>
      </c>
    </row>
    <row r="154" spans="1:21" x14ac:dyDescent="0.25">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0.84016958424507659</v>
      </c>
      <c r="P154" s="72">
        <f t="shared" si="67"/>
        <v>0.20833333333333334</v>
      </c>
      <c r="Q154" s="72">
        <f t="shared" si="68"/>
        <v>0.79166666666666663</v>
      </c>
      <c r="R154" s="72">
        <f t="shared" si="69"/>
        <v>0</v>
      </c>
      <c r="S154" s="72">
        <f t="shared" si="70"/>
        <v>1.0180878491440339</v>
      </c>
      <c r="T154" s="72">
        <f t="shared" si="71"/>
        <v>1.0180878491440339</v>
      </c>
      <c r="U154" s="72">
        <f t="shared" si="72"/>
        <v>1.03</v>
      </c>
    </row>
    <row r="155" spans="1:21" x14ac:dyDescent="0.25">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0.84050328227571114</v>
      </c>
      <c r="P155" s="72">
        <f t="shared" si="67"/>
        <v>0.125</v>
      </c>
      <c r="Q155" s="72">
        <f t="shared" si="68"/>
        <v>0.875</v>
      </c>
      <c r="R155" s="72">
        <f t="shared" si="69"/>
        <v>0</v>
      </c>
      <c r="S155" s="72">
        <f t="shared" si="70"/>
        <v>1.0184922126399796</v>
      </c>
      <c r="T155" s="72">
        <f t="shared" si="71"/>
        <v>1.0184922126399796</v>
      </c>
      <c r="U155" s="72">
        <f t="shared" si="72"/>
        <v>1.03</v>
      </c>
    </row>
    <row r="156" spans="1:21" x14ac:dyDescent="0.25">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0.84083698030634568</v>
      </c>
      <c r="P156" s="72">
        <f t="shared" si="67"/>
        <v>4.1666666666666664E-2</v>
      </c>
      <c r="Q156" s="72">
        <f t="shared" si="68"/>
        <v>0.95833333333333337</v>
      </c>
      <c r="R156" s="72">
        <f t="shared" si="69"/>
        <v>0</v>
      </c>
      <c r="S156" s="72">
        <f t="shared" si="70"/>
        <v>1.0188965761359248</v>
      </c>
      <c r="T156" s="72">
        <f t="shared" si="71"/>
        <v>1.0188965761359248</v>
      </c>
      <c r="U156" s="72">
        <f t="shared" si="72"/>
        <v>1.03</v>
      </c>
    </row>
    <row r="157" spans="1:21" x14ac:dyDescent="0.25">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0.84117614879649882</v>
      </c>
      <c r="P157" s="72">
        <f t="shared" si="67"/>
        <v>0</v>
      </c>
      <c r="Q157" s="72">
        <f t="shared" si="68"/>
        <v>0.95833333333333337</v>
      </c>
      <c r="R157" s="72">
        <f t="shared" si="69"/>
        <v>4.166666666666663E-2</v>
      </c>
      <c r="S157" s="72">
        <f t="shared" si="70"/>
        <v>1.0193075685416397</v>
      </c>
      <c r="T157" s="72">
        <f t="shared" si="71"/>
        <v>0.98492083923284846</v>
      </c>
      <c r="U157" s="72">
        <f t="shared" si="72"/>
        <v>1.03</v>
      </c>
    </row>
    <row r="158" spans="1:21" x14ac:dyDescent="0.25">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0.84149890590809628</v>
      </c>
      <c r="P158" s="72">
        <f t="shared" si="67"/>
        <v>0</v>
      </c>
      <c r="Q158" s="72">
        <f t="shared" si="68"/>
        <v>0.875</v>
      </c>
      <c r="R158" s="72">
        <f t="shared" si="69"/>
        <v>0.125</v>
      </c>
      <c r="S158" s="72">
        <f t="shared" si="70"/>
        <v>1.0604866211867681</v>
      </c>
      <c r="T158" s="72">
        <f t="shared" si="71"/>
        <v>1.0148595700862404</v>
      </c>
      <c r="U158" s="72">
        <f t="shared" si="72"/>
        <v>1.0712000000000002</v>
      </c>
    </row>
    <row r="159" spans="1:21" x14ac:dyDescent="0.25">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0.84182166301969363</v>
      </c>
      <c r="P159" s="72">
        <f t="shared" si="67"/>
        <v>0</v>
      </c>
      <c r="Q159" s="72">
        <f t="shared" si="68"/>
        <v>0.79166666666666663</v>
      </c>
      <c r="R159" s="72">
        <f t="shared" si="69"/>
        <v>0.20833333333333337</v>
      </c>
      <c r="S159" s="72">
        <f t="shared" si="70"/>
        <v>1.0608933710902306</v>
      </c>
      <c r="T159" s="72">
        <f t="shared" si="71"/>
        <v>1.0152506757626465</v>
      </c>
      <c r="U159" s="72">
        <f t="shared" si="72"/>
        <v>1.0712000000000002</v>
      </c>
    </row>
    <row r="160" spans="1:21" x14ac:dyDescent="0.25">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0.84215536105032818</v>
      </c>
      <c r="P160" s="72">
        <f t="shared" si="67"/>
        <v>0</v>
      </c>
      <c r="Q160" s="72">
        <f t="shared" si="68"/>
        <v>0.70833333333333337</v>
      </c>
      <c r="R160" s="72">
        <f t="shared" si="69"/>
        <v>0.29166666666666663</v>
      </c>
      <c r="S160" s="72">
        <f t="shared" si="70"/>
        <v>1.0613139091260138</v>
      </c>
      <c r="T160" s="72">
        <f t="shared" si="71"/>
        <v>1.0156550392585919</v>
      </c>
      <c r="U160" s="72">
        <f t="shared" si="72"/>
        <v>1.0712000000000002</v>
      </c>
    </row>
    <row r="161" spans="1:21" x14ac:dyDescent="0.25">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0.84248905908096272</v>
      </c>
      <c r="P161" s="72">
        <f t="shared" si="67"/>
        <v>0</v>
      </c>
      <c r="Q161" s="72">
        <f t="shared" si="68"/>
        <v>0.625</v>
      </c>
      <c r="R161" s="72">
        <f t="shared" si="69"/>
        <v>0.375</v>
      </c>
      <c r="S161" s="72">
        <f t="shared" si="70"/>
        <v>1.0617344471617969</v>
      </c>
      <c r="T161" s="72">
        <f t="shared" si="71"/>
        <v>1.0160594027545373</v>
      </c>
      <c r="U161" s="72">
        <f t="shared" si="72"/>
        <v>1.0712000000000002</v>
      </c>
    </row>
    <row r="162" spans="1:21" x14ac:dyDescent="0.25">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0.84282275711159738</v>
      </c>
      <c r="P162" s="72">
        <f t="shared" si="67"/>
        <v>0</v>
      </c>
      <c r="Q162" s="72">
        <f t="shared" si="68"/>
        <v>0.54166666666666663</v>
      </c>
      <c r="R162" s="72">
        <f t="shared" si="69"/>
        <v>0.45833333333333337</v>
      </c>
      <c r="S162" s="72">
        <f t="shared" si="70"/>
        <v>1.0621549851975804</v>
      </c>
      <c r="T162" s="72">
        <f t="shared" si="71"/>
        <v>1.0164637662504827</v>
      </c>
      <c r="U162" s="72">
        <f t="shared" si="72"/>
        <v>1.0712000000000002</v>
      </c>
    </row>
    <row r="163" spans="1:21" x14ac:dyDescent="0.25">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0.84315645514223192</v>
      </c>
      <c r="P163" s="72">
        <f t="shared" si="67"/>
        <v>0</v>
      </c>
      <c r="Q163" s="72">
        <f t="shared" si="68"/>
        <v>0.45833333333333331</v>
      </c>
      <c r="R163" s="72">
        <f t="shared" si="69"/>
        <v>0.54166666666666674</v>
      </c>
      <c r="S163" s="72">
        <f t="shared" si="70"/>
        <v>1.0625755232333636</v>
      </c>
      <c r="T163" s="72">
        <f t="shared" si="71"/>
        <v>1.0168681297464282</v>
      </c>
      <c r="U163" s="72">
        <f t="shared" si="72"/>
        <v>1.0712000000000002</v>
      </c>
    </row>
    <row r="164" spans="1:21" x14ac:dyDescent="0.25">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0.84349562363238506</v>
      </c>
      <c r="P164" s="72">
        <f t="shared" si="67"/>
        <v>0</v>
      </c>
      <c r="Q164" s="72">
        <f t="shared" si="68"/>
        <v>0.375</v>
      </c>
      <c r="R164" s="72">
        <f t="shared" si="69"/>
        <v>0.625</v>
      </c>
      <c r="S164" s="72">
        <f t="shared" si="70"/>
        <v>1.0630029553353071</v>
      </c>
      <c r="T164" s="72">
        <f t="shared" si="71"/>
        <v>1.0172791221521431</v>
      </c>
      <c r="U164" s="72">
        <f t="shared" si="72"/>
        <v>1.0712000000000002</v>
      </c>
    </row>
    <row r="165" spans="1:21" x14ac:dyDescent="0.25">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0.84382932166301972</v>
      </c>
      <c r="P165" s="72">
        <f t="shared" si="67"/>
        <v>0</v>
      </c>
      <c r="Q165" s="72">
        <f t="shared" si="68"/>
        <v>0.29166666666666669</v>
      </c>
      <c r="R165" s="72">
        <f t="shared" si="69"/>
        <v>0.70833333333333326</v>
      </c>
      <c r="S165" s="72">
        <f t="shared" si="70"/>
        <v>1.0634234933710904</v>
      </c>
      <c r="T165" s="72">
        <f t="shared" si="71"/>
        <v>1.0176834856480885</v>
      </c>
      <c r="U165" s="72">
        <f t="shared" si="72"/>
        <v>1.0712000000000002</v>
      </c>
    </row>
    <row r="166" spans="1:21" x14ac:dyDescent="0.25">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0.84416301969365426</v>
      </c>
      <c r="P166" s="72">
        <f t="shared" si="67"/>
        <v>0</v>
      </c>
      <c r="Q166" s="72">
        <f t="shared" si="68"/>
        <v>0.20833333333333334</v>
      </c>
      <c r="R166" s="72">
        <f t="shared" si="69"/>
        <v>0.79166666666666663</v>
      </c>
      <c r="S166" s="72">
        <f t="shared" si="70"/>
        <v>1.0638440314068736</v>
      </c>
      <c r="T166" s="72">
        <f t="shared" si="71"/>
        <v>1.0180878491440339</v>
      </c>
      <c r="U166" s="72">
        <f t="shared" si="72"/>
        <v>1.0712000000000002</v>
      </c>
    </row>
    <row r="167" spans="1:21" x14ac:dyDescent="0.25">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0.8444967177242888</v>
      </c>
      <c r="P167" s="72">
        <f t="shared" si="67"/>
        <v>0</v>
      </c>
      <c r="Q167" s="72">
        <f t="shared" si="68"/>
        <v>0.125</v>
      </c>
      <c r="R167" s="72">
        <f t="shared" si="69"/>
        <v>0.875</v>
      </c>
      <c r="S167" s="72">
        <f t="shared" si="70"/>
        <v>1.0642645694426569</v>
      </c>
      <c r="T167" s="72">
        <f t="shared" si="71"/>
        <v>1.0184922126399796</v>
      </c>
      <c r="U167" s="72">
        <f t="shared" si="72"/>
        <v>1.0712000000000002</v>
      </c>
    </row>
    <row r="168" spans="1:21" x14ac:dyDescent="0.25">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0.84483041575492335</v>
      </c>
      <c r="P168" s="72">
        <f t="shared" si="67"/>
        <v>0</v>
      </c>
      <c r="Q168" s="72">
        <f t="shared" si="68"/>
        <v>4.1666666666666664E-2</v>
      </c>
      <c r="R168" s="72">
        <f t="shared" si="69"/>
        <v>0.95833333333333337</v>
      </c>
      <c r="S168" s="72">
        <f t="shared" si="70"/>
        <v>1.06468510747844</v>
      </c>
      <c r="T168" s="72">
        <f t="shared" si="71"/>
        <v>1.0188965761359248</v>
      </c>
      <c r="U168" s="72">
        <f t="shared" si="72"/>
        <v>1.0712000000000002</v>
      </c>
    </row>
    <row r="169" spans="1:21" x14ac:dyDescent="0.25">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0.84499999999999997</v>
      </c>
      <c r="P169" s="72">
        <f t="shared" si="67"/>
        <v>0</v>
      </c>
      <c r="Q169" s="72">
        <f t="shared" si="68"/>
        <v>0</v>
      </c>
      <c r="R169" s="72">
        <f t="shared" si="69"/>
        <v>0.95833333333333337</v>
      </c>
      <c r="S169" s="72">
        <f t="shared" si="70"/>
        <v>1.0648988235294119</v>
      </c>
      <c r="T169" s="72">
        <f t="shared" si="71"/>
        <v>0.98492083923284846</v>
      </c>
      <c r="U169" s="72">
        <f t="shared" si="72"/>
        <v>1.0712000000000002</v>
      </c>
    </row>
    <row r="170" spans="1:21" x14ac:dyDescent="0.25">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0.84499999999999997</v>
      </c>
      <c r="P170" s="72">
        <f t="shared" si="67"/>
        <v>0</v>
      </c>
      <c r="Q170" s="72">
        <f t="shared" si="68"/>
        <v>0</v>
      </c>
      <c r="R170" s="72">
        <f t="shared" si="69"/>
        <v>0.875</v>
      </c>
      <c r="S170" s="72">
        <f t="shared" si="70"/>
        <v>1.0648988235294119</v>
      </c>
      <c r="T170" s="72">
        <f t="shared" si="71"/>
        <v>1.0148595700862404</v>
      </c>
      <c r="U170" s="72">
        <f t="shared" si="72"/>
        <v>1.0712000000000002</v>
      </c>
    </row>
    <row r="171" spans="1:21" x14ac:dyDescent="0.25">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0.84499999999999997</v>
      </c>
      <c r="P171" s="72">
        <f t="shared" si="67"/>
        <v>0</v>
      </c>
      <c r="Q171" s="72">
        <f t="shared" si="68"/>
        <v>0</v>
      </c>
      <c r="R171" s="72">
        <f t="shared" si="69"/>
        <v>0.79166666666666663</v>
      </c>
      <c r="S171" s="72">
        <f t="shared" si="70"/>
        <v>1.0648988235294119</v>
      </c>
      <c r="T171" s="72">
        <f t="shared" si="71"/>
        <v>1.0152506757626465</v>
      </c>
      <c r="U171" s="72">
        <f t="shared" si="72"/>
        <v>1.0712000000000002</v>
      </c>
    </row>
    <row r="172" spans="1:21" x14ac:dyDescent="0.25">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0.84499999999999997</v>
      </c>
      <c r="P172" s="72">
        <f t="shared" si="67"/>
        <v>0</v>
      </c>
      <c r="Q172" s="72">
        <f t="shared" si="68"/>
        <v>0</v>
      </c>
      <c r="R172" s="72">
        <f t="shared" si="69"/>
        <v>0.70833333333333337</v>
      </c>
      <c r="S172" s="72">
        <f t="shared" si="70"/>
        <v>1.0648988235294119</v>
      </c>
      <c r="T172" s="72">
        <f t="shared" si="71"/>
        <v>1.0156550392585919</v>
      </c>
      <c r="U172" s="72">
        <f t="shared" si="72"/>
        <v>1.0712000000000002</v>
      </c>
    </row>
    <row r="173" spans="1:21" x14ac:dyDescent="0.25">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0.84499999999999997</v>
      </c>
      <c r="P173" s="72">
        <f t="shared" si="67"/>
        <v>0</v>
      </c>
      <c r="Q173" s="72">
        <f t="shared" si="68"/>
        <v>0</v>
      </c>
      <c r="R173" s="72">
        <f t="shared" si="69"/>
        <v>0.625</v>
      </c>
      <c r="S173" s="72">
        <f t="shared" si="70"/>
        <v>1.0648988235294119</v>
      </c>
      <c r="T173" s="72">
        <f t="shared" si="71"/>
        <v>1.0160594027545373</v>
      </c>
      <c r="U173" s="72">
        <f t="shared" si="72"/>
        <v>1.0712000000000002</v>
      </c>
    </row>
    <row r="174" spans="1:21" x14ac:dyDescent="0.25">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0.84499999999999997</v>
      </c>
      <c r="P174" s="72">
        <f t="shared" si="67"/>
        <v>0</v>
      </c>
      <c r="Q174" s="72">
        <f t="shared" si="68"/>
        <v>0</v>
      </c>
      <c r="R174" s="72">
        <f t="shared" si="69"/>
        <v>0.54166666666666663</v>
      </c>
      <c r="S174" s="72">
        <f t="shared" si="70"/>
        <v>1.0648988235294119</v>
      </c>
      <c r="T174" s="72">
        <f t="shared" si="71"/>
        <v>1.0164637662504827</v>
      </c>
      <c r="U174" s="72">
        <f t="shared" si="72"/>
        <v>1.0712000000000002</v>
      </c>
    </row>
    <row r="175" spans="1:21" x14ac:dyDescent="0.25">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0.84499999999999997</v>
      </c>
      <c r="P175" s="72">
        <f t="shared" si="67"/>
        <v>0</v>
      </c>
      <c r="Q175" s="72">
        <f t="shared" si="68"/>
        <v>0</v>
      </c>
      <c r="R175" s="72">
        <f t="shared" si="69"/>
        <v>0.45833333333333331</v>
      </c>
      <c r="S175" s="72">
        <f t="shared" si="70"/>
        <v>1.0648988235294119</v>
      </c>
      <c r="T175" s="72">
        <f t="shared" si="71"/>
        <v>1.0168681297464282</v>
      </c>
      <c r="U175" s="72">
        <f t="shared" si="72"/>
        <v>1.0712000000000002</v>
      </c>
    </row>
    <row r="176" spans="1:21" x14ac:dyDescent="0.25">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0.84499999999999997</v>
      </c>
      <c r="P176" s="72">
        <f t="shared" si="67"/>
        <v>0</v>
      </c>
      <c r="Q176" s="72">
        <f t="shared" si="68"/>
        <v>0</v>
      </c>
      <c r="R176" s="72">
        <f t="shared" si="69"/>
        <v>0.375</v>
      </c>
      <c r="S176" s="72">
        <f t="shared" si="70"/>
        <v>1.0648988235294119</v>
      </c>
      <c r="T176" s="72">
        <f t="shared" si="71"/>
        <v>1.0172791221521431</v>
      </c>
      <c r="U176" s="72">
        <f t="shared" si="72"/>
        <v>1.0712000000000002</v>
      </c>
    </row>
    <row r="177" spans="1:21" x14ac:dyDescent="0.25">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0.84499999999999997</v>
      </c>
      <c r="P177" s="72">
        <f t="shared" si="67"/>
        <v>0</v>
      </c>
      <c r="Q177" s="72">
        <f t="shared" si="68"/>
        <v>0</v>
      </c>
      <c r="R177" s="72">
        <f t="shared" si="69"/>
        <v>0.29166666666666669</v>
      </c>
      <c r="S177" s="72">
        <f t="shared" si="70"/>
        <v>1.0648988235294119</v>
      </c>
      <c r="T177" s="72">
        <f t="shared" si="71"/>
        <v>1.0176834856480885</v>
      </c>
      <c r="U177" s="72">
        <f t="shared" si="72"/>
        <v>1.0712000000000002</v>
      </c>
    </row>
    <row r="178" spans="1:21" x14ac:dyDescent="0.25">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0.84499999999999997</v>
      </c>
      <c r="P178" s="72">
        <f t="shared" si="67"/>
        <v>0</v>
      </c>
      <c r="Q178" s="72">
        <f t="shared" si="68"/>
        <v>0</v>
      </c>
      <c r="R178" s="72">
        <f t="shared" si="69"/>
        <v>0.20833333333333334</v>
      </c>
      <c r="S178" s="72">
        <f t="shared" si="70"/>
        <v>1.0648988235294119</v>
      </c>
      <c r="T178" s="72">
        <f t="shared" si="71"/>
        <v>1.0180878491440339</v>
      </c>
      <c r="U178" s="72">
        <f t="shared" si="72"/>
        <v>1.0712000000000002</v>
      </c>
    </row>
    <row r="179" spans="1:21" x14ac:dyDescent="0.25">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0.84499999999999997</v>
      </c>
      <c r="P179" s="72">
        <f t="shared" si="67"/>
        <v>0</v>
      </c>
      <c r="Q179" s="72">
        <f t="shared" si="68"/>
        <v>0</v>
      </c>
      <c r="R179" s="72">
        <f t="shared" si="69"/>
        <v>0.125</v>
      </c>
      <c r="S179" s="72">
        <f t="shared" si="70"/>
        <v>1.0648988235294119</v>
      </c>
      <c r="T179" s="72">
        <f t="shared" si="71"/>
        <v>1.0184922126399796</v>
      </c>
      <c r="U179" s="72">
        <f t="shared" si="72"/>
        <v>1.0712000000000002</v>
      </c>
    </row>
    <row r="180" spans="1:21" x14ac:dyDescent="0.25">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0.84499999999999997</v>
      </c>
      <c r="P180" s="72">
        <f t="shared" si="67"/>
        <v>0</v>
      </c>
      <c r="Q180" s="72">
        <f t="shared" si="68"/>
        <v>0</v>
      </c>
      <c r="R180" s="72">
        <f t="shared" si="69"/>
        <v>4.1666666666666664E-2</v>
      </c>
      <c r="S180" s="72">
        <f t="shared" si="70"/>
        <v>1.0648988235294119</v>
      </c>
      <c r="T180" s="72">
        <f t="shared" si="71"/>
        <v>1.0188965761359248</v>
      </c>
      <c r="U180" s="72">
        <f t="shared" si="72"/>
        <v>1.0712000000000002</v>
      </c>
    </row>
    <row r="181" spans="1:21" x14ac:dyDescent="0.25">
      <c r="A181" s="77" t="s">
        <v>1209</v>
      </c>
      <c r="B181" s="50">
        <f>EXP(SUMPRODUCT((rl_key=$A$130)*(rl_cons="Y")*rl_ln1p))</f>
        <v>1.03</v>
      </c>
      <c r="C181" s="50">
        <f>SUMPRODUCT($H$133:$H$180,$P$133:$P$180,$U$133:$U$180)/SUMPRODUCT($H$133:$H$180,$P$133:$P$180)</f>
        <v>1.012604166666667</v>
      </c>
      <c r="D181" s="50">
        <f>SUMPRODUCT($H$133:$H$180,$Q$133:$Q$180,$U$133:$U$180)/SUMPRODUCT($H$133:$H$180,$Q$133:$Q$180)</f>
        <v>1.0472055555555555</v>
      </c>
      <c r="E181" s="50">
        <f>SUMPRODUCT($H$133:$H$180,$R$133:$R$180,$U$133:$U$180)/SUMPRODUCT($H$133:$H$180,$R$133:$R$180)</f>
        <v>1.0710569444444447</v>
      </c>
      <c r="F181" s="169">
        <f>SUMPRODUCT($H$133:$H$180,$Q$133:$Q$180,$O$133:$O$180)/SUMPRODUCT($H$133:$H$180,$Q$133:$Q$180)</f>
        <v>0.84099790299051769</v>
      </c>
      <c r="G181" s="169">
        <f>SUMPRODUCT($H$133:$H$180,$R$133:$R$180,$O$133:$O$180)/SUMPRODUCT($H$133:$H$180,$R$133:$R$180)</f>
        <v>0.84432817818502282</v>
      </c>
    </row>
    <row r="184" spans="1:21" x14ac:dyDescent="0.25">
      <c r="A184" s="77" t="str">
        <f>INDEX(lr_key,3)</f>
        <v>BU-A|CO</v>
      </c>
      <c r="B184" s="77" t="str">
        <f>INDEX(lr_state,3)</f>
        <v>CO</v>
      </c>
      <c r="C184" s="52">
        <f>nr_TermMonths</f>
        <v>12</v>
      </c>
      <c r="D184" s="52">
        <f>IF(COUNTIF(se_state,$B184)=0,0,MATCH($B184,se_state,0))</f>
        <v>0</v>
      </c>
      <c r="E184" s="54">
        <f>IF($D184=0,0,INDEX(se_sum,$D184))</f>
        <v>0</v>
      </c>
      <c r="F184" s="169">
        <f>IF(N(INDEX(lr_mind,3))=0,1,INDEX(lr_mind,3))</f>
        <v>0.85</v>
      </c>
      <c r="G184" s="169">
        <f>IF(N(INDEX(lr_m0,3))=0,1,INDEX(lr_m0,3))</f>
        <v>0.84</v>
      </c>
      <c r="H184" s="51">
        <f>IF(N(INDEX(lr_m0asof,3))=0,DATE(nr_PlanYear-1,10,1),INDEX(lr_m0asof,3))</f>
        <v>46295</v>
      </c>
      <c r="I184" s="169">
        <f>IF(N(INDEX(lr_m1,3))=0,1,INDEX(lr_m1,3))</f>
        <v>0.86</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25">
      <c r="A185" s="77">
        <f>EDATE($H$184,-12)+1</f>
        <v>45931</v>
      </c>
      <c r="B185" s="77">
        <f>$H$184+1</f>
        <v>46296</v>
      </c>
      <c r="C185" s="77">
        <f>DATE(nr_PlanYear,12,31)+1</f>
        <v>46753</v>
      </c>
      <c r="D185" s="77">
        <f>DATE(nr_PlanYear+1,12,31)+1</f>
        <v>47119</v>
      </c>
      <c r="E185" s="77">
        <f>IF(N($J$184)=0,$F$185-($G$185-$F$185)/($C$185-$B$185)*($B$185-$A$185),$J$184)</f>
        <v>0.8240262582056892</v>
      </c>
      <c r="F185" s="77">
        <f>$G$184</f>
        <v>0.84</v>
      </c>
      <c r="G185" s="77">
        <f>$I$184</f>
        <v>0.86</v>
      </c>
      <c r="H185" s="77">
        <f>IF(N($K$184)=0,$I$184,$K$184)</f>
        <v>0.86</v>
      </c>
      <c r="I185" s="77">
        <f>($F$185-$E$185)/($B$185-$A$185)</f>
        <v>4.3763676148796628E-5</v>
      </c>
      <c r="J185" s="77">
        <f>($G$185-$F$185)/($C$185-$B$185)</f>
        <v>4.376367614879654E-5</v>
      </c>
      <c r="K185" s="77">
        <f>($H$185-$G$185)/($D$185-$C$185)</f>
        <v>0</v>
      </c>
    </row>
    <row r="186" spans="1:21" ht="24" x14ac:dyDescent="0.25">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25">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0.81275711159737407</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0.95618483717338132</v>
      </c>
      <c r="T187" s="72">
        <f t="shared" ref="T187:T234" si="91">IF($G187&lt;nr_MStartP,$S187,$T175*(1+IF($G187&lt;nr_MStartP1,$M$184,$N$184)))</f>
        <v>0.95618483717338132</v>
      </c>
      <c r="U187" s="72">
        <f t="shared" ref="U187:U234" si="92">IF($L$184,$T187,$N187)</f>
        <v>1</v>
      </c>
    </row>
    <row r="188" spans="1:21" x14ac:dyDescent="0.25">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0.81404814004376358</v>
      </c>
      <c r="P188" s="72">
        <f t="shared" si="87"/>
        <v>0.125</v>
      </c>
      <c r="Q188" s="72">
        <f t="shared" si="88"/>
        <v>0</v>
      </c>
      <c r="R188" s="72">
        <f t="shared" si="89"/>
        <v>0</v>
      </c>
      <c r="S188" s="72">
        <f t="shared" si="90"/>
        <v>0.9577036941691337</v>
      </c>
      <c r="T188" s="72">
        <f t="shared" si="91"/>
        <v>0.9577036941691337</v>
      </c>
      <c r="U188" s="72">
        <f t="shared" si="92"/>
        <v>1</v>
      </c>
    </row>
    <row r="189" spans="1:21" x14ac:dyDescent="0.25">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0.81533916849015309</v>
      </c>
      <c r="P189" s="72">
        <f t="shared" si="87"/>
        <v>0.20833333333333337</v>
      </c>
      <c r="Q189" s="72">
        <f t="shared" si="88"/>
        <v>0</v>
      </c>
      <c r="R189" s="72">
        <f t="shared" si="89"/>
        <v>0</v>
      </c>
      <c r="S189" s="72">
        <f t="shared" si="90"/>
        <v>0.95922255116488597</v>
      </c>
      <c r="T189" s="72">
        <f t="shared" si="91"/>
        <v>0.95922255116488597</v>
      </c>
      <c r="U189" s="72">
        <f t="shared" si="92"/>
        <v>1</v>
      </c>
    </row>
    <row r="190" spans="1:21" x14ac:dyDescent="0.25">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0.81667396061269137</v>
      </c>
      <c r="P190" s="72">
        <f t="shared" si="87"/>
        <v>0.29166666666666663</v>
      </c>
      <c r="Q190" s="72">
        <f t="shared" si="88"/>
        <v>0</v>
      </c>
      <c r="R190" s="72">
        <f t="shared" si="89"/>
        <v>0</v>
      </c>
      <c r="S190" s="72">
        <f t="shared" si="90"/>
        <v>0.96079289483846042</v>
      </c>
      <c r="T190" s="72">
        <f t="shared" si="91"/>
        <v>0.96079289483846042</v>
      </c>
      <c r="U190" s="72">
        <f t="shared" si="92"/>
        <v>1</v>
      </c>
    </row>
    <row r="191" spans="1:21" x14ac:dyDescent="0.25">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0.81800875273522966</v>
      </c>
      <c r="P191" s="72">
        <f t="shared" si="87"/>
        <v>0.375</v>
      </c>
      <c r="Q191" s="72">
        <f t="shared" si="88"/>
        <v>0</v>
      </c>
      <c r="R191" s="72">
        <f t="shared" si="89"/>
        <v>0</v>
      </c>
      <c r="S191" s="72">
        <f t="shared" si="90"/>
        <v>0.96236323851203487</v>
      </c>
      <c r="T191" s="72">
        <f t="shared" si="91"/>
        <v>0.96236323851203487</v>
      </c>
      <c r="U191" s="72">
        <f t="shared" si="92"/>
        <v>1</v>
      </c>
    </row>
    <row r="192" spans="1:21" x14ac:dyDescent="0.25">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0.81934354485776795</v>
      </c>
      <c r="P192" s="72">
        <f t="shared" si="87"/>
        <v>0.45833333333333337</v>
      </c>
      <c r="Q192" s="72">
        <f t="shared" si="88"/>
        <v>0</v>
      </c>
      <c r="R192" s="72">
        <f t="shared" si="89"/>
        <v>0</v>
      </c>
      <c r="S192" s="72">
        <f t="shared" si="90"/>
        <v>0.96393358218560943</v>
      </c>
      <c r="T192" s="72">
        <f t="shared" si="91"/>
        <v>0.96393358218560943</v>
      </c>
      <c r="U192" s="72">
        <f t="shared" si="92"/>
        <v>1</v>
      </c>
    </row>
    <row r="193" spans="1:21" x14ac:dyDescent="0.25">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0.82067833698030623</v>
      </c>
      <c r="P193" s="72">
        <f t="shared" si="87"/>
        <v>0.54166666666666674</v>
      </c>
      <c r="Q193" s="72">
        <f t="shared" si="88"/>
        <v>0</v>
      </c>
      <c r="R193" s="72">
        <f t="shared" si="89"/>
        <v>0</v>
      </c>
      <c r="S193" s="72">
        <f t="shared" si="90"/>
        <v>0.96550392585918388</v>
      </c>
      <c r="T193" s="72">
        <f t="shared" si="91"/>
        <v>0.96550392585918388</v>
      </c>
      <c r="U193" s="72">
        <f t="shared" si="92"/>
        <v>1</v>
      </c>
    </row>
    <row r="194" spans="1:21" x14ac:dyDescent="0.25">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0.82203501094091891</v>
      </c>
      <c r="P194" s="72">
        <f t="shared" si="87"/>
        <v>0.625</v>
      </c>
      <c r="Q194" s="72">
        <f t="shared" si="88"/>
        <v>0</v>
      </c>
      <c r="R194" s="72">
        <f t="shared" si="89"/>
        <v>0</v>
      </c>
      <c r="S194" s="72">
        <f t="shared" si="90"/>
        <v>0.96710001287166936</v>
      </c>
      <c r="T194" s="72">
        <f t="shared" si="91"/>
        <v>0.96710001287166936</v>
      </c>
      <c r="U194" s="72">
        <f t="shared" si="92"/>
        <v>1</v>
      </c>
    </row>
    <row r="195" spans="1:21" x14ac:dyDescent="0.25">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0.8233698030634572</v>
      </c>
      <c r="P195" s="72">
        <f t="shared" si="87"/>
        <v>0.70833333333333326</v>
      </c>
      <c r="Q195" s="72">
        <f t="shared" si="88"/>
        <v>0</v>
      </c>
      <c r="R195" s="72">
        <f t="shared" si="89"/>
        <v>0</v>
      </c>
      <c r="S195" s="72">
        <f t="shared" si="90"/>
        <v>0.9686703565452438</v>
      </c>
      <c r="T195" s="72">
        <f t="shared" si="91"/>
        <v>0.9686703565452438</v>
      </c>
      <c r="U195" s="72">
        <f t="shared" si="92"/>
        <v>1</v>
      </c>
    </row>
    <row r="196" spans="1:21" x14ac:dyDescent="0.25">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0.82470459518599559</v>
      </c>
      <c r="P196" s="72">
        <f t="shared" si="87"/>
        <v>0.79166666666666663</v>
      </c>
      <c r="Q196" s="72">
        <f t="shared" si="88"/>
        <v>0</v>
      </c>
      <c r="R196" s="72">
        <f t="shared" si="89"/>
        <v>0</v>
      </c>
      <c r="S196" s="72">
        <f t="shared" si="90"/>
        <v>0.97024070021881836</v>
      </c>
      <c r="T196" s="72">
        <f t="shared" si="91"/>
        <v>0.97024070021881836</v>
      </c>
      <c r="U196" s="72">
        <f t="shared" si="92"/>
        <v>1</v>
      </c>
    </row>
    <row r="197" spans="1:21" x14ac:dyDescent="0.25">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0.82603938730853388</v>
      </c>
      <c r="P197" s="72">
        <f t="shared" si="87"/>
        <v>0.875</v>
      </c>
      <c r="Q197" s="72">
        <f t="shared" si="88"/>
        <v>0</v>
      </c>
      <c r="R197" s="72">
        <f t="shared" si="89"/>
        <v>0</v>
      </c>
      <c r="S197" s="72">
        <f t="shared" si="90"/>
        <v>0.97181104389239281</v>
      </c>
      <c r="T197" s="72">
        <f t="shared" si="91"/>
        <v>0.97181104389239281</v>
      </c>
      <c r="U197" s="72">
        <f t="shared" si="92"/>
        <v>1</v>
      </c>
    </row>
    <row r="198" spans="1:21" x14ac:dyDescent="0.25">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0.82737417943107217</v>
      </c>
      <c r="P198" s="72">
        <f t="shared" si="87"/>
        <v>0.95833333333333337</v>
      </c>
      <c r="Q198" s="72">
        <f t="shared" si="88"/>
        <v>0</v>
      </c>
      <c r="R198" s="72">
        <f t="shared" si="89"/>
        <v>0</v>
      </c>
      <c r="S198" s="72">
        <f t="shared" si="90"/>
        <v>0.97338138756596726</v>
      </c>
      <c r="T198" s="72">
        <f t="shared" si="91"/>
        <v>0.97338138756596726</v>
      </c>
      <c r="U198" s="72">
        <f t="shared" si="92"/>
        <v>1</v>
      </c>
    </row>
    <row r="199" spans="1:21" x14ac:dyDescent="0.25">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0.82873085339168484</v>
      </c>
      <c r="P199" s="72">
        <f t="shared" si="87"/>
        <v>0.95833333333333337</v>
      </c>
      <c r="Q199" s="72">
        <f t="shared" si="88"/>
        <v>4.166666666666663E-2</v>
      </c>
      <c r="R199" s="72">
        <f t="shared" si="89"/>
        <v>0</v>
      </c>
      <c r="S199" s="72">
        <f t="shared" si="90"/>
        <v>0.97497747457845274</v>
      </c>
      <c r="T199" s="72">
        <f t="shared" si="91"/>
        <v>0.97497747457845274</v>
      </c>
      <c r="U199" s="72">
        <f t="shared" si="92"/>
        <v>1</v>
      </c>
    </row>
    <row r="200" spans="1:21" x14ac:dyDescent="0.25">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0.83002188183807435</v>
      </c>
      <c r="P200" s="72">
        <f t="shared" si="87"/>
        <v>0.875</v>
      </c>
      <c r="Q200" s="72">
        <f t="shared" si="88"/>
        <v>0.125</v>
      </c>
      <c r="R200" s="72">
        <f t="shared" si="89"/>
        <v>0</v>
      </c>
      <c r="S200" s="72">
        <f t="shared" si="90"/>
        <v>0.97649633157420512</v>
      </c>
      <c r="T200" s="72">
        <f t="shared" si="91"/>
        <v>0.97649633157420512</v>
      </c>
      <c r="U200" s="72">
        <f t="shared" si="92"/>
        <v>1</v>
      </c>
    </row>
    <row r="201" spans="1:21" x14ac:dyDescent="0.25">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0.83131291028446386</v>
      </c>
      <c r="P201" s="72">
        <f t="shared" si="87"/>
        <v>0.79166666666666663</v>
      </c>
      <c r="Q201" s="72">
        <f t="shared" si="88"/>
        <v>0.20833333333333337</v>
      </c>
      <c r="R201" s="72">
        <f t="shared" si="89"/>
        <v>0</v>
      </c>
      <c r="S201" s="72">
        <f t="shared" si="90"/>
        <v>0.97801518856995751</v>
      </c>
      <c r="T201" s="72">
        <f t="shared" si="91"/>
        <v>0.97801518856995751</v>
      </c>
      <c r="U201" s="72">
        <f t="shared" si="92"/>
        <v>1</v>
      </c>
    </row>
    <row r="202" spans="1:21" x14ac:dyDescent="0.25">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0.83264770240700214</v>
      </c>
      <c r="P202" s="72">
        <f t="shared" si="87"/>
        <v>0.70833333333333337</v>
      </c>
      <c r="Q202" s="72">
        <f t="shared" si="88"/>
        <v>0.29166666666666663</v>
      </c>
      <c r="R202" s="72">
        <f t="shared" si="89"/>
        <v>0</v>
      </c>
      <c r="S202" s="72">
        <f t="shared" si="90"/>
        <v>0.97958553224353195</v>
      </c>
      <c r="T202" s="72">
        <f t="shared" si="91"/>
        <v>0.97958553224353195</v>
      </c>
      <c r="U202" s="72">
        <f t="shared" si="92"/>
        <v>1</v>
      </c>
    </row>
    <row r="203" spans="1:21" x14ac:dyDescent="0.25">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0.83398249452954043</v>
      </c>
      <c r="P203" s="72">
        <f t="shared" si="87"/>
        <v>0.625</v>
      </c>
      <c r="Q203" s="72">
        <f t="shared" si="88"/>
        <v>0.375</v>
      </c>
      <c r="R203" s="72">
        <f t="shared" si="89"/>
        <v>0</v>
      </c>
      <c r="S203" s="72">
        <f t="shared" si="90"/>
        <v>0.9811558759171064</v>
      </c>
      <c r="T203" s="72">
        <f t="shared" si="91"/>
        <v>0.9811558759171064</v>
      </c>
      <c r="U203" s="72">
        <f t="shared" si="92"/>
        <v>1</v>
      </c>
    </row>
    <row r="204" spans="1:21" x14ac:dyDescent="0.25">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0.83531728665207872</v>
      </c>
      <c r="P204" s="72">
        <f t="shared" si="87"/>
        <v>0.54166666666666663</v>
      </c>
      <c r="Q204" s="72">
        <f t="shared" si="88"/>
        <v>0.45833333333333337</v>
      </c>
      <c r="R204" s="72">
        <f t="shared" si="89"/>
        <v>0</v>
      </c>
      <c r="S204" s="72">
        <f t="shared" si="90"/>
        <v>0.98272621959068085</v>
      </c>
      <c r="T204" s="72">
        <f t="shared" si="91"/>
        <v>0.98272621959068085</v>
      </c>
      <c r="U204" s="72">
        <f t="shared" si="92"/>
        <v>1</v>
      </c>
    </row>
    <row r="205" spans="1:21" x14ac:dyDescent="0.25">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0.836652078774617</v>
      </c>
      <c r="P205" s="72">
        <f t="shared" si="87"/>
        <v>0.45833333333333331</v>
      </c>
      <c r="Q205" s="72">
        <f t="shared" si="88"/>
        <v>0.54166666666666674</v>
      </c>
      <c r="R205" s="72">
        <f t="shared" si="89"/>
        <v>0</v>
      </c>
      <c r="S205" s="72">
        <f t="shared" si="90"/>
        <v>0.9842965632642553</v>
      </c>
      <c r="T205" s="72">
        <f t="shared" si="91"/>
        <v>0.9842965632642553</v>
      </c>
      <c r="U205" s="72">
        <f t="shared" si="92"/>
        <v>1</v>
      </c>
    </row>
    <row r="206" spans="1:21" x14ac:dyDescent="0.25">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0.83800875273522968</v>
      </c>
      <c r="P206" s="72">
        <f t="shared" si="87"/>
        <v>0.375</v>
      </c>
      <c r="Q206" s="72">
        <f t="shared" si="88"/>
        <v>0.625</v>
      </c>
      <c r="R206" s="72">
        <f t="shared" si="89"/>
        <v>0</v>
      </c>
      <c r="S206" s="72">
        <f t="shared" si="90"/>
        <v>0.98589265027674078</v>
      </c>
      <c r="T206" s="72">
        <f t="shared" si="91"/>
        <v>0.98589265027674078</v>
      </c>
      <c r="U206" s="72">
        <f t="shared" si="92"/>
        <v>1</v>
      </c>
    </row>
    <row r="207" spans="1:21" x14ac:dyDescent="0.25">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0.83934354485776796</v>
      </c>
      <c r="P207" s="72">
        <f t="shared" si="87"/>
        <v>0.29166666666666669</v>
      </c>
      <c r="Q207" s="72">
        <f t="shared" si="88"/>
        <v>0.70833333333333326</v>
      </c>
      <c r="R207" s="72">
        <f t="shared" si="89"/>
        <v>0</v>
      </c>
      <c r="S207" s="72">
        <f t="shared" si="90"/>
        <v>0.98746299395031523</v>
      </c>
      <c r="T207" s="72">
        <f t="shared" si="91"/>
        <v>0.98746299395031523</v>
      </c>
      <c r="U207" s="72">
        <f t="shared" si="92"/>
        <v>1</v>
      </c>
    </row>
    <row r="208" spans="1:21" x14ac:dyDescent="0.25">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0.84067833698030636</v>
      </c>
      <c r="P208" s="72">
        <f t="shared" si="87"/>
        <v>0.20833333333333334</v>
      </c>
      <c r="Q208" s="72">
        <f t="shared" si="88"/>
        <v>0.79166666666666663</v>
      </c>
      <c r="R208" s="72">
        <f t="shared" si="89"/>
        <v>0</v>
      </c>
      <c r="S208" s="72">
        <f t="shared" si="90"/>
        <v>0.9890333376238899</v>
      </c>
      <c r="T208" s="72">
        <f t="shared" si="91"/>
        <v>0.9890333376238899</v>
      </c>
      <c r="U208" s="72">
        <f t="shared" si="92"/>
        <v>1</v>
      </c>
    </row>
    <row r="209" spans="1:21" x14ac:dyDescent="0.25">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0.84201312910284465</v>
      </c>
      <c r="P209" s="72">
        <f t="shared" si="87"/>
        <v>0.125</v>
      </c>
      <c r="Q209" s="72">
        <f t="shared" si="88"/>
        <v>0.875</v>
      </c>
      <c r="R209" s="72">
        <f t="shared" si="89"/>
        <v>0</v>
      </c>
      <c r="S209" s="72">
        <f t="shared" si="90"/>
        <v>0.99060368129746434</v>
      </c>
      <c r="T209" s="72">
        <f t="shared" si="91"/>
        <v>0.99060368129746434</v>
      </c>
      <c r="U209" s="72">
        <f t="shared" si="92"/>
        <v>1</v>
      </c>
    </row>
    <row r="210" spans="1:21" x14ac:dyDescent="0.25">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0.84334792122538293</v>
      </c>
      <c r="P210" s="72">
        <f t="shared" si="87"/>
        <v>4.1666666666666664E-2</v>
      </c>
      <c r="Q210" s="72">
        <f t="shared" si="88"/>
        <v>0.95833333333333337</v>
      </c>
      <c r="R210" s="72">
        <f t="shared" si="89"/>
        <v>0</v>
      </c>
      <c r="S210" s="72">
        <f t="shared" si="90"/>
        <v>0.99217402497103879</v>
      </c>
      <c r="T210" s="72">
        <f t="shared" si="91"/>
        <v>0.99217402497103879</v>
      </c>
      <c r="U210" s="72">
        <f t="shared" si="92"/>
        <v>1</v>
      </c>
    </row>
    <row r="211" spans="1:21" x14ac:dyDescent="0.25">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0.84470459518599561</v>
      </c>
      <c r="P211" s="72">
        <f t="shared" si="87"/>
        <v>0</v>
      </c>
      <c r="Q211" s="72">
        <f t="shared" si="88"/>
        <v>0.95833333333333337</v>
      </c>
      <c r="R211" s="72">
        <f t="shared" si="89"/>
        <v>4.166666666666663E-2</v>
      </c>
      <c r="S211" s="72">
        <f t="shared" si="90"/>
        <v>0.99377011198352427</v>
      </c>
      <c r="T211" s="72">
        <f t="shared" si="91"/>
        <v>0.97497747457845274</v>
      </c>
      <c r="U211" s="72">
        <f t="shared" si="92"/>
        <v>1</v>
      </c>
    </row>
    <row r="212" spans="1:21" x14ac:dyDescent="0.25">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0.84599562363238512</v>
      </c>
      <c r="P212" s="72">
        <f t="shared" si="87"/>
        <v>0</v>
      </c>
      <c r="Q212" s="72">
        <f t="shared" si="88"/>
        <v>0.875</v>
      </c>
      <c r="R212" s="72">
        <f t="shared" si="89"/>
        <v>0.125</v>
      </c>
      <c r="S212" s="72">
        <f t="shared" si="90"/>
        <v>0.99528896897927666</v>
      </c>
      <c r="T212" s="72">
        <f t="shared" si="91"/>
        <v>0.97649633157420512</v>
      </c>
      <c r="U212" s="72">
        <f t="shared" si="92"/>
        <v>1</v>
      </c>
    </row>
    <row r="213" spans="1:21" x14ac:dyDescent="0.25">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0.84728665207877463</v>
      </c>
      <c r="P213" s="72">
        <f t="shared" si="87"/>
        <v>0</v>
      </c>
      <c r="Q213" s="72">
        <f t="shared" si="88"/>
        <v>0.79166666666666663</v>
      </c>
      <c r="R213" s="72">
        <f t="shared" si="89"/>
        <v>0.20833333333333337</v>
      </c>
      <c r="S213" s="72">
        <f t="shared" si="90"/>
        <v>0.99680782597502904</v>
      </c>
      <c r="T213" s="72">
        <f t="shared" si="91"/>
        <v>0.97801518856995751</v>
      </c>
      <c r="U213" s="72">
        <f t="shared" si="92"/>
        <v>1</v>
      </c>
    </row>
    <row r="214" spans="1:21" x14ac:dyDescent="0.25">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0.84862144420131291</v>
      </c>
      <c r="P214" s="72">
        <f t="shared" si="87"/>
        <v>0</v>
      </c>
      <c r="Q214" s="72">
        <f t="shared" si="88"/>
        <v>0.70833333333333337</v>
      </c>
      <c r="R214" s="72">
        <f t="shared" si="89"/>
        <v>0.29166666666666663</v>
      </c>
      <c r="S214" s="72">
        <f t="shared" si="90"/>
        <v>0.99837816964860349</v>
      </c>
      <c r="T214" s="72">
        <f t="shared" si="91"/>
        <v>0.97958553224353195</v>
      </c>
      <c r="U214" s="72">
        <f t="shared" si="92"/>
        <v>1</v>
      </c>
    </row>
    <row r="215" spans="1:21" x14ac:dyDescent="0.25">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0.8499562363238512</v>
      </c>
      <c r="P215" s="72">
        <f t="shared" si="87"/>
        <v>0</v>
      </c>
      <c r="Q215" s="72">
        <f t="shared" si="88"/>
        <v>0.625</v>
      </c>
      <c r="R215" s="72">
        <f t="shared" si="89"/>
        <v>0.375</v>
      </c>
      <c r="S215" s="72">
        <f t="shared" si="90"/>
        <v>0.99994851332217793</v>
      </c>
      <c r="T215" s="72">
        <f t="shared" si="91"/>
        <v>0.9811558759171064</v>
      </c>
      <c r="U215" s="72">
        <f t="shared" si="92"/>
        <v>1</v>
      </c>
    </row>
    <row r="216" spans="1:21" x14ac:dyDescent="0.25">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0.85129102844638949</v>
      </c>
      <c r="P216" s="72">
        <f t="shared" si="87"/>
        <v>0</v>
      </c>
      <c r="Q216" s="72">
        <f t="shared" si="88"/>
        <v>0.54166666666666663</v>
      </c>
      <c r="R216" s="72">
        <f t="shared" si="89"/>
        <v>0.45833333333333337</v>
      </c>
      <c r="S216" s="72">
        <f t="shared" si="90"/>
        <v>1.0015188569957523</v>
      </c>
      <c r="T216" s="72">
        <f t="shared" si="91"/>
        <v>0.98272621959068085</v>
      </c>
      <c r="U216" s="72">
        <f t="shared" si="92"/>
        <v>1</v>
      </c>
    </row>
    <row r="217" spans="1:21" x14ac:dyDescent="0.25">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0.85262582056892777</v>
      </c>
      <c r="P217" s="72">
        <f t="shared" si="87"/>
        <v>0</v>
      </c>
      <c r="Q217" s="72">
        <f t="shared" si="88"/>
        <v>0.45833333333333331</v>
      </c>
      <c r="R217" s="72">
        <f t="shared" si="89"/>
        <v>0.54166666666666674</v>
      </c>
      <c r="S217" s="72">
        <f t="shared" si="90"/>
        <v>1.0030892006693268</v>
      </c>
      <c r="T217" s="72">
        <f t="shared" si="91"/>
        <v>0.9842965632642553</v>
      </c>
      <c r="U217" s="72">
        <f t="shared" si="92"/>
        <v>1</v>
      </c>
    </row>
    <row r="218" spans="1:21" x14ac:dyDescent="0.25">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0.85398249452954045</v>
      </c>
      <c r="P218" s="72">
        <f t="shared" si="87"/>
        <v>0</v>
      </c>
      <c r="Q218" s="72">
        <f t="shared" si="88"/>
        <v>0.375</v>
      </c>
      <c r="R218" s="72">
        <f t="shared" si="89"/>
        <v>0.625</v>
      </c>
      <c r="S218" s="72">
        <f t="shared" si="90"/>
        <v>1.0046852876818124</v>
      </c>
      <c r="T218" s="72">
        <f t="shared" si="91"/>
        <v>0.98589265027674078</v>
      </c>
      <c r="U218" s="72">
        <f t="shared" si="92"/>
        <v>1</v>
      </c>
    </row>
    <row r="219" spans="1:21" x14ac:dyDescent="0.25">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0.85531728665207873</v>
      </c>
      <c r="P219" s="72">
        <f t="shared" si="87"/>
        <v>0</v>
      </c>
      <c r="Q219" s="72">
        <f t="shared" si="88"/>
        <v>0.29166666666666669</v>
      </c>
      <c r="R219" s="72">
        <f t="shared" si="89"/>
        <v>0.70833333333333326</v>
      </c>
      <c r="S219" s="72">
        <f t="shared" si="90"/>
        <v>1.0062556313553868</v>
      </c>
      <c r="T219" s="72">
        <f t="shared" si="91"/>
        <v>0.98746299395031523</v>
      </c>
      <c r="U219" s="72">
        <f t="shared" si="92"/>
        <v>1</v>
      </c>
    </row>
    <row r="220" spans="1:21" x14ac:dyDescent="0.25">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0.85665207877461702</v>
      </c>
      <c r="P220" s="72">
        <f t="shared" si="87"/>
        <v>0</v>
      </c>
      <c r="Q220" s="72">
        <f t="shared" si="88"/>
        <v>0.20833333333333334</v>
      </c>
      <c r="R220" s="72">
        <f t="shared" si="89"/>
        <v>0.79166666666666663</v>
      </c>
      <c r="S220" s="72">
        <f t="shared" si="90"/>
        <v>1.0078259750289613</v>
      </c>
      <c r="T220" s="72">
        <f t="shared" si="91"/>
        <v>0.9890333376238899</v>
      </c>
      <c r="U220" s="72">
        <f t="shared" si="92"/>
        <v>1</v>
      </c>
    </row>
    <row r="221" spans="1:21" x14ac:dyDescent="0.25">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0.85798687089715531</v>
      </c>
      <c r="P221" s="72">
        <f t="shared" si="87"/>
        <v>0</v>
      </c>
      <c r="Q221" s="72">
        <f t="shared" si="88"/>
        <v>0.125</v>
      </c>
      <c r="R221" s="72">
        <f t="shared" si="89"/>
        <v>0.875</v>
      </c>
      <c r="S221" s="72">
        <f t="shared" si="90"/>
        <v>1.0093963187025357</v>
      </c>
      <c r="T221" s="72">
        <f t="shared" si="91"/>
        <v>0.99060368129746434</v>
      </c>
      <c r="U221" s="72">
        <f t="shared" si="92"/>
        <v>1</v>
      </c>
    </row>
    <row r="222" spans="1:21" x14ac:dyDescent="0.25">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0.85932166301969359</v>
      </c>
      <c r="P222" s="72">
        <f t="shared" si="87"/>
        <v>0</v>
      </c>
      <c r="Q222" s="72">
        <f t="shared" si="88"/>
        <v>4.1666666666666664E-2</v>
      </c>
      <c r="R222" s="72">
        <f t="shared" si="89"/>
        <v>0.95833333333333337</v>
      </c>
      <c r="S222" s="72">
        <f t="shared" si="90"/>
        <v>1.0109666623761102</v>
      </c>
      <c r="T222" s="72">
        <f t="shared" si="91"/>
        <v>0.99217402497103879</v>
      </c>
      <c r="U222" s="72">
        <f t="shared" si="92"/>
        <v>1</v>
      </c>
    </row>
    <row r="223" spans="1:21" x14ac:dyDescent="0.25">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0.86</v>
      </c>
      <c r="P223" s="72">
        <f t="shared" si="87"/>
        <v>0</v>
      </c>
      <c r="Q223" s="72">
        <f t="shared" si="88"/>
        <v>0</v>
      </c>
      <c r="R223" s="72">
        <f t="shared" si="89"/>
        <v>0.95833333333333337</v>
      </c>
      <c r="S223" s="72">
        <f t="shared" si="90"/>
        <v>1.0117647058823529</v>
      </c>
      <c r="T223" s="72">
        <f t="shared" si="91"/>
        <v>0.97497747457845274</v>
      </c>
      <c r="U223" s="72">
        <f t="shared" si="92"/>
        <v>1</v>
      </c>
    </row>
    <row r="224" spans="1:21" x14ac:dyDescent="0.25">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0.86</v>
      </c>
      <c r="P224" s="72">
        <f t="shared" si="87"/>
        <v>0</v>
      </c>
      <c r="Q224" s="72">
        <f t="shared" si="88"/>
        <v>0</v>
      </c>
      <c r="R224" s="72">
        <f t="shared" si="89"/>
        <v>0.875</v>
      </c>
      <c r="S224" s="72">
        <f t="shared" si="90"/>
        <v>1.0117647058823529</v>
      </c>
      <c r="T224" s="72">
        <f t="shared" si="91"/>
        <v>0.97649633157420512</v>
      </c>
      <c r="U224" s="72">
        <f t="shared" si="92"/>
        <v>1</v>
      </c>
    </row>
    <row r="225" spans="1:21" x14ac:dyDescent="0.25">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0.86</v>
      </c>
      <c r="P225" s="72">
        <f t="shared" si="87"/>
        <v>0</v>
      </c>
      <c r="Q225" s="72">
        <f t="shared" si="88"/>
        <v>0</v>
      </c>
      <c r="R225" s="72">
        <f t="shared" si="89"/>
        <v>0.79166666666666663</v>
      </c>
      <c r="S225" s="72">
        <f t="shared" si="90"/>
        <v>1.0117647058823529</v>
      </c>
      <c r="T225" s="72">
        <f t="shared" si="91"/>
        <v>0.97801518856995751</v>
      </c>
      <c r="U225" s="72">
        <f t="shared" si="92"/>
        <v>1</v>
      </c>
    </row>
    <row r="226" spans="1:21" x14ac:dyDescent="0.25">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0.86</v>
      </c>
      <c r="P226" s="72">
        <f t="shared" si="87"/>
        <v>0</v>
      </c>
      <c r="Q226" s="72">
        <f t="shared" si="88"/>
        <v>0</v>
      </c>
      <c r="R226" s="72">
        <f t="shared" si="89"/>
        <v>0.70833333333333337</v>
      </c>
      <c r="S226" s="72">
        <f t="shared" si="90"/>
        <v>1.0117647058823529</v>
      </c>
      <c r="T226" s="72">
        <f t="shared" si="91"/>
        <v>0.97958553224353195</v>
      </c>
      <c r="U226" s="72">
        <f t="shared" si="92"/>
        <v>1</v>
      </c>
    </row>
    <row r="227" spans="1:21" x14ac:dyDescent="0.25">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0.86</v>
      </c>
      <c r="P227" s="72">
        <f t="shared" si="87"/>
        <v>0</v>
      </c>
      <c r="Q227" s="72">
        <f t="shared" si="88"/>
        <v>0</v>
      </c>
      <c r="R227" s="72">
        <f t="shared" si="89"/>
        <v>0.625</v>
      </c>
      <c r="S227" s="72">
        <f t="shared" si="90"/>
        <v>1.0117647058823529</v>
      </c>
      <c r="T227" s="72">
        <f t="shared" si="91"/>
        <v>0.9811558759171064</v>
      </c>
      <c r="U227" s="72">
        <f t="shared" si="92"/>
        <v>1</v>
      </c>
    </row>
    <row r="228" spans="1:21" x14ac:dyDescent="0.25">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0.86</v>
      </c>
      <c r="P228" s="72">
        <f t="shared" si="87"/>
        <v>0</v>
      </c>
      <c r="Q228" s="72">
        <f t="shared" si="88"/>
        <v>0</v>
      </c>
      <c r="R228" s="72">
        <f t="shared" si="89"/>
        <v>0.54166666666666663</v>
      </c>
      <c r="S228" s="72">
        <f t="shared" si="90"/>
        <v>1.0117647058823529</v>
      </c>
      <c r="T228" s="72">
        <f t="shared" si="91"/>
        <v>0.98272621959068085</v>
      </c>
      <c r="U228" s="72">
        <f t="shared" si="92"/>
        <v>1</v>
      </c>
    </row>
    <row r="229" spans="1:21" x14ac:dyDescent="0.25">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0.86</v>
      </c>
      <c r="P229" s="72">
        <f t="shared" si="87"/>
        <v>0</v>
      </c>
      <c r="Q229" s="72">
        <f t="shared" si="88"/>
        <v>0</v>
      </c>
      <c r="R229" s="72">
        <f t="shared" si="89"/>
        <v>0.45833333333333331</v>
      </c>
      <c r="S229" s="72">
        <f t="shared" si="90"/>
        <v>1.0117647058823529</v>
      </c>
      <c r="T229" s="72">
        <f t="shared" si="91"/>
        <v>0.9842965632642553</v>
      </c>
      <c r="U229" s="72">
        <f t="shared" si="92"/>
        <v>1</v>
      </c>
    </row>
    <row r="230" spans="1:21" x14ac:dyDescent="0.25">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0.86</v>
      </c>
      <c r="P230" s="72">
        <f t="shared" si="87"/>
        <v>0</v>
      </c>
      <c r="Q230" s="72">
        <f t="shared" si="88"/>
        <v>0</v>
      </c>
      <c r="R230" s="72">
        <f t="shared" si="89"/>
        <v>0.375</v>
      </c>
      <c r="S230" s="72">
        <f t="shared" si="90"/>
        <v>1.0117647058823529</v>
      </c>
      <c r="T230" s="72">
        <f t="shared" si="91"/>
        <v>0.98589265027674078</v>
      </c>
      <c r="U230" s="72">
        <f t="shared" si="92"/>
        <v>1</v>
      </c>
    </row>
    <row r="231" spans="1:21" x14ac:dyDescent="0.25">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0.86</v>
      </c>
      <c r="P231" s="72">
        <f t="shared" si="87"/>
        <v>0</v>
      </c>
      <c r="Q231" s="72">
        <f t="shared" si="88"/>
        <v>0</v>
      </c>
      <c r="R231" s="72">
        <f t="shared" si="89"/>
        <v>0.29166666666666669</v>
      </c>
      <c r="S231" s="72">
        <f t="shared" si="90"/>
        <v>1.0117647058823529</v>
      </c>
      <c r="T231" s="72">
        <f t="shared" si="91"/>
        <v>0.98746299395031523</v>
      </c>
      <c r="U231" s="72">
        <f t="shared" si="92"/>
        <v>1</v>
      </c>
    </row>
    <row r="232" spans="1:21" x14ac:dyDescent="0.25">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0.86</v>
      </c>
      <c r="P232" s="72">
        <f t="shared" si="87"/>
        <v>0</v>
      </c>
      <c r="Q232" s="72">
        <f t="shared" si="88"/>
        <v>0</v>
      </c>
      <c r="R232" s="72">
        <f t="shared" si="89"/>
        <v>0.20833333333333334</v>
      </c>
      <c r="S232" s="72">
        <f t="shared" si="90"/>
        <v>1.0117647058823529</v>
      </c>
      <c r="T232" s="72">
        <f t="shared" si="91"/>
        <v>0.9890333376238899</v>
      </c>
      <c r="U232" s="72">
        <f t="shared" si="92"/>
        <v>1</v>
      </c>
    </row>
    <row r="233" spans="1:21" x14ac:dyDescent="0.25">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0.86</v>
      </c>
      <c r="P233" s="72">
        <f t="shared" si="87"/>
        <v>0</v>
      </c>
      <c r="Q233" s="72">
        <f t="shared" si="88"/>
        <v>0</v>
      </c>
      <c r="R233" s="72">
        <f t="shared" si="89"/>
        <v>0.125</v>
      </c>
      <c r="S233" s="72">
        <f t="shared" si="90"/>
        <v>1.0117647058823529</v>
      </c>
      <c r="T233" s="72">
        <f t="shared" si="91"/>
        <v>0.99060368129746434</v>
      </c>
      <c r="U233" s="72">
        <f t="shared" si="92"/>
        <v>1</v>
      </c>
    </row>
    <row r="234" spans="1:21" x14ac:dyDescent="0.25">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0.86</v>
      </c>
      <c r="P234" s="72">
        <f t="shared" si="87"/>
        <v>0</v>
      </c>
      <c r="Q234" s="72">
        <f t="shared" si="88"/>
        <v>0</v>
      </c>
      <c r="R234" s="72">
        <f t="shared" si="89"/>
        <v>4.1666666666666664E-2</v>
      </c>
      <c r="S234" s="72">
        <f t="shared" si="90"/>
        <v>1.0117647058823529</v>
      </c>
      <c r="T234" s="72">
        <f t="shared" si="91"/>
        <v>0.99217402497103879</v>
      </c>
      <c r="U234" s="72">
        <f t="shared" si="92"/>
        <v>1</v>
      </c>
    </row>
    <row r="235" spans="1:21" x14ac:dyDescent="0.25">
      <c r="A235" s="77" t="s">
        <v>1209</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0.84399161196207151</v>
      </c>
      <c r="G235" s="169">
        <f>SUMPRODUCT($H$187:$H$234,$R$187:$R$234,$O$187:$O$234)/SUMPRODUCT($H$187:$H$234,$R$187:$R$234)</f>
        <v>0.85731271274009246</v>
      </c>
    </row>
    <row r="238" spans="1:21" x14ac:dyDescent="0.25">
      <c r="A238" s="77" t="str">
        <f>INDEX(lr_key,4)</f>
        <v>BU-A|CT</v>
      </c>
      <c r="B238" s="77" t="str">
        <f>INDEX(lr_state,4)</f>
        <v>CT</v>
      </c>
      <c r="C238" s="52">
        <f>nr_TermMonths</f>
        <v>12</v>
      </c>
      <c r="D238" s="52">
        <f>IF(COUNTIF(se_state,$B238)=0,0,MATCH($B238,se_state,0))</f>
        <v>0</v>
      </c>
      <c r="E238" s="54">
        <f>IF($D238=0,0,INDEX(se_sum,$D238))</f>
        <v>0</v>
      </c>
      <c r="F238" s="169">
        <f>IF(N(INDEX(lr_mind,4))=0,1,INDEX(lr_mind,4))</f>
        <v>0.85</v>
      </c>
      <c r="G238" s="169">
        <f>IF(N(INDEX(lr_m0,4))=0,1,INDEX(lr_m0,4))</f>
        <v>0.85</v>
      </c>
      <c r="H238" s="51">
        <f>IF(N(INDEX(lr_m0asof,4))=0,DATE(nr_PlanYear-1,10,1),INDEX(lr_m0asof,4))</f>
        <v>46295</v>
      </c>
      <c r="I238" s="169">
        <f>IF(N(INDEX(lr_m1,4))=0,1,INDEX(lr_m1,4))</f>
        <v>0.85</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25">
      <c r="A239" s="77">
        <f>EDATE($H$238,-12)+1</f>
        <v>45931</v>
      </c>
      <c r="B239" s="77">
        <f>$H$238+1</f>
        <v>46296</v>
      </c>
      <c r="C239" s="77">
        <f>DATE(nr_PlanYear,12,31)+1</f>
        <v>46753</v>
      </c>
      <c r="D239" s="77">
        <f>DATE(nr_PlanYear+1,12,31)+1</f>
        <v>47119</v>
      </c>
      <c r="E239" s="77">
        <f>IF(N($J$238)=0,$F$239-($G$239-$F$239)/($C$239-$B$239)*($B$239-$A$239),$J$238)</f>
        <v>0.85</v>
      </c>
      <c r="F239" s="77">
        <f>$G$238</f>
        <v>0.85</v>
      </c>
      <c r="G239" s="77">
        <f>$I$238</f>
        <v>0.85</v>
      </c>
      <c r="H239" s="77">
        <f>IF(N($K$238)=0,$I$238,$K$238)</f>
        <v>0.85</v>
      </c>
      <c r="I239" s="77">
        <f>($F$239-$E$239)/($B$239-$A$239)</f>
        <v>0</v>
      </c>
      <c r="J239" s="77">
        <f>($G$239-$F$239)/($C$239-$B$239)</f>
        <v>0</v>
      </c>
      <c r="K239" s="77">
        <f>($H$239-$G$239)/($D$239-$C$239)</f>
        <v>0</v>
      </c>
    </row>
    <row r="240" spans="1:21" ht="24" x14ac:dyDescent="0.25">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25">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0.85</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25">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0.85</v>
      </c>
      <c r="P242" s="72">
        <f t="shared" si="107"/>
        <v>0.125</v>
      </c>
      <c r="Q242" s="72">
        <f t="shared" si="108"/>
        <v>0</v>
      </c>
      <c r="R242" s="72">
        <f t="shared" si="109"/>
        <v>0</v>
      </c>
      <c r="S242" s="72">
        <f t="shared" si="110"/>
        <v>1</v>
      </c>
      <c r="T242" s="72">
        <f t="shared" si="111"/>
        <v>1</v>
      </c>
      <c r="U242" s="72">
        <f t="shared" si="112"/>
        <v>1</v>
      </c>
    </row>
    <row r="243" spans="1:21" x14ac:dyDescent="0.25">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0.85</v>
      </c>
      <c r="P243" s="72">
        <f t="shared" si="107"/>
        <v>0.20833333333333337</v>
      </c>
      <c r="Q243" s="72">
        <f t="shared" si="108"/>
        <v>0</v>
      </c>
      <c r="R243" s="72">
        <f t="shared" si="109"/>
        <v>0</v>
      </c>
      <c r="S243" s="72">
        <f t="shared" si="110"/>
        <v>1</v>
      </c>
      <c r="T243" s="72">
        <f t="shared" si="111"/>
        <v>1</v>
      </c>
      <c r="U243" s="72">
        <f t="shared" si="112"/>
        <v>1</v>
      </c>
    </row>
    <row r="244" spans="1:21" x14ac:dyDescent="0.25">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0.85</v>
      </c>
      <c r="P244" s="72">
        <f t="shared" si="107"/>
        <v>0.29166666666666663</v>
      </c>
      <c r="Q244" s="72">
        <f t="shared" si="108"/>
        <v>0</v>
      </c>
      <c r="R244" s="72">
        <f t="shared" si="109"/>
        <v>0</v>
      </c>
      <c r="S244" s="72">
        <f t="shared" si="110"/>
        <v>1</v>
      </c>
      <c r="T244" s="72">
        <f t="shared" si="111"/>
        <v>1</v>
      </c>
      <c r="U244" s="72">
        <f t="shared" si="112"/>
        <v>1</v>
      </c>
    </row>
    <row r="245" spans="1:21" x14ac:dyDescent="0.25">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0.85</v>
      </c>
      <c r="P245" s="72">
        <f t="shared" si="107"/>
        <v>0.375</v>
      </c>
      <c r="Q245" s="72">
        <f t="shared" si="108"/>
        <v>0</v>
      </c>
      <c r="R245" s="72">
        <f t="shared" si="109"/>
        <v>0</v>
      </c>
      <c r="S245" s="72">
        <f t="shared" si="110"/>
        <v>1</v>
      </c>
      <c r="T245" s="72">
        <f t="shared" si="111"/>
        <v>1</v>
      </c>
      <c r="U245" s="72">
        <f t="shared" si="112"/>
        <v>1</v>
      </c>
    </row>
    <row r="246" spans="1:21" x14ac:dyDescent="0.25">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0.85</v>
      </c>
      <c r="P246" s="72">
        <f t="shared" si="107"/>
        <v>0.45833333333333337</v>
      </c>
      <c r="Q246" s="72">
        <f t="shared" si="108"/>
        <v>0</v>
      </c>
      <c r="R246" s="72">
        <f t="shared" si="109"/>
        <v>0</v>
      </c>
      <c r="S246" s="72">
        <f t="shared" si="110"/>
        <v>1</v>
      </c>
      <c r="T246" s="72">
        <f t="shared" si="111"/>
        <v>1</v>
      </c>
      <c r="U246" s="72">
        <f t="shared" si="112"/>
        <v>1</v>
      </c>
    </row>
    <row r="247" spans="1:21" x14ac:dyDescent="0.25">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0.85</v>
      </c>
      <c r="P247" s="72">
        <f t="shared" si="107"/>
        <v>0.54166666666666674</v>
      </c>
      <c r="Q247" s="72">
        <f t="shared" si="108"/>
        <v>0</v>
      </c>
      <c r="R247" s="72">
        <f t="shared" si="109"/>
        <v>0</v>
      </c>
      <c r="S247" s="72">
        <f t="shared" si="110"/>
        <v>1</v>
      </c>
      <c r="T247" s="72">
        <f t="shared" si="111"/>
        <v>1</v>
      </c>
      <c r="U247" s="72">
        <f t="shared" si="112"/>
        <v>1</v>
      </c>
    </row>
    <row r="248" spans="1:21" x14ac:dyDescent="0.25">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0.85</v>
      </c>
      <c r="P248" s="72">
        <f t="shared" si="107"/>
        <v>0.625</v>
      </c>
      <c r="Q248" s="72">
        <f t="shared" si="108"/>
        <v>0</v>
      </c>
      <c r="R248" s="72">
        <f t="shared" si="109"/>
        <v>0</v>
      </c>
      <c r="S248" s="72">
        <f t="shared" si="110"/>
        <v>1</v>
      </c>
      <c r="T248" s="72">
        <f t="shared" si="111"/>
        <v>1</v>
      </c>
      <c r="U248" s="72">
        <f t="shared" si="112"/>
        <v>1</v>
      </c>
    </row>
    <row r="249" spans="1:21" x14ac:dyDescent="0.25">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0.85</v>
      </c>
      <c r="P249" s="72">
        <f t="shared" si="107"/>
        <v>0.70833333333333326</v>
      </c>
      <c r="Q249" s="72">
        <f t="shared" si="108"/>
        <v>0</v>
      </c>
      <c r="R249" s="72">
        <f t="shared" si="109"/>
        <v>0</v>
      </c>
      <c r="S249" s="72">
        <f t="shared" si="110"/>
        <v>1</v>
      </c>
      <c r="T249" s="72">
        <f t="shared" si="111"/>
        <v>1</v>
      </c>
      <c r="U249" s="72">
        <f t="shared" si="112"/>
        <v>1</v>
      </c>
    </row>
    <row r="250" spans="1:21" x14ac:dyDescent="0.25">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0.85</v>
      </c>
      <c r="P250" s="72">
        <f t="shared" si="107"/>
        <v>0.79166666666666663</v>
      </c>
      <c r="Q250" s="72">
        <f t="shared" si="108"/>
        <v>0</v>
      </c>
      <c r="R250" s="72">
        <f t="shared" si="109"/>
        <v>0</v>
      </c>
      <c r="S250" s="72">
        <f t="shared" si="110"/>
        <v>1</v>
      </c>
      <c r="T250" s="72">
        <f t="shared" si="111"/>
        <v>1</v>
      </c>
      <c r="U250" s="72">
        <f t="shared" si="112"/>
        <v>1</v>
      </c>
    </row>
    <row r="251" spans="1:21" x14ac:dyDescent="0.25">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0.85</v>
      </c>
      <c r="P251" s="72">
        <f t="shared" si="107"/>
        <v>0.875</v>
      </c>
      <c r="Q251" s="72">
        <f t="shared" si="108"/>
        <v>0</v>
      </c>
      <c r="R251" s="72">
        <f t="shared" si="109"/>
        <v>0</v>
      </c>
      <c r="S251" s="72">
        <f t="shared" si="110"/>
        <v>1</v>
      </c>
      <c r="T251" s="72">
        <f t="shared" si="111"/>
        <v>1</v>
      </c>
      <c r="U251" s="72">
        <f t="shared" si="112"/>
        <v>1</v>
      </c>
    </row>
    <row r="252" spans="1:21" x14ac:dyDescent="0.25">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0.85</v>
      </c>
      <c r="P252" s="72">
        <f t="shared" si="107"/>
        <v>0.95833333333333337</v>
      </c>
      <c r="Q252" s="72">
        <f t="shared" si="108"/>
        <v>0</v>
      </c>
      <c r="R252" s="72">
        <f t="shared" si="109"/>
        <v>0</v>
      </c>
      <c r="S252" s="72">
        <f t="shared" si="110"/>
        <v>1</v>
      </c>
      <c r="T252" s="72">
        <f t="shared" si="111"/>
        <v>1</v>
      </c>
      <c r="U252" s="72">
        <f t="shared" si="112"/>
        <v>1</v>
      </c>
    </row>
    <row r="253" spans="1:21" x14ac:dyDescent="0.25">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0.85</v>
      </c>
      <c r="P253" s="72">
        <f t="shared" si="107"/>
        <v>0.95833333333333337</v>
      </c>
      <c r="Q253" s="72">
        <f t="shared" si="108"/>
        <v>4.166666666666663E-2</v>
      </c>
      <c r="R253" s="72">
        <f t="shared" si="109"/>
        <v>0</v>
      </c>
      <c r="S253" s="72">
        <f t="shared" si="110"/>
        <v>1</v>
      </c>
      <c r="T253" s="72">
        <f t="shared" si="111"/>
        <v>1</v>
      </c>
      <c r="U253" s="72">
        <f t="shared" si="112"/>
        <v>1</v>
      </c>
    </row>
    <row r="254" spans="1:21" x14ac:dyDescent="0.25">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0.85</v>
      </c>
      <c r="P254" s="72">
        <f t="shared" si="107"/>
        <v>0.875</v>
      </c>
      <c r="Q254" s="72">
        <f t="shared" si="108"/>
        <v>0.125</v>
      </c>
      <c r="R254" s="72">
        <f t="shared" si="109"/>
        <v>0</v>
      </c>
      <c r="S254" s="72">
        <f t="shared" si="110"/>
        <v>1</v>
      </c>
      <c r="T254" s="72">
        <f t="shared" si="111"/>
        <v>1</v>
      </c>
      <c r="U254" s="72">
        <f t="shared" si="112"/>
        <v>1</v>
      </c>
    </row>
    <row r="255" spans="1:21" x14ac:dyDescent="0.25">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0.85</v>
      </c>
      <c r="P255" s="72">
        <f t="shared" si="107"/>
        <v>0.79166666666666663</v>
      </c>
      <c r="Q255" s="72">
        <f t="shared" si="108"/>
        <v>0.20833333333333337</v>
      </c>
      <c r="R255" s="72">
        <f t="shared" si="109"/>
        <v>0</v>
      </c>
      <c r="S255" s="72">
        <f t="shared" si="110"/>
        <v>1</v>
      </c>
      <c r="T255" s="72">
        <f t="shared" si="111"/>
        <v>1</v>
      </c>
      <c r="U255" s="72">
        <f t="shared" si="112"/>
        <v>1</v>
      </c>
    </row>
    <row r="256" spans="1:21" x14ac:dyDescent="0.25">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0.85</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25">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0.85</v>
      </c>
      <c r="P257" s="72">
        <f t="shared" si="107"/>
        <v>0.625</v>
      </c>
      <c r="Q257" s="72">
        <f t="shared" si="108"/>
        <v>0.375</v>
      </c>
      <c r="R257" s="72">
        <f t="shared" si="109"/>
        <v>0</v>
      </c>
      <c r="S257" s="72">
        <f t="shared" si="110"/>
        <v>1.05</v>
      </c>
      <c r="T257" s="72">
        <f t="shared" si="111"/>
        <v>1.05</v>
      </c>
      <c r="U257" s="72">
        <f t="shared" si="112"/>
        <v>1.05</v>
      </c>
    </row>
    <row r="258" spans="1:21" x14ac:dyDescent="0.25">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0.85</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25">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0.85</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25">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0.85</v>
      </c>
      <c r="P260" s="72">
        <f t="shared" si="107"/>
        <v>0.375</v>
      </c>
      <c r="Q260" s="72">
        <f t="shared" si="108"/>
        <v>0.625</v>
      </c>
      <c r="R260" s="72">
        <f t="shared" si="109"/>
        <v>0</v>
      </c>
      <c r="S260" s="72">
        <f t="shared" si="110"/>
        <v>1.05</v>
      </c>
      <c r="T260" s="72">
        <f t="shared" si="111"/>
        <v>1.05</v>
      </c>
      <c r="U260" s="72">
        <f t="shared" si="112"/>
        <v>1.05</v>
      </c>
    </row>
    <row r="261" spans="1:21" x14ac:dyDescent="0.25">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0.85</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25">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0.85</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25">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0.85</v>
      </c>
      <c r="P263" s="72">
        <f t="shared" si="107"/>
        <v>0.125</v>
      </c>
      <c r="Q263" s="72">
        <f t="shared" si="108"/>
        <v>0.875</v>
      </c>
      <c r="R263" s="72">
        <f t="shared" si="109"/>
        <v>0</v>
      </c>
      <c r="S263" s="72">
        <f t="shared" si="110"/>
        <v>1.05</v>
      </c>
      <c r="T263" s="72">
        <f t="shared" si="111"/>
        <v>1.05</v>
      </c>
      <c r="U263" s="72">
        <f t="shared" si="112"/>
        <v>1.05</v>
      </c>
    </row>
    <row r="264" spans="1:21" x14ac:dyDescent="0.25">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0.85</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25">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0.85</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25">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0.85</v>
      </c>
      <c r="P266" s="72">
        <f t="shared" si="107"/>
        <v>0</v>
      </c>
      <c r="Q266" s="72">
        <f t="shared" si="108"/>
        <v>0.875</v>
      </c>
      <c r="R266" s="72">
        <f t="shared" si="109"/>
        <v>0.125</v>
      </c>
      <c r="S266" s="72">
        <f t="shared" si="110"/>
        <v>1.05</v>
      </c>
      <c r="T266" s="72">
        <f t="shared" si="111"/>
        <v>1</v>
      </c>
      <c r="U266" s="72">
        <f t="shared" si="112"/>
        <v>1.05</v>
      </c>
    </row>
    <row r="267" spans="1:21" x14ac:dyDescent="0.25">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0.85</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25">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0.85</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25">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0.85</v>
      </c>
      <c r="P269" s="72">
        <f t="shared" si="107"/>
        <v>0</v>
      </c>
      <c r="Q269" s="72">
        <f t="shared" si="108"/>
        <v>0.625</v>
      </c>
      <c r="R269" s="72">
        <f t="shared" si="109"/>
        <v>0.375</v>
      </c>
      <c r="S269" s="72">
        <f t="shared" si="110"/>
        <v>1.05</v>
      </c>
      <c r="T269" s="72">
        <f t="shared" si="111"/>
        <v>1.05</v>
      </c>
      <c r="U269" s="72">
        <f t="shared" si="112"/>
        <v>1.05</v>
      </c>
    </row>
    <row r="270" spans="1:21" x14ac:dyDescent="0.25">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0.85</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25">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0.85</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25">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0.85</v>
      </c>
      <c r="P272" s="72">
        <f t="shared" si="107"/>
        <v>0</v>
      </c>
      <c r="Q272" s="72">
        <f t="shared" si="108"/>
        <v>0.375</v>
      </c>
      <c r="R272" s="72">
        <f t="shared" si="109"/>
        <v>0.625</v>
      </c>
      <c r="S272" s="72">
        <f t="shared" si="110"/>
        <v>1.05</v>
      </c>
      <c r="T272" s="72">
        <f t="shared" si="111"/>
        <v>1.05</v>
      </c>
      <c r="U272" s="72">
        <f t="shared" si="112"/>
        <v>1.05</v>
      </c>
    </row>
    <row r="273" spans="1:21" x14ac:dyDescent="0.25">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0.85</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25">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0.85</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25">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0.85</v>
      </c>
      <c r="P275" s="72">
        <f t="shared" si="107"/>
        <v>0</v>
      </c>
      <c r="Q275" s="72">
        <f t="shared" si="108"/>
        <v>0.125</v>
      </c>
      <c r="R275" s="72">
        <f t="shared" si="109"/>
        <v>0.875</v>
      </c>
      <c r="S275" s="72">
        <f t="shared" si="110"/>
        <v>1.05</v>
      </c>
      <c r="T275" s="72">
        <f t="shared" si="111"/>
        <v>1.05</v>
      </c>
      <c r="U275" s="72">
        <f t="shared" si="112"/>
        <v>1.05</v>
      </c>
    </row>
    <row r="276" spans="1:21" x14ac:dyDescent="0.25">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0.85</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25">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0.85</v>
      </c>
      <c r="P277" s="72">
        <f t="shared" si="107"/>
        <v>0</v>
      </c>
      <c r="Q277" s="72">
        <f t="shared" si="108"/>
        <v>0</v>
      </c>
      <c r="R277" s="72">
        <f t="shared" si="109"/>
        <v>0.95833333333333337</v>
      </c>
      <c r="S277" s="72">
        <f t="shared" si="110"/>
        <v>1.05</v>
      </c>
      <c r="T277" s="72">
        <f t="shared" si="111"/>
        <v>1</v>
      </c>
      <c r="U277" s="72">
        <f t="shared" si="112"/>
        <v>1.05</v>
      </c>
    </row>
    <row r="278" spans="1:21" x14ac:dyDescent="0.25">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0.85</v>
      </c>
      <c r="P278" s="72">
        <f t="shared" si="107"/>
        <v>0</v>
      </c>
      <c r="Q278" s="72">
        <f t="shared" si="108"/>
        <v>0</v>
      </c>
      <c r="R278" s="72">
        <f t="shared" si="109"/>
        <v>0.875</v>
      </c>
      <c r="S278" s="72">
        <f t="shared" si="110"/>
        <v>1.05</v>
      </c>
      <c r="T278" s="72">
        <f t="shared" si="111"/>
        <v>1</v>
      </c>
      <c r="U278" s="72">
        <f t="shared" si="112"/>
        <v>1.05</v>
      </c>
    </row>
    <row r="279" spans="1:21" x14ac:dyDescent="0.25">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0.85</v>
      </c>
      <c r="P279" s="72">
        <f t="shared" si="107"/>
        <v>0</v>
      </c>
      <c r="Q279" s="72">
        <f t="shared" si="108"/>
        <v>0</v>
      </c>
      <c r="R279" s="72">
        <f t="shared" si="109"/>
        <v>0.79166666666666663</v>
      </c>
      <c r="S279" s="72">
        <f t="shared" si="110"/>
        <v>1.05</v>
      </c>
      <c r="T279" s="72">
        <f t="shared" si="111"/>
        <v>1</v>
      </c>
      <c r="U279" s="72">
        <f t="shared" si="112"/>
        <v>1.05</v>
      </c>
    </row>
    <row r="280" spans="1:21" x14ac:dyDescent="0.25">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0.85</v>
      </c>
      <c r="P280" s="72">
        <f t="shared" si="107"/>
        <v>0</v>
      </c>
      <c r="Q280" s="72">
        <f t="shared" si="108"/>
        <v>0</v>
      </c>
      <c r="R280" s="72">
        <f t="shared" si="109"/>
        <v>0.70833333333333337</v>
      </c>
      <c r="S280" s="72">
        <f t="shared" si="110"/>
        <v>1.05</v>
      </c>
      <c r="T280" s="72">
        <f t="shared" si="111"/>
        <v>1.05</v>
      </c>
      <c r="U280" s="72">
        <f t="shared" si="112"/>
        <v>1.05</v>
      </c>
    </row>
    <row r="281" spans="1:21" x14ac:dyDescent="0.25">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0.85</v>
      </c>
      <c r="P281" s="72">
        <f t="shared" si="107"/>
        <v>0</v>
      </c>
      <c r="Q281" s="72">
        <f t="shared" si="108"/>
        <v>0</v>
      </c>
      <c r="R281" s="72">
        <f t="shared" si="109"/>
        <v>0.625</v>
      </c>
      <c r="S281" s="72">
        <f t="shared" si="110"/>
        <v>1.05</v>
      </c>
      <c r="T281" s="72">
        <f t="shared" si="111"/>
        <v>1.05</v>
      </c>
      <c r="U281" s="72">
        <f t="shared" si="112"/>
        <v>1.05</v>
      </c>
    </row>
    <row r="282" spans="1:21" x14ac:dyDescent="0.25">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0.85</v>
      </c>
      <c r="P282" s="72">
        <f t="shared" si="107"/>
        <v>0</v>
      </c>
      <c r="Q282" s="72">
        <f t="shared" si="108"/>
        <v>0</v>
      </c>
      <c r="R282" s="72">
        <f t="shared" si="109"/>
        <v>0.54166666666666663</v>
      </c>
      <c r="S282" s="72">
        <f t="shared" si="110"/>
        <v>1.05</v>
      </c>
      <c r="T282" s="72">
        <f t="shared" si="111"/>
        <v>1.05</v>
      </c>
      <c r="U282" s="72">
        <f t="shared" si="112"/>
        <v>1.05</v>
      </c>
    </row>
    <row r="283" spans="1:21" x14ac:dyDescent="0.25">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0.85</v>
      </c>
      <c r="P283" s="72">
        <f t="shared" si="107"/>
        <v>0</v>
      </c>
      <c r="Q283" s="72">
        <f t="shared" si="108"/>
        <v>0</v>
      </c>
      <c r="R283" s="72">
        <f t="shared" si="109"/>
        <v>0.45833333333333331</v>
      </c>
      <c r="S283" s="72">
        <f t="shared" si="110"/>
        <v>1.05</v>
      </c>
      <c r="T283" s="72">
        <f t="shared" si="111"/>
        <v>1.05</v>
      </c>
      <c r="U283" s="72">
        <f t="shared" si="112"/>
        <v>1.05</v>
      </c>
    </row>
    <row r="284" spans="1:21" x14ac:dyDescent="0.25">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0.85</v>
      </c>
      <c r="P284" s="72">
        <f t="shared" si="107"/>
        <v>0</v>
      </c>
      <c r="Q284" s="72">
        <f t="shared" si="108"/>
        <v>0</v>
      </c>
      <c r="R284" s="72">
        <f t="shared" si="109"/>
        <v>0.375</v>
      </c>
      <c r="S284" s="72">
        <f t="shared" si="110"/>
        <v>1.05</v>
      </c>
      <c r="T284" s="72">
        <f t="shared" si="111"/>
        <v>1.05</v>
      </c>
      <c r="U284" s="72">
        <f t="shared" si="112"/>
        <v>1.05</v>
      </c>
    </row>
    <row r="285" spans="1:21" x14ac:dyDescent="0.25">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0.85</v>
      </c>
      <c r="P285" s="72">
        <f t="shared" si="107"/>
        <v>0</v>
      </c>
      <c r="Q285" s="72">
        <f t="shared" si="108"/>
        <v>0</v>
      </c>
      <c r="R285" s="72">
        <f t="shared" si="109"/>
        <v>0.29166666666666669</v>
      </c>
      <c r="S285" s="72">
        <f t="shared" si="110"/>
        <v>1.05</v>
      </c>
      <c r="T285" s="72">
        <f t="shared" si="111"/>
        <v>1.05</v>
      </c>
      <c r="U285" s="72">
        <f t="shared" si="112"/>
        <v>1.05</v>
      </c>
    </row>
    <row r="286" spans="1:21" x14ac:dyDescent="0.25">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0.85</v>
      </c>
      <c r="P286" s="72">
        <f t="shared" si="107"/>
        <v>0</v>
      </c>
      <c r="Q286" s="72">
        <f t="shared" si="108"/>
        <v>0</v>
      </c>
      <c r="R286" s="72">
        <f t="shared" si="109"/>
        <v>0.20833333333333334</v>
      </c>
      <c r="S286" s="72">
        <f t="shared" si="110"/>
        <v>1.05</v>
      </c>
      <c r="T286" s="72">
        <f t="shared" si="111"/>
        <v>1.05</v>
      </c>
      <c r="U286" s="72">
        <f t="shared" si="112"/>
        <v>1.05</v>
      </c>
    </row>
    <row r="287" spans="1:21" x14ac:dyDescent="0.25">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0.85</v>
      </c>
      <c r="P287" s="72">
        <f t="shared" si="107"/>
        <v>0</v>
      </c>
      <c r="Q287" s="72">
        <f t="shared" si="108"/>
        <v>0</v>
      </c>
      <c r="R287" s="72">
        <f t="shared" si="109"/>
        <v>0.125</v>
      </c>
      <c r="S287" s="72">
        <f t="shared" si="110"/>
        <v>1.05</v>
      </c>
      <c r="T287" s="72">
        <f t="shared" si="111"/>
        <v>1.05</v>
      </c>
      <c r="U287" s="72">
        <f t="shared" si="112"/>
        <v>1.05</v>
      </c>
    </row>
    <row r="288" spans="1:21" x14ac:dyDescent="0.25">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0.85</v>
      </c>
      <c r="P288" s="72">
        <f t="shared" si="107"/>
        <v>0</v>
      </c>
      <c r="Q288" s="72">
        <f t="shared" si="108"/>
        <v>0</v>
      </c>
      <c r="R288" s="72">
        <f t="shared" si="109"/>
        <v>4.1666666666666664E-2</v>
      </c>
      <c r="S288" s="72">
        <f t="shared" si="110"/>
        <v>1.05</v>
      </c>
      <c r="T288" s="72">
        <f t="shared" si="111"/>
        <v>1.05</v>
      </c>
      <c r="U288" s="72">
        <f t="shared" si="112"/>
        <v>1.05</v>
      </c>
    </row>
    <row r="289" spans="1:21" x14ac:dyDescent="0.25">
      <c r="A289" s="77" t="s">
        <v>1209</v>
      </c>
      <c r="B289" s="50">
        <f>EXP(SUMPRODUCT((rl_key=$A$238)*(rl_cons="Y")*rl_ln1p))</f>
        <v>1.05</v>
      </c>
      <c r="C289" s="50">
        <f>SUMPRODUCT($H$241:$H$288,$P$241:$P$288,$U$241:$U$288)/SUMPRODUCT($H$241:$H$288,$P$241:$P$288)</f>
        <v>1.0140624999999999</v>
      </c>
      <c r="D289" s="50">
        <f>SUMPRODUCT($H$241:$H$288,$Q$241:$Q$288,$U$241:$U$288)/SUMPRODUCT($H$241:$H$288,$Q$241:$Q$288)</f>
        <v>1.0484374999999999</v>
      </c>
      <c r="E289" s="50">
        <f>SUMPRODUCT($H$241:$H$288,$R$241:$R$288,$U$241:$U$288)/SUMPRODUCT($H$241:$H$288,$R$241:$R$288)</f>
        <v>1.05</v>
      </c>
      <c r="F289" s="169">
        <f>SUMPRODUCT($H$241:$H$288,$Q$241:$Q$288,$O$241:$O$288)/SUMPRODUCT($H$241:$H$288,$Q$241:$Q$288)</f>
        <v>0.85</v>
      </c>
      <c r="G289" s="169">
        <f>SUMPRODUCT($H$241:$H$288,$R$241:$R$288,$O$241:$O$288)/SUMPRODUCT($H$241:$H$288,$R$241:$R$288)</f>
        <v>0.85</v>
      </c>
    </row>
    <row r="292" spans="1:21" x14ac:dyDescent="0.25">
      <c r="A292" s="77" t="str">
        <f>INDEX(lr_key,5)</f>
        <v>BU-A|FL</v>
      </c>
      <c r="B292" s="77" t="str">
        <f>INDEX(lr_state,5)</f>
        <v>FL</v>
      </c>
      <c r="C292" s="52">
        <f>nr_TermMonths</f>
        <v>12</v>
      </c>
      <c r="D292" s="52">
        <f>IF(COUNTIF(se_state,$B292)=0,0,MATCH($B292,se_state,0))</f>
        <v>0</v>
      </c>
      <c r="E292" s="54">
        <f>IF($D292=0,0,INDEX(se_sum,$D292))</f>
        <v>0</v>
      </c>
      <c r="F292" s="169">
        <f>IF(N(INDEX(lr_mind,5))=0,1,INDEX(lr_mind,5))</f>
        <v>0.85</v>
      </c>
      <c r="G292" s="169">
        <f>IF(N(INDEX(lr_m0,5))=0,1,INDEX(lr_m0,5))</f>
        <v>0.84</v>
      </c>
      <c r="H292" s="51">
        <f>IF(N(INDEX(lr_m0asof,5))=0,DATE(nr_PlanYear-1,10,1),INDEX(lr_m0asof,5))</f>
        <v>46295</v>
      </c>
      <c r="I292" s="169">
        <f>IF(N(INDEX(lr_m1,5))=0,1,INDEX(lr_m1,5))</f>
        <v>0.85499999999999998</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25">
      <c r="A293" s="77">
        <f>EDATE($H$292,-12)+1</f>
        <v>45931</v>
      </c>
      <c r="B293" s="77">
        <f>$H$292+1</f>
        <v>46296</v>
      </c>
      <c r="C293" s="77">
        <f>DATE(nr_PlanYear,12,31)+1</f>
        <v>46753</v>
      </c>
      <c r="D293" s="77">
        <f>DATE(nr_PlanYear+1,12,31)+1</f>
        <v>47119</v>
      </c>
      <c r="E293" s="77">
        <f>IF(N($J$292)=0,$F$293-($G$293-$F$293)/($C$293-$B$293)*($B$293-$A$293),$J$292)</f>
        <v>0.82801969365426686</v>
      </c>
      <c r="F293" s="77">
        <f>$G$292</f>
        <v>0.84</v>
      </c>
      <c r="G293" s="77">
        <f>$I$292</f>
        <v>0.85499999999999998</v>
      </c>
      <c r="H293" s="77">
        <f>IF(N($K$292)=0,$I$292,$K$292)</f>
        <v>0.85499999999999998</v>
      </c>
      <c r="I293" s="77">
        <f>($F$293-$E$293)/($B$293-$A$293)</f>
        <v>3.2822757111597549E-5</v>
      </c>
      <c r="J293" s="77">
        <f>($G$293-$F$293)/($C$293-$B$293)</f>
        <v>3.2822757111597407E-5</v>
      </c>
      <c r="K293" s="77">
        <f>($H$293-$G$293)/($D$293-$C$293)</f>
        <v>0</v>
      </c>
    </row>
    <row r="294" spans="1:21" ht="24" x14ac:dyDescent="0.25">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25">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0.81956783369803055</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0.96419745140944768</v>
      </c>
      <c r="T295" s="72">
        <f t="shared" ref="T295:T342" si="131">IF($G295&lt;nr_MStartP,$S295,$T283*(1+IF($G295&lt;nr_MStartP1,$M$292,$N$292)))</f>
        <v>0.96419745140944768</v>
      </c>
      <c r="U295" s="72">
        <f t="shared" ref="U295:U342" si="132">IF($L$292,$T295,$N295)</f>
        <v>1</v>
      </c>
    </row>
    <row r="296" spans="1:21" x14ac:dyDescent="0.25">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0.82053610503282259</v>
      </c>
      <c r="P296" s="72">
        <f t="shared" si="127"/>
        <v>0.125</v>
      </c>
      <c r="Q296" s="72">
        <f t="shared" si="128"/>
        <v>0</v>
      </c>
      <c r="R296" s="72">
        <f t="shared" si="129"/>
        <v>0</v>
      </c>
      <c r="S296" s="72">
        <f t="shared" si="130"/>
        <v>0.96533659415626194</v>
      </c>
      <c r="T296" s="72">
        <f t="shared" si="131"/>
        <v>0.96533659415626194</v>
      </c>
      <c r="U296" s="72">
        <f t="shared" si="132"/>
        <v>1</v>
      </c>
    </row>
    <row r="297" spans="1:21" x14ac:dyDescent="0.25">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0.82150437636761475</v>
      </c>
      <c r="P297" s="72">
        <f t="shared" si="127"/>
        <v>0.20833333333333337</v>
      </c>
      <c r="Q297" s="72">
        <f t="shared" si="128"/>
        <v>0</v>
      </c>
      <c r="R297" s="72">
        <f t="shared" si="129"/>
        <v>0</v>
      </c>
      <c r="S297" s="72">
        <f t="shared" si="130"/>
        <v>0.9664757369030762</v>
      </c>
      <c r="T297" s="72">
        <f t="shared" si="131"/>
        <v>0.9664757369030762</v>
      </c>
      <c r="U297" s="72">
        <f t="shared" si="132"/>
        <v>1</v>
      </c>
    </row>
    <row r="298" spans="1:21" x14ac:dyDescent="0.25">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0.8225054704595185</v>
      </c>
      <c r="P298" s="72">
        <f t="shared" si="127"/>
        <v>0.29166666666666663</v>
      </c>
      <c r="Q298" s="72">
        <f t="shared" si="128"/>
        <v>0</v>
      </c>
      <c r="R298" s="72">
        <f t="shared" si="129"/>
        <v>0</v>
      </c>
      <c r="S298" s="72">
        <f t="shared" si="130"/>
        <v>0.96765349465825712</v>
      </c>
      <c r="T298" s="72">
        <f t="shared" si="131"/>
        <v>0.96765349465825712</v>
      </c>
      <c r="U298" s="72">
        <f t="shared" si="132"/>
        <v>1</v>
      </c>
    </row>
    <row r="299" spans="1:21" x14ac:dyDescent="0.25">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0.82350656455142224</v>
      </c>
      <c r="P299" s="72">
        <f t="shared" si="127"/>
        <v>0.375</v>
      </c>
      <c r="Q299" s="72">
        <f t="shared" si="128"/>
        <v>0</v>
      </c>
      <c r="R299" s="72">
        <f t="shared" si="129"/>
        <v>0</v>
      </c>
      <c r="S299" s="72">
        <f t="shared" si="130"/>
        <v>0.96883125241343793</v>
      </c>
      <c r="T299" s="72">
        <f t="shared" si="131"/>
        <v>0.96883125241343793</v>
      </c>
      <c r="U299" s="72">
        <f t="shared" si="132"/>
        <v>1</v>
      </c>
    </row>
    <row r="300" spans="1:21" x14ac:dyDescent="0.25">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0.82450765864332598</v>
      </c>
      <c r="P300" s="72">
        <f t="shared" si="127"/>
        <v>0.45833333333333337</v>
      </c>
      <c r="Q300" s="72">
        <f t="shared" si="128"/>
        <v>0</v>
      </c>
      <c r="R300" s="72">
        <f t="shared" si="129"/>
        <v>0</v>
      </c>
      <c r="S300" s="72">
        <f t="shared" si="130"/>
        <v>0.97000901016861885</v>
      </c>
      <c r="T300" s="72">
        <f t="shared" si="131"/>
        <v>0.97000901016861885</v>
      </c>
      <c r="U300" s="72">
        <f t="shared" si="132"/>
        <v>1</v>
      </c>
    </row>
    <row r="301" spans="1:21" x14ac:dyDescent="0.25">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0.82550875273522961</v>
      </c>
      <c r="P301" s="72">
        <f t="shared" si="127"/>
        <v>0.54166666666666674</v>
      </c>
      <c r="Q301" s="72">
        <f t="shared" si="128"/>
        <v>0</v>
      </c>
      <c r="R301" s="72">
        <f t="shared" si="129"/>
        <v>0</v>
      </c>
      <c r="S301" s="72">
        <f t="shared" si="130"/>
        <v>0.97118676792379954</v>
      </c>
      <c r="T301" s="72">
        <f t="shared" si="131"/>
        <v>0.97118676792379954</v>
      </c>
      <c r="U301" s="72">
        <f t="shared" si="132"/>
        <v>1</v>
      </c>
    </row>
    <row r="302" spans="1:21" x14ac:dyDescent="0.25">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0.82652625820568915</v>
      </c>
      <c r="P302" s="72">
        <f t="shared" si="127"/>
        <v>0.625</v>
      </c>
      <c r="Q302" s="72">
        <f t="shared" si="128"/>
        <v>0</v>
      </c>
      <c r="R302" s="72">
        <f t="shared" si="129"/>
        <v>0</v>
      </c>
      <c r="S302" s="72">
        <f t="shared" si="130"/>
        <v>0.97238383318316368</v>
      </c>
      <c r="T302" s="72">
        <f t="shared" si="131"/>
        <v>0.97238383318316368</v>
      </c>
      <c r="U302" s="72">
        <f t="shared" si="132"/>
        <v>1</v>
      </c>
    </row>
    <row r="303" spans="1:21" x14ac:dyDescent="0.25">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0.82752735229759289</v>
      </c>
      <c r="P303" s="72">
        <f t="shared" si="127"/>
        <v>0.70833333333333326</v>
      </c>
      <c r="Q303" s="72">
        <f t="shared" si="128"/>
        <v>0</v>
      </c>
      <c r="R303" s="72">
        <f t="shared" si="129"/>
        <v>0</v>
      </c>
      <c r="S303" s="72">
        <f t="shared" si="130"/>
        <v>0.9735615909383446</v>
      </c>
      <c r="T303" s="72">
        <f t="shared" si="131"/>
        <v>0.9735615909383446</v>
      </c>
      <c r="U303" s="72">
        <f t="shared" si="132"/>
        <v>1</v>
      </c>
    </row>
    <row r="304" spans="1:21" x14ac:dyDescent="0.25">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0.82852844638949663</v>
      </c>
      <c r="P304" s="72">
        <f t="shared" si="127"/>
        <v>0.79166666666666663</v>
      </c>
      <c r="Q304" s="72">
        <f t="shared" si="128"/>
        <v>0</v>
      </c>
      <c r="R304" s="72">
        <f t="shared" si="129"/>
        <v>0</v>
      </c>
      <c r="S304" s="72">
        <f t="shared" si="130"/>
        <v>0.97473934869352552</v>
      </c>
      <c r="T304" s="72">
        <f t="shared" si="131"/>
        <v>0.97473934869352552</v>
      </c>
      <c r="U304" s="72">
        <f t="shared" si="132"/>
        <v>1</v>
      </c>
    </row>
    <row r="305" spans="1:21" x14ac:dyDescent="0.25">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0.82952954048140037</v>
      </c>
      <c r="P305" s="72">
        <f t="shared" si="127"/>
        <v>0.875</v>
      </c>
      <c r="Q305" s="72">
        <f t="shared" si="128"/>
        <v>0</v>
      </c>
      <c r="R305" s="72">
        <f t="shared" si="129"/>
        <v>0</v>
      </c>
      <c r="S305" s="72">
        <f t="shared" si="130"/>
        <v>0.97591710644870633</v>
      </c>
      <c r="T305" s="72">
        <f t="shared" si="131"/>
        <v>0.97591710644870633</v>
      </c>
      <c r="U305" s="72">
        <f t="shared" si="132"/>
        <v>1</v>
      </c>
    </row>
    <row r="306" spans="1:21" x14ac:dyDescent="0.25">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0.83053063457330412</v>
      </c>
      <c r="P306" s="72">
        <f t="shared" si="127"/>
        <v>0.95833333333333337</v>
      </c>
      <c r="Q306" s="72">
        <f t="shared" si="128"/>
        <v>0</v>
      </c>
      <c r="R306" s="72">
        <f t="shared" si="129"/>
        <v>0</v>
      </c>
      <c r="S306" s="72">
        <f t="shared" si="130"/>
        <v>0.97709486420388725</v>
      </c>
      <c r="T306" s="72">
        <f t="shared" si="131"/>
        <v>0.97709486420388725</v>
      </c>
      <c r="U306" s="72">
        <f t="shared" si="132"/>
        <v>1</v>
      </c>
    </row>
    <row r="307" spans="1:21" x14ac:dyDescent="0.25">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0.83154814004376365</v>
      </c>
      <c r="P307" s="72">
        <f t="shared" si="127"/>
        <v>0.95833333333333337</v>
      </c>
      <c r="Q307" s="72">
        <f t="shared" si="128"/>
        <v>4.166666666666663E-2</v>
      </c>
      <c r="R307" s="72">
        <f t="shared" si="129"/>
        <v>0</v>
      </c>
      <c r="S307" s="72">
        <f t="shared" si="130"/>
        <v>0.97829192946325139</v>
      </c>
      <c r="T307" s="72">
        <f t="shared" si="131"/>
        <v>0.97829192946325139</v>
      </c>
      <c r="U307" s="72">
        <f t="shared" si="132"/>
        <v>1</v>
      </c>
    </row>
    <row r="308" spans="1:21" x14ac:dyDescent="0.25">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0.8325164113785557</v>
      </c>
      <c r="P308" s="72">
        <f t="shared" si="127"/>
        <v>0.875</v>
      </c>
      <c r="Q308" s="72">
        <f t="shared" si="128"/>
        <v>0.125</v>
      </c>
      <c r="R308" s="72">
        <f t="shared" si="129"/>
        <v>0</v>
      </c>
      <c r="S308" s="72">
        <f t="shared" si="130"/>
        <v>0.97943107221006553</v>
      </c>
      <c r="T308" s="72">
        <f t="shared" si="131"/>
        <v>0.97943107221006553</v>
      </c>
      <c r="U308" s="72">
        <f t="shared" si="132"/>
        <v>1</v>
      </c>
    </row>
    <row r="309" spans="1:21" x14ac:dyDescent="0.25">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0.83348468271334786</v>
      </c>
      <c r="P309" s="72">
        <f t="shared" si="127"/>
        <v>0.79166666666666663</v>
      </c>
      <c r="Q309" s="72">
        <f t="shared" si="128"/>
        <v>0.20833333333333337</v>
      </c>
      <c r="R309" s="72">
        <f t="shared" si="129"/>
        <v>0</v>
      </c>
      <c r="S309" s="72">
        <f t="shared" si="130"/>
        <v>0.9805702149568799</v>
      </c>
      <c r="T309" s="72">
        <f t="shared" si="131"/>
        <v>0.9805702149568799</v>
      </c>
      <c r="U309" s="72">
        <f t="shared" si="132"/>
        <v>1</v>
      </c>
    </row>
    <row r="310" spans="1:21" x14ac:dyDescent="0.25">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0.8344857768052516</v>
      </c>
      <c r="P310" s="72">
        <f t="shared" si="127"/>
        <v>0.70833333333333337</v>
      </c>
      <c r="Q310" s="72">
        <f t="shared" si="128"/>
        <v>0.29166666666666663</v>
      </c>
      <c r="R310" s="72">
        <f t="shared" si="129"/>
        <v>0</v>
      </c>
      <c r="S310" s="72">
        <f t="shared" si="130"/>
        <v>0.98174797271206071</v>
      </c>
      <c r="T310" s="72">
        <f t="shared" si="131"/>
        <v>0.98174797271206071</v>
      </c>
      <c r="U310" s="72">
        <f t="shared" si="132"/>
        <v>1</v>
      </c>
    </row>
    <row r="311" spans="1:21" x14ac:dyDescent="0.25">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0.83548687089715534</v>
      </c>
      <c r="P311" s="72">
        <f t="shared" si="127"/>
        <v>0.625</v>
      </c>
      <c r="Q311" s="72">
        <f t="shared" si="128"/>
        <v>0.375</v>
      </c>
      <c r="R311" s="72">
        <f t="shared" si="129"/>
        <v>0</v>
      </c>
      <c r="S311" s="72">
        <f t="shared" si="130"/>
        <v>1.0419012742952762</v>
      </c>
      <c r="T311" s="72">
        <f t="shared" si="131"/>
        <v>1.0419012742952762</v>
      </c>
      <c r="U311" s="72">
        <f t="shared" si="132"/>
        <v>1.06</v>
      </c>
    </row>
    <row r="312" spans="1:21" x14ac:dyDescent="0.25">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0.83648796498905909</v>
      </c>
      <c r="P312" s="72">
        <f t="shared" si="127"/>
        <v>0.54166666666666663</v>
      </c>
      <c r="Q312" s="72">
        <f t="shared" si="128"/>
        <v>0.45833333333333337</v>
      </c>
      <c r="R312" s="72">
        <f t="shared" si="129"/>
        <v>0</v>
      </c>
      <c r="S312" s="72">
        <f t="shared" si="130"/>
        <v>1.0431496975157679</v>
      </c>
      <c r="T312" s="72">
        <f t="shared" si="131"/>
        <v>1.0431496975157679</v>
      </c>
      <c r="U312" s="72">
        <f t="shared" si="132"/>
        <v>1.06</v>
      </c>
    </row>
    <row r="313" spans="1:21" x14ac:dyDescent="0.25">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0.83748905908096272</v>
      </c>
      <c r="P313" s="72">
        <f t="shared" si="127"/>
        <v>0.45833333333333331</v>
      </c>
      <c r="Q313" s="72">
        <f t="shared" si="128"/>
        <v>0.54166666666666674</v>
      </c>
      <c r="R313" s="72">
        <f t="shared" si="129"/>
        <v>0</v>
      </c>
      <c r="S313" s="72">
        <f t="shared" si="130"/>
        <v>1.0443981207362596</v>
      </c>
      <c r="T313" s="72">
        <f t="shared" si="131"/>
        <v>1.0443981207362596</v>
      </c>
      <c r="U313" s="72">
        <f t="shared" si="132"/>
        <v>1.06</v>
      </c>
    </row>
    <row r="314" spans="1:21" x14ac:dyDescent="0.25">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0.83850656455142225</v>
      </c>
      <c r="P314" s="72">
        <f t="shared" si="127"/>
        <v>0.375</v>
      </c>
      <c r="Q314" s="72">
        <f t="shared" si="128"/>
        <v>0.625</v>
      </c>
      <c r="R314" s="72">
        <f t="shared" si="129"/>
        <v>0</v>
      </c>
      <c r="S314" s="72">
        <f t="shared" si="130"/>
        <v>1.0456670099111856</v>
      </c>
      <c r="T314" s="72">
        <f t="shared" si="131"/>
        <v>1.0456670099111856</v>
      </c>
      <c r="U314" s="72">
        <f t="shared" si="132"/>
        <v>1.06</v>
      </c>
    </row>
    <row r="315" spans="1:21" x14ac:dyDescent="0.25">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0.83950765864332599</v>
      </c>
      <c r="P315" s="72">
        <f t="shared" si="127"/>
        <v>0.29166666666666669</v>
      </c>
      <c r="Q315" s="72">
        <f t="shared" si="128"/>
        <v>0.70833333333333326</v>
      </c>
      <c r="R315" s="72">
        <f t="shared" si="129"/>
        <v>0</v>
      </c>
      <c r="S315" s="72">
        <f t="shared" si="130"/>
        <v>1.0469154331316772</v>
      </c>
      <c r="T315" s="72">
        <f t="shared" si="131"/>
        <v>1.0469154331316772</v>
      </c>
      <c r="U315" s="72">
        <f t="shared" si="132"/>
        <v>1.06</v>
      </c>
    </row>
    <row r="316" spans="1:21" x14ac:dyDescent="0.25">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0.84050875273522974</v>
      </c>
      <c r="P316" s="72">
        <f t="shared" si="127"/>
        <v>0.20833333333333334</v>
      </c>
      <c r="Q316" s="72">
        <f t="shared" si="128"/>
        <v>0.79166666666666663</v>
      </c>
      <c r="R316" s="72">
        <f t="shared" si="129"/>
        <v>0</v>
      </c>
      <c r="S316" s="72">
        <f t="shared" si="130"/>
        <v>1.0481638563521689</v>
      </c>
      <c r="T316" s="72">
        <f t="shared" si="131"/>
        <v>1.0481638563521689</v>
      </c>
      <c r="U316" s="72">
        <f t="shared" si="132"/>
        <v>1.06</v>
      </c>
    </row>
    <row r="317" spans="1:21" x14ac:dyDescent="0.25">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0.84150984682713348</v>
      </c>
      <c r="P317" s="72">
        <f t="shared" si="127"/>
        <v>0.125</v>
      </c>
      <c r="Q317" s="72">
        <f t="shared" si="128"/>
        <v>0.875</v>
      </c>
      <c r="R317" s="72">
        <f t="shared" si="129"/>
        <v>0</v>
      </c>
      <c r="S317" s="72">
        <f t="shared" si="130"/>
        <v>1.0494122795726606</v>
      </c>
      <c r="T317" s="72">
        <f t="shared" si="131"/>
        <v>1.0494122795726606</v>
      </c>
      <c r="U317" s="72">
        <f t="shared" si="132"/>
        <v>1.06</v>
      </c>
    </row>
    <row r="318" spans="1:21" x14ac:dyDescent="0.25">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0.84251094091903722</v>
      </c>
      <c r="P318" s="72">
        <f t="shared" si="127"/>
        <v>4.1666666666666664E-2</v>
      </c>
      <c r="Q318" s="72">
        <f t="shared" si="128"/>
        <v>0.95833333333333337</v>
      </c>
      <c r="R318" s="72">
        <f t="shared" si="129"/>
        <v>0</v>
      </c>
      <c r="S318" s="72">
        <f t="shared" si="130"/>
        <v>1.0506607027931523</v>
      </c>
      <c r="T318" s="72">
        <f t="shared" si="131"/>
        <v>1.0506607027931523</v>
      </c>
      <c r="U318" s="72">
        <f t="shared" si="132"/>
        <v>1.06</v>
      </c>
    </row>
    <row r="319" spans="1:21" x14ac:dyDescent="0.25">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0.84352844638949664</v>
      </c>
      <c r="P319" s="72">
        <f t="shared" si="127"/>
        <v>0</v>
      </c>
      <c r="Q319" s="72">
        <f t="shared" si="128"/>
        <v>0.95833333333333337</v>
      </c>
      <c r="R319" s="72">
        <f t="shared" si="129"/>
        <v>4.166666666666663E-2</v>
      </c>
      <c r="S319" s="72">
        <f t="shared" si="130"/>
        <v>1.0519295919680782</v>
      </c>
      <c r="T319" s="72">
        <f t="shared" si="131"/>
        <v>0.97829192946325139</v>
      </c>
      <c r="U319" s="72">
        <f t="shared" si="132"/>
        <v>1.06</v>
      </c>
    </row>
    <row r="320" spans="1:21" x14ac:dyDescent="0.25">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0.8444967177242888</v>
      </c>
      <c r="P320" s="72">
        <f t="shared" si="127"/>
        <v>0</v>
      </c>
      <c r="Q320" s="72">
        <f t="shared" si="128"/>
        <v>0.875</v>
      </c>
      <c r="R320" s="72">
        <f t="shared" si="129"/>
        <v>0.125</v>
      </c>
      <c r="S320" s="72">
        <f t="shared" si="130"/>
        <v>1.0531370832797013</v>
      </c>
      <c r="T320" s="72">
        <f t="shared" si="131"/>
        <v>0.97943107221006553</v>
      </c>
      <c r="U320" s="72">
        <f t="shared" si="132"/>
        <v>1.06</v>
      </c>
    </row>
    <row r="321" spans="1:21" x14ac:dyDescent="0.25">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0.84546498905908096</v>
      </c>
      <c r="P321" s="72">
        <f t="shared" si="127"/>
        <v>0</v>
      </c>
      <c r="Q321" s="72">
        <f t="shared" si="128"/>
        <v>0.79166666666666663</v>
      </c>
      <c r="R321" s="72">
        <f t="shared" si="129"/>
        <v>0.20833333333333337</v>
      </c>
      <c r="S321" s="72">
        <f t="shared" si="130"/>
        <v>1.0543445745913245</v>
      </c>
      <c r="T321" s="72">
        <f t="shared" si="131"/>
        <v>0.9805702149568799</v>
      </c>
      <c r="U321" s="72">
        <f t="shared" si="132"/>
        <v>1.06</v>
      </c>
    </row>
    <row r="322" spans="1:21" x14ac:dyDescent="0.25">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0.8464660831509847</v>
      </c>
      <c r="P322" s="72">
        <f t="shared" si="127"/>
        <v>0</v>
      </c>
      <c r="Q322" s="72">
        <f t="shared" si="128"/>
        <v>0.70833333333333337</v>
      </c>
      <c r="R322" s="72">
        <f t="shared" si="129"/>
        <v>0.29166666666666663</v>
      </c>
      <c r="S322" s="72">
        <f t="shared" si="130"/>
        <v>1.0555929978118164</v>
      </c>
      <c r="T322" s="72">
        <f t="shared" si="131"/>
        <v>0.98174797271206071</v>
      </c>
      <c r="U322" s="72">
        <f t="shared" si="132"/>
        <v>1.06</v>
      </c>
    </row>
    <row r="323" spans="1:21" x14ac:dyDescent="0.25">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0.84746717724288834</v>
      </c>
      <c r="P323" s="72">
        <f t="shared" si="127"/>
        <v>0</v>
      </c>
      <c r="Q323" s="72">
        <f t="shared" si="128"/>
        <v>0.625</v>
      </c>
      <c r="R323" s="72">
        <f t="shared" si="129"/>
        <v>0.375</v>
      </c>
      <c r="S323" s="72">
        <f t="shared" si="130"/>
        <v>1.0568414210323078</v>
      </c>
      <c r="T323" s="72">
        <f t="shared" si="131"/>
        <v>1.0419012742952762</v>
      </c>
      <c r="U323" s="72">
        <f t="shared" si="132"/>
        <v>1.06</v>
      </c>
    </row>
    <row r="324" spans="1:21" x14ac:dyDescent="0.25">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0.84846827133479208</v>
      </c>
      <c r="P324" s="72">
        <f t="shared" si="127"/>
        <v>0</v>
      </c>
      <c r="Q324" s="72">
        <f t="shared" si="128"/>
        <v>0.54166666666666663</v>
      </c>
      <c r="R324" s="72">
        <f t="shared" si="129"/>
        <v>0.45833333333333337</v>
      </c>
      <c r="S324" s="72">
        <f t="shared" si="130"/>
        <v>1.0580898442527997</v>
      </c>
      <c r="T324" s="72">
        <f t="shared" si="131"/>
        <v>1.0431496975157679</v>
      </c>
      <c r="U324" s="72">
        <f t="shared" si="132"/>
        <v>1.06</v>
      </c>
    </row>
    <row r="325" spans="1:21" x14ac:dyDescent="0.25">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0.84946936542669582</v>
      </c>
      <c r="P325" s="72">
        <f t="shared" si="127"/>
        <v>0</v>
      </c>
      <c r="Q325" s="72">
        <f t="shared" si="128"/>
        <v>0.45833333333333331</v>
      </c>
      <c r="R325" s="72">
        <f t="shared" si="129"/>
        <v>0.54166666666666674</v>
      </c>
      <c r="S325" s="72">
        <f t="shared" si="130"/>
        <v>1.0593382674732914</v>
      </c>
      <c r="T325" s="72">
        <f t="shared" si="131"/>
        <v>1.0443981207362596</v>
      </c>
      <c r="U325" s="72">
        <f t="shared" si="132"/>
        <v>1.06</v>
      </c>
    </row>
    <row r="326" spans="1:21" x14ac:dyDescent="0.25">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0.85048687089715536</v>
      </c>
      <c r="P326" s="72">
        <f t="shared" si="127"/>
        <v>0</v>
      </c>
      <c r="Q326" s="72">
        <f t="shared" si="128"/>
        <v>0.375</v>
      </c>
      <c r="R326" s="72">
        <f t="shared" si="129"/>
        <v>0.625</v>
      </c>
      <c r="S326" s="72">
        <f t="shared" si="130"/>
        <v>1.0606071566482174</v>
      </c>
      <c r="T326" s="72">
        <f t="shared" si="131"/>
        <v>1.0456670099111856</v>
      </c>
      <c r="U326" s="72">
        <f t="shared" si="132"/>
        <v>1.06</v>
      </c>
    </row>
    <row r="327" spans="1:21" x14ac:dyDescent="0.25">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0.8514879649890591</v>
      </c>
      <c r="P327" s="72">
        <f t="shared" si="127"/>
        <v>0</v>
      </c>
      <c r="Q327" s="72">
        <f t="shared" si="128"/>
        <v>0.29166666666666669</v>
      </c>
      <c r="R327" s="72">
        <f t="shared" si="129"/>
        <v>0.70833333333333326</v>
      </c>
      <c r="S327" s="72">
        <f t="shared" si="130"/>
        <v>1.0618555798687093</v>
      </c>
      <c r="T327" s="72">
        <f t="shared" si="131"/>
        <v>1.0469154331316772</v>
      </c>
      <c r="U327" s="72">
        <f t="shared" si="132"/>
        <v>1.06</v>
      </c>
    </row>
    <row r="328" spans="1:21" x14ac:dyDescent="0.25">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0.85248905908096273</v>
      </c>
      <c r="P328" s="72">
        <f t="shared" si="127"/>
        <v>0</v>
      </c>
      <c r="Q328" s="72">
        <f t="shared" si="128"/>
        <v>0.20833333333333334</v>
      </c>
      <c r="R328" s="72">
        <f t="shared" si="129"/>
        <v>0.79166666666666663</v>
      </c>
      <c r="S328" s="72">
        <f t="shared" si="130"/>
        <v>1.0631040030892005</v>
      </c>
      <c r="T328" s="72">
        <f t="shared" si="131"/>
        <v>1.0481638563521689</v>
      </c>
      <c r="U328" s="72">
        <f t="shared" si="132"/>
        <v>1.06</v>
      </c>
    </row>
    <row r="329" spans="1:21" x14ac:dyDescent="0.25">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0.85349015317286647</v>
      </c>
      <c r="P329" s="72">
        <f t="shared" si="127"/>
        <v>0</v>
      </c>
      <c r="Q329" s="72">
        <f t="shared" si="128"/>
        <v>0.125</v>
      </c>
      <c r="R329" s="72">
        <f t="shared" si="129"/>
        <v>0.875</v>
      </c>
      <c r="S329" s="72">
        <f t="shared" si="130"/>
        <v>1.0643524263096924</v>
      </c>
      <c r="T329" s="72">
        <f t="shared" si="131"/>
        <v>1.0494122795726606</v>
      </c>
      <c r="U329" s="72">
        <f t="shared" si="132"/>
        <v>1.06</v>
      </c>
    </row>
    <row r="330" spans="1:21" x14ac:dyDescent="0.25">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0.85449124726477022</v>
      </c>
      <c r="P330" s="72">
        <f t="shared" si="127"/>
        <v>0</v>
      </c>
      <c r="Q330" s="72">
        <f t="shared" si="128"/>
        <v>4.1666666666666664E-2</v>
      </c>
      <c r="R330" s="72">
        <f t="shared" si="129"/>
        <v>0.95833333333333337</v>
      </c>
      <c r="S330" s="72">
        <f t="shared" si="130"/>
        <v>1.0656008495301841</v>
      </c>
      <c r="T330" s="72">
        <f t="shared" si="131"/>
        <v>1.0506607027931523</v>
      </c>
      <c r="U330" s="72">
        <f t="shared" si="132"/>
        <v>1.06</v>
      </c>
    </row>
    <row r="331" spans="1:21" x14ac:dyDescent="0.25">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0.85499999999999998</v>
      </c>
      <c r="P331" s="72">
        <f t="shared" si="127"/>
        <v>0</v>
      </c>
      <c r="Q331" s="72">
        <f t="shared" si="128"/>
        <v>0</v>
      </c>
      <c r="R331" s="72">
        <f t="shared" si="129"/>
        <v>0.95833333333333337</v>
      </c>
      <c r="S331" s="72">
        <f t="shared" si="130"/>
        <v>1.0662352941176472</v>
      </c>
      <c r="T331" s="72">
        <f t="shared" si="131"/>
        <v>0.97829192946325139</v>
      </c>
      <c r="U331" s="72">
        <f t="shared" si="132"/>
        <v>1.06</v>
      </c>
    </row>
    <row r="332" spans="1:21" x14ac:dyDescent="0.25">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0.85499999999999998</v>
      </c>
      <c r="P332" s="72">
        <f t="shared" si="127"/>
        <v>0</v>
      </c>
      <c r="Q332" s="72">
        <f t="shared" si="128"/>
        <v>0</v>
      </c>
      <c r="R332" s="72">
        <f t="shared" si="129"/>
        <v>0.875</v>
      </c>
      <c r="S332" s="72">
        <f t="shared" si="130"/>
        <v>1.0662352941176472</v>
      </c>
      <c r="T332" s="72">
        <f t="shared" si="131"/>
        <v>0.97943107221006553</v>
      </c>
      <c r="U332" s="72">
        <f t="shared" si="132"/>
        <v>1.06</v>
      </c>
    </row>
    <row r="333" spans="1:21" x14ac:dyDescent="0.25">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0.85499999999999998</v>
      </c>
      <c r="P333" s="72">
        <f t="shared" si="127"/>
        <v>0</v>
      </c>
      <c r="Q333" s="72">
        <f t="shared" si="128"/>
        <v>0</v>
      </c>
      <c r="R333" s="72">
        <f t="shared" si="129"/>
        <v>0.79166666666666663</v>
      </c>
      <c r="S333" s="72">
        <f t="shared" si="130"/>
        <v>1.0662352941176472</v>
      </c>
      <c r="T333" s="72">
        <f t="shared" si="131"/>
        <v>0.9805702149568799</v>
      </c>
      <c r="U333" s="72">
        <f t="shared" si="132"/>
        <v>1.06</v>
      </c>
    </row>
    <row r="334" spans="1:21" x14ac:dyDescent="0.25">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0.85499999999999998</v>
      </c>
      <c r="P334" s="72">
        <f t="shared" si="127"/>
        <v>0</v>
      </c>
      <c r="Q334" s="72">
        <f t="shared" si="128"/>
        <v>0</v>
      </c>
      <c r="R334" s="72">
        <f t="shared" si="129"/>
        <v>0.70833333333333337</v>
      </c>
      <c r="S334" s="72">
        <f t="shared" si="130"/>
        <v>1.0662352941176472</v>
      </c>
      <c r="T334" s="72">
        <f t="shared" si="131"/>
        <v>0.98174797271206071</v>
      </c>
      <c r="U334" s="72">
        <f t="shared" si="132"/>
        <v>1.06</v>
      </c>
    </row>
    <row r="335" spans="1:21" x14ac:dyDescent="0.25">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0.85499999999999998</v>
      </c>
      <c r="P335" s="72">
        <f t="shared" si="127"/>
        <v>0</v>
      </c>
      <c r="Q335" s="72">
        <f t="shared" si="128"/>
        <v>0</v>
      </c>
      <c r="R335" s="72">
        <f t="shared" si="129"/>
        <v>0.625</v>
      </c>
      <c r="S335" s="72">
        <f t="shared" si="130"/>
        <v>1.0662352941176472</v>
      </c>
      <c r="T335" s="72">
        <f t="shared" si="131"/>
        <v>1.0419012742952762</v>
      </c>
      <c r="U335" s="72">
        <f t="shared" si="132"/>
        <v>1.06</v>
      </c>
    </row>
    <row r="336" spans="1:21" x14ac:dyDescent="0.25">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0.85499999999999998</v>
      </c>
      <c r="P336" s="72">
        <f t="shared" si="127"/>
        <v>0</v>
      </c>
      <c r="Q336" s="72">
        <f t="shared" si="128"/>
        <v>0</v>
      </c>
      <c r="R336" s="72">
        <f t="shared" si="129"/>
        <v>0.54166666666666663</v>
      </c>
      <c r="S336" s="72">
        <f t="shared" si="130"/>
        <v>1.0662352941176472</v>
      </c>
      <c r="T336" s="72">
        <f t="shared" si="131"/>
        <v>1.0431496975157679</v>
      </c>
      <c r="U336" s="72">
        <f t="shared" si="132"/>
        <v>1.06</v>
      </c>
    </row>
    <row r="337" spans="1:21" x14ac:dyDescent="0.25">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0.85499999999999998</v>
      </c>
      <c r="P337" s="72">
        <f t="shared" si="127"/>
        <v>0</v>
      </c>
      <c r="Q337" s="72">
        <f t="shared" si="128"/>
        <v>0</v>
      </c>
      <c r="R337" s="72">
        <f t="shared" si="129"/>
        <v>0.45833333333333331</v>
      </c>
      <c r="S337" s="72">
        <f t="shared" si="130"/>
        <v>1.0662352941176472</v>
      </c>
      <c r="T337" s="72">
        <f t="shared" si="131"/>
        <v>1.0443981207362596</v>
      </c>
      <c r="U337" s="72">
        <f t="shared" si="132"/>
        <v>1.06</v>
      </c>
    </row>
    <row r="338" spans="1:21" x14ac:dyDescent="0.25">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0.85499999999999998</v>
      </c>
      <c r="P338" s="72">
        <f t="shared" si="127"/>
        <v>0</v>
      </c>
      <c r="Q338" s="72">
        <f t="shared" si="128"/>
        <v>0</v>
      </c>
      <c r="R338" s="72">
        <f t="shared" si="129"/>
        <v>0.375</v>
      </c>
      <c r="S338" s="72">
        <f t="shared" si="130"/>
        <v>1.0662352941176472</v>
      </c>
      <c r="T338" s="72">
        <f t="shared" si="131"/>
        <v>1.0456670099111856</v>
      </c>
      <c r="U338" s="72">
        <f t="shared" si="132"/>
        <v>1.06</v>
      </c>
    </row>
    <row r="339" spans="1:21" x14ac:dyDescent="0.25">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0.85499999999999998</v>
      </c>
      <c r="P339" s="72">
        <f t="shared" si="127"/>
        <v>0</v>
      </c>
      <c r="Q339" s="72">
        <f t="shared" si="128"/>
        <v>0</v>
      </c>
      <c r="R339" s="72">
        <f t="shared" si="129"/>
        <v>0.29166666666666669</v>
      </c>
      <c r="S339" s="72">
        <f t="shared" si="130"/>
        <v>1.0662352941176472</v>
      </c>
      <c r="T339" s="72">
        <f t="shared" si="131"/>
        <v>1.0469154331316772</v>
      </c>
      <c r="U339" s="72">
        <f t="shared" si="132"/>
        <v>1.06</v>
      </c>
    </row>
    <row r="340" spans="1:21" x14ac:dyDescent="0.25">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0.85499999999999998</v>
      </c>
      <c r="P340" s="72">
        <f t="shared" si="127"/>
        <v>0</v>
      </c>
      <c r="Q340" s="72">
        <f t="shared" si="128"/>
        <v>0</v>
      </c>
      <c r="R340" s="72">
        <f t="shared" si="129"/>
        <v>0.20833333333333334</v>
      </c>
      <c r="S340" s="72">
        <f t="shared" si="130"/>
        <v>1.0662352941176472</v>
      </c>
      <c r="T340" s="72">
        <f t="shared" si="131"/>
        <v>1.0481638563521689</v>
      </c>
      <c r="U340" s="72">
        <f t="shared" si="132"/>
        <v>1.06</v>
      </c>
    </row>
    <row r="341" spans="1:21" x14ac:dyDescent="0.25">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0.85499999999999998</v>
      </c>
      <c r="P341" s="72">
        <f t="shared" si="127"/>
        <v>0</v>
      </c>
      <c r="Q341" s="72">
        <f t="shared" si="128"/>
        <v>0</v>
      </c>
      <c r="R341" s="72">
        <f t="shared" si="129"/>
        <v>0.125</v>
      </c>
      <c r="S341" s="72">
        <f t="shared" si="130"/>
        <v>1.0662352941176472</v>
      </c>
      <c r="T341" s="72">
        <f t="shared" si="131"/>
        <v>1.0494122795726606</v>
      </c>
      <c r="U341" s="72">
        <f t="shared" si="132"/>
        <v>1.06</v>
      </c>
    </row>
    <row r="342" spans="1:21" x14ac:dyDescent="0.25">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0.85499999999999998</v>
      </c>
      <c r="P342" s="72">
        <f t="shared" si="127"/>
        <v>0</v>
      </c>
      <c r="Q342" s="72">
        <f t="shared" si="128"/>
        <v>0</v>
      </c>
      <c r="R342" s="72">
        <f t="shared" si="129"/>
        <v>4.1666666666666664E-2</v>
      </c>
      <c r="S342" s="72">
        <f t="shared" si="130"/>
        <v>1.0662352941176472</v>
      </c>
      <c r="T342" s="72">
        <f t="shared" si="131"/>
        <v>1.0506607027931523</v>
      </c>
      <c r="U342" s="72">
        <f t="shared" si="132"/>
        <v>1.06</v>
      </c>
    </row>
    <row r="343" spans="1:21" x14ac:dyDescent="0.25">
      <c r="A343" s="77" t="s">
        <v>1209</v>
      </c>
      <c r="B343" s="50">
        <f>EXP(SUMPRODUCT((rl_key=$A$292)*(rl_cons="Y")*rl_ln1p))</f>
        <v>1.06</v>
      </c>
      <c r="C343" s="50">
        <f>SUMPRODUCT($H$295:$H$342,$P$295:$P$342,$U$295:$U$342)/SUMPRODUCT($H$295:$H$342,$P$295:$P$342)</f>
        <v>1.0133333333333334</v>
      </c>
      <c r="D343" s="50">
        <f>SUMPRODUCT($H$295:$H$342,$Q$295:$Q$342,$U$295:$U$342)/SUMPRODUCT($H$295:$H$342,$Q$295:$Q$342)</f>
        <v>1.0566666666666669</v>
      </c>
      <c r="E343" s="50">
        <f>SUMPRODUCT($H$295:$H$342,$R$295:$R$342,$U$295:$U$342)/SUMPRODUCT($H$295:$H$342,$R$295:$R$342)</f>
        <v>1.0600000000000003</v>
      </c>
      <c r="F343" s="169">
        <f>SUMPRODUCT($H$295:$H$342,$Q$295:$Q$342,$O$295:$O$342)/SUMPRODUCT($H$295:$H$342,$Q$295:$Q$342)</f>
        <v>0.84299370897155379</v>
      </c>
      <c r="G343" s="169">
        <f>SUMPRODUCT($H$295:$H$342,$R$295:$R$342,$O$295:$O$342)/SUMPRODUCT($H$295:$H$342,$R$295:$R$342)</f>
        <v>0.85298453455506928</v>
      </c>
    </row>
    <row r="346" spans="1:21" x14ac:dyDescent="0.25">
      <c r="A346" s="77" t="str">
        <f>INDEX(lr_key,6)</f>
        <v>BU-A|GA</v>
      </c>
      <c r="B346" s="77" t="str">
        <f>INDEX(lr_state,6)</f>
        <v>GA</v>
      </c>
      <c r="C346" s="52">
        <f>nr_TermMonths</f>
        <v>12</v>
      </c>
      <c r="D346" s="52">
        <f>IF(COUNTIF(se_state,$B346)=0,0,MATCH($B346,se_state,0))</f>
        <v>0</v>
      </c>
      <c r="E346" s="54">
        <f>IF($D346=0,0,INDEX(se_sum,$D346))</f>
        <v>0</v>
      </c>
      <c r="F346" s="169">
        <f>IF(N(INDEX(lr_mind,6))=0,1,INDEX(lr_mind,6))</f>
        <v>0.85</v>
      </c>
      <c r="G346" s="169">
        <f>IF(N(INDEX(lr_m0,6))=0,1,INDEX(lr_m0,6))</f>
        <v>0.84</v>
      </c>
      <c r="H346" s="51">
        <f>IF(N(INDEX(lr_m0asof,6))=0,DATE(nr_PlanYear-1,10,1),INDEX(lr_m0asof,6))</f>
        <v>46295</v>
      </c>
      <c r="I346" s="169">
        <f>IF(N(INDEX(lr_m1,6))=0,1,INDEX(lr_m1,6))</f>
        <v>0.83499999999999996</v>
      </c>
      <c r="J346" s="169">
        <f>INDEX(lr_mprior,6)</f>
        <v>0.83</v>
      </c>
      <c r="K346" s="169">
        <f>INDEX(lr_m2,6)</f>
        <v>0.84</v>
      </c>
      <c r="L346" s="77" t="b">
        <f>NOT(ISBLANK(INDEX(lr_netp,6)))</f>
        <v>0</v>
      </c>
      <c r="M346" s="49">
        <f>N(INDEX(lr_netp,6))</f>
        <v>0</v>
      </c>
      <c r="N346" s="49">
        <f>IF(ISBLANK(INDEX(lr_netp1,6)),$M$346,N(INDEX(lr_netp1,6)))</f>
        <v>0</v>
      </c>
      <c r="O346" s="52">
        <f>IF(AND(nr_ModAdjMaster="ON",INDEX(lr_modadj,6)="ON"),1,0)</f>
        <v>1</v>
      </c>
    </row>
    <row r="347" spans="1:21" x14ac:dyDescent="0.25">
      <c r="A347" s="77">
        <f>EDATE($H$346,-12)+1</f>
        <v>45931</v>
      </c>
      <c r="B347" s="77">
        <f>$H$346+1</f>
        <v>46296</v>
      </c>
      <c r="C347" s="77">
        <f>DATE(nr_PlanYear,12,31)+1</f>
        <v>46753</v>
      </c>
      <c r="D347" s="77">
        <f>DATE(nr_PlanYear+1,12,31)+1</f>
        <v>47119</v>
      </c>
      <c r="E347" s="77">
        <f>IF(N($J$346)=0,$F$347-($G$347-$F$347)/($C$347-$B$347)*($B$347-$A$347),$J$346)</f>
        <v>0.83</v>
      </c>
      <c r="F347" s="77">
        <f>$G$346</f>
        <v>0.84</v>
      </c>
      <c r="G347" s="77">
        <f>$I$346</f>
        <v>0.83499999999999996</v>
      </c>
      <c r="H347" s="77">
        <f>IF(N($K$346)=0,$I$346,$K$346)</f>
        <v>0.84</v>
      </c>
      <c r="I347" s="77">
        <f>($F$347-$E$347)/($B$347-$A$347)</f>
        <v>2.7397260273972627E-5</v>
      </c>
      <c r="J347" s="77">
        <f>($G$347-$F$347)/($C$347-$B$347)</f>
        <v>-1.0940919037199135E-5</v>
      </c>
      <c r="K347" s="77">
        <f>($H$347-$G$347)/($D$347-$C$347)</f>
        <v>1.3661202185792362E-5</v>
      </c>
    </row>
    <row r="348" spans="1:21" ht="24" x14ac:dyDescent="0.25">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25">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0.82294520547945205</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0.96817082997582593</v>
      </c>
      <c r="T349" s="72">
        <f t="shared" ref="T349:T396" si="151">IF($G349&lt;nr_MStartP,$S349,$T337*(1+IF($G349&lt;nr_MStartP1,$M$346,$N$346)))</f>
        <v>0.96817082997582593</v>
      </c>
      <c r="U349" s="72">
        <f t="shared" ref="U349:U396" si="152">IF($L$346,$T349,$N349)</f>
        <v>1</v>
      </c>
    </row>
    <row r="350" spans="1:21" x14ac:dyDescent="0.25">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0.82375342465753421</v>
      </c>
      <c r="P350" s="72">
        <f t="shared" si="147"/>
        <v>0.125</v>
      </c>
      <c r="Q350" s="72">
        <f t="shared" si="148"/>
        <v>0</v>
      </c>
      <c r="R350" s="72">
        <f t="shared" si="149"/>
        <v>0</v>
      </c>
      <c r="S350" s="72">
        <f t="shared" si="150"/>
        <v>0.96912167606768729</v>
      </c>
      <c r="T350" s="72">
        <f t="shared" si="151"/>
        <v>0.96912167606768729</v>
      </c>
      <c r="U350" s="72">
        <f t="shared" si="152"/>
        <v>1</v>
      </c>
    </row>
    <row r="351" spans="1:21" x14ac:dyDescent="0.25">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0.82456164383561636</v>
      </c>
      <c r="P351" s="72">
        <f t="shared" si="147"/>
        <v>0.20833333333333337</v>
      </c>
      <c r="Q351" s="72">
        <f t="shared" si="148"/>
        <v>0</v>
      </c>
      <c r="R351" s="72">
        <f t="shared" si="149"/>
        <v>0</v>
      </c>
      <c r="S351" s="72">
        <f t="shared" si="150"/>
        <v>0.97007252215954864</v>
      </c>
      <c r="T351" s="72">
        <f t="shared" si="151"/>
        <v>0.97007252215954864</v>
      </c>
      <c r="U351" s="72">
        <f t="shared" si="152"/>
        <v>1</v>
      </c>
    </row>
    <row r="352" spans="1:21" x14ac:dyDescent="0.25">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0.82539726027397253</v>
      </c>
      <c r="P352" s="72">
        <f t="shared" si="147"/>
        <v>0.29166666666666663</v>
      </c>
      <c r="Q352" s="72">
        <f t="shared" si="148"/>
        <v>0</v>
      </c>
      <c r="R352" s="72">
        <f t="shared" si="149"/>
        <v>0</v>
      </c>
      <c r="S352" s="72">
        <f t="shared" si="150"/>
        <v>0.97105560032232063</v>
      </c>
      <c r="T352" s="72">
        <f t="shared" si="151"/>
        <v>0.97105560032232063</v>
      </c>
      <c r="U352" s="72">
        <f t="shared" si="152"/>
        <v>1</v>
      </c>
    </row>
    <row r="353" spans="1:21" x14ac:dyDescent="0.25">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0.8262328767123287</v>
      </c>
      <c r="P353" s="72">
        <f t="shared" si="147"/>
        <v>0.375</v>
      </c>
      <c r="Q353" s="72">
        <f t="shared" si="148"/>
        <v>0</v>
      </c>
      <c r="R353" s="72">
        <f t="shared" si="149"/>
        <v>0</v>
      </c>
      <c r="S353" s="72">
        <f t="shared" si="150"/>
        <v>0.97203867848509262</v>
      </c>
      <c r="T353" s="72">
        <f t="shared" si="151"/>
        <v>0.97203867848509262</v>
      </c>
      <c r="U353" s="72">
        <f t="shared" si="152"/>
        <v>1</v>
      </c>
    </row>
    <row r="354" spans="1:21" x14ac:dyDescent="0.25">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0.82706849315068487</v>
      </c>
      <c r="P354" s="72">
        <f t="shared" si="147"/>
        <v>0.45833333333333337</v>
      </c>
      <c r="Q354" s="72">
        <f t="shared" si="148"/>
        <v>0</v>
      </c>
      <c r="R354" s="72">
        <f t="shared" si="149"/>
        <v>0</v>
      </c>
      <c r="S354" s="72">
        <f t="shared" si="150"/>
        <v>0.97302175664786461</v>
      </c>
      <c r="T354" s="72">
        <f t="shared" si="151"/>
        <v>0.97302175664786461</v>
      </c>
      <c r="U354" s="72">
        <f t="shared" si="152"/>
        <v>1</v>
      </c>
    </row>
    <row r="355" spans="1:21" x14ac:dyDescent="0.25">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0.82790410958904104</v>
      </c>
      <c r="P355" s="72">
        <f t="shared" si="147"/>
        <v>0.54166666666666674</v>
      </c>
      <c r="Q355" s="72">
        <f t="shared" si="148"/>
        <v>0</v>
      </c>
      <c r="R355" s="72">
        <f t="shared" si="149"/>
        <v>0</v>
      </c>
      <c r="S355" s="72">
        <f t="shared" si="150"/>
        <v>0.97400483481063649</v>
      </c>
      <c r="T355" s="72">
        <f t="shared" si="151"/>
        <v>0.97400483481063649</v>
      </c>
      <c r="U355" s="72">
        <f t="shared" si="152"/>
        <v>1</v>
      </c>
    </row>
    <row r="356" spans="1:21" x14ac:dyDescent="0.25">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0.82875342465753421</v>
      </c>
      <c r="P356" s="72">
        <f t="shared" si="147"/>
        <v>0.625</v>
      </c>
      <c r="Q356" s="72">
        <f t="shared" si="148"/>
        <v>0</v>
      </c>
      <c r="R356" s="72">
        <f t="shared" si="149"/>
        <v>0</v>
      </c>
      <c r="S356" s="72">
        <f t="shared" si="150"/>
        <v>0.97500402900886385</v>
      </c>
      <c r="T356" s="72">
        <f t="shared" si="151"/>
        <v>0.97500402900886385</v>
      </c>
      <c r="U356" s="72">
        <f t="shared" si="152"/>
        <v>1</v>
      </c>
    </row>
    <row r="357" spans="1:21" x14ac:dyDescent="0.25">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0.82958904109589038</v>
      </c>
      <c r="P357" s="72">
        <f t="shared" si="147"/>
        <v>0.70833333333333326</v>
      </c>
      <c r="Q357" s="72">
        <f t="shared" si="148"/>
        <v>0</v>
      </c>
      <c r="R357" s="72">
        <f t="shared" si="149"/>
        <v>0</v>
      </c>
      <c r="S357" s="72">
        <f t="shared" si="150"/>
        <v>0.97598710717163573</v>
      </c>
      <c r="T357" s="72">
        <f t="shared" si="151"/>
        <v>0.97598710717163573</v>
      </c>
      <c r="U357" s="72">
        <f t="shared" si="152"/>
        <v>1</v>
      </c>
    </row>
    <row r="358" spans="1:21" x14ac:dyDescent="0.25">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0.83042465753424655</v>
      </c>
      <c r="P358" s="72">
        <f t="shared" si="147"/>
        <v>0.79166666666666663</v>
      </c>
      <c r="Q358" s="72">
        <f t="shared" si="148"/>
        <v>0</v>
      </c>
      <c r="R358" s="72">
        <f t="shared" si="149"/>
        <v>0</v>
      </c>
      <c r="S358" s="72">
        <f t="shared" si="150"/>
        <v>0.97697018533440771</v>
      </c>
      <c r="T358" s="72">
        <f t="shared" si="151"/>
        <v>0.97697018533440771</v>
      </c>
      <c r="U358" s="72">
        <f t="shared" si="152"/>
        <v>1</v>
      </c>
    </row>
    <row r="359" spans="1:21" x14ac:dyDescent="0.25">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0.83126027397260271</v>
      </c>
      <c r="P359" s="72">
        <f t="shared" si="147"/>
        <v>0.875</v>
      </c>
      <c r="Q359" s="72">
        <f t="shared" si="148"/>
        <v>0</v>
      </c>
      <c r="R359" s="72">
        <f t="shared" si="149"/>
        <v>0</v>
      </c>
      <c r="S359" s="72">
        <f t="shared" si="150"/>
        <v>0.9779532634971797</v>
      </c>
      <c r="T359" s="72">
        <f t="shared" si="151"/>
        <v>0.9779532634971797</v>
      </c>
      <c r="U359" s="72">
        <f t="shared" si="152"/>
        <v>1</v>
      </c>
    </row>
    <row r="360" spans="1:21" x14ac:dyDescent="0.25">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0.83209589041095888</v>
      </c>
      <c r="P360" s="72">
        <f t="shared" si="147"/>
        <v>0.95833333333333337</v>
      </c>
      <c r="Q360" s="72">
        <f t="shared" si="148"/>
        <v>0</v>
      </c>
      <c r="R360" s="72">
        <f t="shared" si="149"/>
        <v>0</v>
      </c>
      <c r="S360" s="72">
        <f t="shared" si="150"/>
        <v>0.97893634165995169</v>
      </c>
      <c r="T360" s="72">
        <f t="shared" si="151"/>
        <v>0.97893634165995169</v>
      </c>
      <c r="U360" s="72">
        <f t="shared" si="152"/>
        <v>1</v>
      </c>
    </row>
    <row r="361" spans="1:21" x14ac:dyDescent="0.25">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0.83294520547945206</v>
      </c>
      <c r="P361" s="72">
        <f t="shared" si="147"/>
        <v>0.95833333333333337</v>
      </c>
      <c r="Q361" s="72">
        <f t="shared" si="148"/>
        <v>4.166666666666663E-2</v>
      </c>
      <c r="R361" s="72">
        <f t="shared" si="149"/>
        <v>0</v>
      </c>
      <c r="S361" s="72">
        <f t="shared" si="150"/>
        <v>0.97993553585817894</v>
      </c>
      <c r="T361" s="72">
        <f t="shared" si="151"/>
        <v>0.97993553585817894</v>
      </c>
      <c r="U361" s="72">
        <f t="shared" si="152"/>
        <v>1</v>
      </c>
    </row>
    <row r="362" spans="1:21" x14ac:dyDescent="0.25">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0.83375342465753421</v>
      </c>
      <c r="P362" s="72">
        <f t="shared" si="147"/>
        <v>0.875</v>
      </c>
      <c r="Q362" s="72">
        <f t="shared" si="148"/>
        <v>0.125</v>
      </c>
      <c r="R362" s="72">
        <f t="shared" si="149"/>
        <v>0</v>
      </c>
      <c r="S362" s="72">
        <f t="shared" si="150"/>
        <v>0.9808863819500403</v>
      </c>
      <c r="T362" s="72">
        <f t="shared" si="151"/>
        <v>0.9808863819500403</v>
      </c>
      <c r="U362" s="72">
        <f t="shared" si="152"/>
        <v>1</v>
      </c>
    </row>
    <row r="363" spans="1:21" x14ac:dyDescent="0.25">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0.83456164383561637</v>
      </c>
      <c r="P363" s="72">
        <f t="shared" si="147"/>
        <v>0.79166666666666663</v>
      </c>
      <c r="Q363" s="72">
        <f t="shared" si="148"/>
        <v>0.20833333333333337</v>
      </c>
      <c r="R363" s="72">
        <f t="shared" si="149"/>
        <v>0</v>
      </c>
      <c r="S363" s="72">
        <f t="shared" si="150"/>
        <v>0.98183722804190166</v>
      </c>
      <c r="T363" s="72">
        <f t="shared" si="151"/>
        <v>0.98183722804190166</v>
      </c>
      <c r="U363" s="72">
        <f t="shared" si="152"/>
        <v>1</v>
      </c>
    </row>
    <row r="364" spans="1:21" x14ac:dyDescent="0.25">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0.83539726027397254</v>
      </c>
      <c r="P364" s="72">
        <f t="shared" si="147"/>
        <v>0.70833333333333337</v>
      </c>
      <c r="Q364" s="72">
        <f t="shared" si="148"/>
        <v>0.29166666666666663</v>
      </c>
      <c r="R364" s="72">
        <f t="shared" si="149"/>
        <v>0</v>
      </c>
      <c r="S364" s="72">
        <f t="shared" si="150"/>
        <v>0.98282030620467364</v>
      </c>
      <c r="T364" s="72">
        <f t="shared" si="151"/>
        <v>0.98282030620467364</v>
      </c>
      <c r="U364" s="72">
        <f t="shared" si="152"/>
        <v>1</v>
      </c>
    </row>
    <row r="365" spans="1:21" x14ac:dyDescent="0.25">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0.83623287671232871</v>
      </c>
      <c r="P365" s="72">
        <f t="shared" si="147"/>
        <v>0.625</v>
      </c>
      <c r="Q365" s="72">
        <f t="shared" si="148"/>
        <v>0.375</v>
      </c>
      <c r="R365" s="72">
        <f t="shared" si="149"/>
        <v>0</v>
      </c>
      <c r="S365" s="72">
        <f t="shared" si="150"/>
        <v>0.98380338436744552</v>
      </c>
      <c r="T365" s="72">
        <f t="shared" si="151"/>
        <v>0.98380338436744552</v>
      </c>
      <c r="U365" s="72">
        <f t="shared" si="152"/>
        <v>1</v>
      </c>
    </row>
    <row r="366" spans="1:21" x14ac:dyDescent="0.25">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0.83706849315068488</v>
      </c>
      <c r="P366" s="72">
        <f t="shared" si="147"/>
        <v>0.54166666666666663</v>
      </c>
      <c r="Q366" s="72">
        <f t="shared" si="148"/>
        <v>0.45833333333333337</v>
      </c>
      <c r="R366" s="72">
        <f t="shared" si="149"/>
        <v>0</v>
      </c>
      <c r="S366" s="72">
        <f t="shared" si="150"/>
        <v>1.0291018533440772</v>
      </c>
      <c r="T366" s="72">
        <f t="shared" si="151"/>
        <v>1.0291018533440772</v>
      </c>
      <c r="U366" s="72">
        <f t="shared" si="152"/>
        <v>1.0449999999999999</v>
      </c>
    </row>
    <row r="367" spans="1:21" x14ac:dyDescent="0.25">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0.83790410958904105</v>
      </c>
      <c r="P367" s="72">
        <f t="shared" si="147"/>
        <v>0.45833333333333331</v>
      </c>
      <c r="Q367" s="72">
        <f t="shared" si="148"/>
        <v>0.54166666666666674</v>
      </c>
      <c r="R367" s="72">
        <f t="shared" si="149"/>
        <v>0</v>
      </c>
      <c r="S367" s="72">
        <f t="shared" si="150"/>
        <v>1.0301291700241739</v>
      </c>
      <c r="T367" s="72">
        <f t="shared" si="151"/>
        <v>1.0301291700241739</v>
      </c>
      <c r="U367" s="72">
        <f t="shared" si="152"/>
        <v>1.0449999999999999</v>
      </c>
    </row>
    <row r="368" spans="1:21" x14ac:dyDescent="0.25">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0.83875342465753422</v>
      </c>
      <c r="P368" s="72">
        <f t="shared" si="147"/>
        <v>0.375</v>
      </c>
      <c r="Q368" s="72">
        <f t="shared" si="148"/>
        <v>0.625</v>
      </c>
      <c r="R368" s="72">
        <f t="shared" si="149"/>
        <v>0</v>
      </c>
      <c r="S368" s="72">
        <f t="shared" si="150"/>
        <v>1.0311733279613213</v>
      </c>
      <c r="T368" s="72">
        <f t="shared" si="151"/>
        <v>1.0311733279613213</v>
      </c>
      <c r="U368" s="72">
        <f t="shared" si="152"/>
        <v>1.0449999999999999</v>
      </c>
    </row>
    <row r="369" spans="1:21" x14ac:dyDescent="0.25">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0.83958904109589039</v>
      </c>
      <c r="P369" s="72">
        <f t="shared" si="147"/>
        <v>0.29166666666666669</v>
      </c>
      <c r="Q369" s="72">
        <f t="shared" si="148"/>
        <v>0.70833333333333326</v>
      </c>
      <c r="R369" s="72">
        <f t="shared" si="149"/>
        <v>0</v>
      </c>
      <c r="S369" s="72">
        <f t="shared" si="150"/>
        <v>1.0322006446414183</v>
      </c>
      <c r="T369" s="72">
        <f t="shared" si="151"/>
        <v>1.0322006446414183</v>
      </c>
      <c r="U369" s="72">
        <f t="shared" si="152"/>
        <v>1.0449999999999999</v>
      </c>
    </row>
    <row r="370" spans="1:21" x14ac:dyDescent="0.25">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0.83983041575492334</v>
      </c>
      <c r="P370" s="72">
        <f t="shared" si="147"/>
        <v>0.20833333333333334</v>
      </c>
      <c r="Q370" s="72">
        <f t="shared" si="148"/>
        <v>0.79166666666666663</v>
      </c>
      <c r="R370" s="72">
        <f t="shared" si="149"/>
        <v>0</v>
      </c>
      <c r="S370" s="72">
        <f t="shared" si="150"/>
        <v>1.032497393486935</v>
      </c>
      <c r="T370" s="72">
        <f t="shared" si="151"/>
        <v>1.032497393486935</v>
      </c>
      <c r="U370" s="72">
        <f t="shared" si="152"/>
        <v>1.0449999999999999</v>
      </c>
    </row>
    <row r="371" spans="1:21" x14ac:dyDescent="0.25">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0.8394967177242888</v>
      </c>
      <c r="P371" s="72">
        <f t="shared" si="147"/>
        <v>0.125</v>
      </c>
      <c r="Q371" s="72">
        <f t="shared" si="148"/>
        <v>0.875</v>
      </c>
      <c r="R371" s="72">
        <f t="shared" si="149"/>
        <v>0</v>
      </c>
      <c r="S371" s="72">
        <f t="shared" si="150"/>
        <v>1.0320871412022137</v>
      </c>
      <c r="T371" s="72">
        <f t="shared" si="151"/>
        <v>1.0320871412022137</v>
      </c>
      <c r="U371" s="72">
        <f t="shared" si="152"/>
        <v>1.0449999999999999</v>
      </c>
    </row>
    <row r="372" spans="1:21" x14ac:dyDescent="0.25">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0.83916301969365426</v>
      </c>
      <c r="P372" s="72">
        <f t="shared" si="147"/>
        <v>4.1666666666666664E-2</v>
      </c>
      <c r="Q372" s="72">
        <f t="shared" si="148"/>
        <v>0.95833333333333337</v>
      </c>
      <c r="R372" s="72">
        <f t="shared" si="149"/>
        <v>0</v>
      </c>
      <c r="S372" s="72">
        <f t="shared" si="150"/>
        <v>1.0316768889174925</v>
      </c>
      <c r="T372" s="72">
        <f t="shared" si="151"/>
        <v>1.0316768889174925</v>
      </c>
      <c r="U372" s="72">
        <f t="shared" si="152"/>
        <v>1.0449999999999999</v>
      </c>
    </row>
    <row r="373" spans="1:21" x14ac:dyDescent="0.25">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0.83882385120350111</v>
      </c>
      <c r="P373" s="72">
        <f t="shared" si="147"/>
        <v>0</v>
      </c>
      <c r="Q373" s="72">
        <f t="shared" si="148"/>
        <v>0.95833333333333337</v>
      </c>
      <c r="R373" s="72">
        <f t="shared" si="149"/>
        <v>4.166666666666663E-2</v>
      </c>
      <c r="S373" s="72">
        <f t="shared" si="150"/>
        <v>1.0312599111854808</v>
      </c>
      <c r="T373" s="72">
        <f t="shared" si="151"/>
        <v>0.97993553585817894</v>
      </c>
      <c r="U373" s="72">
        <f t="shared" si="152"/>
        <v>1.0449999999999999</v>
      </c>
    </row>
    <row r="374" spans="1:21" x14ac:dyDescent="0.25">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0.83850109409190365</v>
      </c>
      <c r="P374" s="72">
        <f t="shared" si="147"/>
        <v>0</v>
      </c>
      <c r="Q374" s="72">
        <f t="shared" si="148"/>
        <v>0.875</v>
      </c>
      <c r="R374" s="72">
        <f t="shared" si="149"/>
        <v>0.125</v>
      </c>
      <c r="S374" s="72">
        <f t="shared" si="150"/>
        <v>1.0308631097953402</v>
      </c>
      <c r="T374" s="72">
        <f t="shared" si="151"/>
        <v>0.9808863819500403</v>
      </c>
      <c r="U374" s="72">
        <f t="shared" si="152"/>
        <v>1.0449999999999999</v>
      </c>
    </row>
    <row r="375" spans="1:21" x14ac:dyDescent="0.25">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0.8381783369803063</v>
      </c>
      <c r="P375" s="72">
        <f t="shared" si="147"/>
        <v>0</v>
      </c>
      <c r="Q375" s="72">
        <f t="shared" si="148"/>
        <v>0.79166666666666663</v>
      </c>
      <c r="R375" s="72">
        <f t="shared" si="149"/>
        <v>0.20833333333333337</v>
      </c>
      <c r="S375" s="72">
        <f t="shared" si="150"/>
        <v>1.0304663084052001</v>
      </c>
      <c r="T375" s="72">
        <f t="shared" si="151"/>
        <v>0.98183722804190166</v>
      </c>
      <c r="U375" s="72">
        <f t="shared" si="152"/>
        <v>1.0449999999999999</v>
      </c>
    </row>
    <row r="376" spans="1:21" x14ac:dyDescent="0.25">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0.83784463894967176</v>
      </c>
      <c r="P376" s="72">
        <f t="shared" si="147"/>
        <v>0</v>
      </c>
      <c r="Q376" s="72">
        <f t="shared" si="148"/>
        <v>0.70833333333333337</v>
      </c>
      <c r="R376" s="72">
        <f t="shared" si="149"/>
        <v>0.29166666666666663</v>
      </c>
      <c r="S376" s="72">
        <f t="shared" si="150"/>
        <v>1.0300560561204788</v>
      </c>
      <c r="T376" s="72">
        <f t="shared" si="151"/>
        <v>0.98282030620467364</v>
      </c>
      <c r="U376" s="72">
        <f t="shared" si="152"/>
        <v>1.0449999999999999</v>
      </c>
    </row>
    <row r="377" spans="1:21" x14ac:dyDescent="0.25">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0.83751094091903722</v>
      </c>
      <c r="P377" s="72">
        <f t="shared" si="147"/>
        <v>0</v>
      </c>
      <c r="Q377" s="72">
        <f t="shared" si="148"/>
        <v>0.625</v>
      </c>
      <c r="R377" s="72">
        <f t="shared" si="149"/>
        <v>0.375</v>
      </c>
      <c r="S377" s="72">
        <f t="shared" si="150"/>
        <v>1.0296458038357574</v>
      </c>
      <c r="T377" s="72">
        <f t="shared" si="151"/>
        <v>0.98380338436744552</v>
      </c>
      <c r="U377" s="72">
        <f t="shared" si="152"/>
        <v>1.0449999999999999</v>
      </c>
    </row>
    <row r="378" spans="1:21" x14ac:dyDescent="0.25">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0.83717724288840256</v>
      </c>
      <c r="P378" s="72">
        <f t="shared" si="147"/>
        <v>0</v>
      </c>
      <c r="Q378" s="72">
        <f t="shared" si="148"/>
        <v>0.54166666666666663</v>
      </c>
      <c r="R378" s="72">
        <f t="shared" si="149"/>
        <v>0.45833333333333337</v>
      </c>
      <c r="S378" s="72">
        <f t="shared" si="150"/>
        <v>1.0704049736130774</v>
      </c>
      <c r="T378" s="72">
        <f t="shared" si="151"/>
        <v>1.0291018533440772</v>
      </c>
      <c r="U378" s="72">
        <f t="shared" si="152"/>
        <v>1.0868</v>
      </c>
    </row>
    <row r="379" spans="1:21" x14ac:dyDescent="0.25">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0.83684354485776802</v>
      </c>
      <c r="P379" s="72">
        <f t="shared" si="147"/>
        <v>0</v>
      </c>
      <c r="Q379" s="72">
        <f t="shared" si="148"/>
        <v>0.45833333333333331</v>
      </c>
      <c r="R379" s="72">
        <f t="shared" si="149"/>
        <v>0.54166666666666674</v>
      </c>
      <c r="S379" s="72">
        <f t="shared" si="150"/>
        <v>1.0699783112369674</v>
      </c>
      <c r="T379" s="72">
        <f t="shared" si="151"/>
        <v>1.0301291700241739</v>
      </c>
      <c r="U379" s="72">
        <f t="shared" si="152"/>
        <v>1.0868</v>
      </c>
    </row>
    <row r="380" spans="1:21" x14ac:dyDescent="0.25">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0.83650437636761488</v>
      </c>
      <c r="P380" s="72">
        <f t="shared" si="147"/>
        <v>0</v>
      </c>
      <c r="Q380" s="72">
        <f t="shared" si="148"/>
        <v>0.375</v>
      </c>
      <c r="R380" s="72">
        <f t="shared" si="149"/>
        <v>0.625</v>
      </c>
      <c r="S380" s="72">
        <f t="shared" si="150"/>
        <v>1.069544654395675</v>
      </c>
      <c r="T380" s="72">
        <f t="shared" si="151"/>
        <v>1.0311733279613213</v>
      </c>
      <c r="U380" s="72">
        <f t="shared" si="152"/>
        <v>1.0868</v>
      </c>
    </row>
    <row r="381" spans="1:21" x14ac:dyDescent="0.25">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0.83617067833698022</v>
      </c>
      <c r="P381" s="72">
        <f t="shared" si="147"/>
        <v>0</v>
      </c>
      <c r="Q381" s="72">
        <f t="shared" si="148"/>
        <v>0.29166666666666669</v>
      </c>
      <c r="R381" s="72">
        <f t="shared" si="149"/>
        <v>0.70833333333333326</v>
      </c>
      <c r="S381" s="72">
        <f t="shared" si="150"/>
        <v>1.0691179920195648</v>
      </c>
      <c r="T381" s="72">
        <f t="shared" si="151"/>
        <v>1.0322006446414183</v>
      </c>
      <c r="U381" s="72">
        <f t="shared" si="152"/>
        <v>1.0868</v>
      </c>
    </row>
    <row r="382" spans="1:21" x14ac:dyDescent="0.25">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0.83583698030634568</v>
      </c>
      <c r="P382" s="72">
        <f t="shared" si="147"/>
        <v>0</v>
      </c>
      <c r="Q382" s="72">
        <f t="shared" si="148"/>
        <v>0.20833333333333334</v>
      </c>
      <c r="R382" s="72">
        <f t="shared" si="149"/>
        <v>0.79166666666666663</v>
      </c>
      <c r="S382" s="72">
        <f t="shared" si="150"/>
        <v>1.0686913296434548</v>
      </c>
      <c r="T382" s="72">
        <f t="shared" si="151"/>
        <v>1.032497393486935</v>
      </c>
      <c r="U382" s="72">
        <f t="shared" si="152"/>
        <v>1.0868</v>
      </c>
    </row>
    <row r="383" spans="1:21" x14ac:dyDescent="0.25">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0.83550328227571113</v>
      </c>
      <c r="P383" s="72">
        <f t="shared" si="147"/>
        <v>0</v>
      </c>
      <c r="Q383" s="72">
        <f t="shared" si="148"/>
        <v>0.125</v>
      </c>
      <c r="R383" s="72">
        <f t="shared" si="149"/>
        <v>0.875</v>
      </c>
      <c r="S383" s="72">
        <f t="shared" si="150"/>
        <v>1.0682646672673446</v>
      </c>
      <c r="T383" s="72">
        <f t="shared" si="151"/>
        <v>1.0320871412022137</v>
      </c>
      <c r="U383" s="72">
        <f t="shared" si="152"/>
        <v>1.0868</v>
      </c>
    </row>
    <row r="384" spans="1:21" x14ac:dyDescent="0.25">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0.83516958424507659</v>
      </c>
      <c r="P384" s="72">
        <f t="shared" si="147"/>
        <v>0</v>
      </c>
      <c r="Q384" s="72">
        <f t="shared" si="148"/>
        <v>4.1666666666666664E-2</v>
      </c>
      <c r="R384" s="72">
        <f t="shared" si="149"/>
        <v>0.95833333333333337</v>
      </c>
      <c r="S384" s="72">
        <f t="shared" si="150"/>
        <v>1.0678380048912344</v>
      </c>
      <c r="T384" s="72">
        <f t="shared" si="151"/>
        <v>1.0316768889174925</v>
      </c>
      <c r="U384" s="72">
        <f t="shared" si="152"/>
        <v>1.0868</v>
      </c>
    </row>
    <row r="385" spans="1:21" x14ac:dyDescent="0.25">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0.8352117486338797</v>
      </c>
      <c r="P385" s="72">
        <f t="shared" si="147"/>
        <v>0</v>
      </c>
      <c r="Q385" s="72">
        <f t="shared" si="148"/>
        <v>0</v>
      </c>
      <c r="R385" s="72">
        <f t="shared" si="149"/>
        <v>0.95833333333333337</v>
      </c>
      <c r="S385" s="72">
        <f t="shared" si="150"/>
        <v>1.0678919157827065</v>
      </c>
      <c r="T385" s="72">
        <f t="shared" si="151"/>
        <v>0.97993553585817894</v>
      </c>
      <c r="U385" s="72">
        <f t="shared" si="152"/>
        <v>1.0868</v>
      </c>
    </row>
    <row r="386" spans="1:21" x14ac:dyDescent="0.25">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0.83562158469945347</v>
      </c>
      <c r="P386" s="72">
        <f t="shared" si="147"/>
        <v>0</v>
      </c>
      <c r="Q386" s="72">
        <f t="shared" si="148"/>
        <v>0</v>
      </c>
      <c r="R386" s="72">
        <f t="shared" si="149"/>
        <v>0.875</v>
      </c>
      <c r="S386" s="72">
        <f t="shared" si="150"/>
        <v>1.0684159273545484</v>
      </c>
      <c r="T386" s="72">
        <f t="shared" si="151"/>
        <v>0.9808863819500403</v>
      </c>
      <c r="U386" s="72">
        <f t="shared" si="152"/>
        <v>1.0868</v>
      </c>
    </row>
    <row r="387" spans="1:21" x14ac:dyDescent="0.25">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0.83603142076502723</v>
      </c>
      <c r="P387" s="72">
        <f t="shared" si="147"/>
        <v>0</v>
      </c>
      <c r="Q387" s="72">
        <f t="shared" si="148"/>
        <v>0</v>
      </c>
      <c r="R387" s="72">
        <f t="shared" si="149"/>
        <v>0.79166666666666663</v>
      </c>
      <c r="S387" s="72">
        <f t="shared" si="150"/>
        <v>1.0689399389263901</v>
      </c>
      <c r="T387" s="72">
        <f t="shared" si="151"/>
        <v>0.98183722804190166</v>
      </c>
      <c r="U387" s="72">
        <f t="shared" si="152"/>
        <v>1.0868</v>
      </c>
    </row>
    <row r="388" spans="1:21" x14ac:dyDescent="0.25">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0.83644808743169397</v>
      </c>
      <c r="P388" s="72">
        <f t="shared" si="147"/>
        <v>0</v>
      </c>
      <c r="Q388" s="72">
        <f t="shared" si="148"/>
        <v>0</v>
      </c>
      <c r="R388" s="72">
        <f t="shared" si="149"/>
        <v>0.70833333333333337</v>
      </c>
      <c r="S388" s="72">
        <f t="shared" si="150"/>
        <v>1.0694726840244293</v>
      </c>
      <c r="T388" s="72">
        <f t="shared" si="151"/>
        <v>0.98282030620467364</v>
      </c>
      <c r="U388" s="72">
        <f t="shared" si="152"/>
        <v>1.0868</v>
      </c>
    </row>
    <row r="389" spans="1:21" x14ac:dyDescent="0.25">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0.83686475409836059</v>
      </c>
      <c r="P389" s="72">
        <f t="shared" si="147"/>
        <v>0</v>
      </c>
      <c r="Q389" s="72">
        <f t="shared" si="148"/>
        <v>0</v>
      </c>
      <c r="R389" s="72">
        <f t="shared" si="149"/>
        <v>0.625</v>
      </c>
      <c r="S389" s="72">
        <f t="shared" si="150"/>
        <v>1.0700054291224685</v>
      </c>
      <c r="T389" s="72">
        <f t="shared" si="151"/>
        <v>0.98380338436744552</v>
      </c>
      <c r="U389" s="72">
        <f t="shared" si="152"/>
        <v>1.0868</v>
      </c>
    </row>
    <row r="390" spans="1:21" x14ac:dyDescent="0.25">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0.83728142076502732</v>
      </c>
      <c r="P390" s="72">
        <f t="shared" si="147"/>
        <v>0</v>
      </c>
      <c r="Q390" s="72">
        <f t="shared" si="148"/>
        <v>0</v>
      </c>
      <c r="R390" s="72">
        <f t="shared" si="149"/>
        <v>0.54166666666666663</v>
      </c>
      <c r="S390" s="72">
        <f t="shared" si="150"/>
        <v>1.0705381742205078</v>
      </c>
      <c r="T390" s="72">
        <f t="shared" si="151"/>
        <v>1.0291018533440772</v>
      </c>
      <c r="U390" s="72">
        <f t="shared" si="152"/>
        <v>1.0868</v>
      </c>
    </row>
    <row r="391" spans="1:21" x14ac:dyDescent="0.25">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0.83769808743169394</v>
      </c>
      <c r="P391" s="72">
        <f t="shared" si="147"/>
        <v>0</v>
      </c>
      <c r="Q391" s="72">
        <f t="shared" si="148"/>
        <v>0</v>
      </c>
      <c r="R391" s="72">
        <f t="shared" si="149"/>
        <v>0.45833333333333331</v>
      </c>
      <c r="S391" s="72">
        <f t="shared" si="150"/>
        <v>1.071070919318547</v>
      </c>
      <c r="T391" s="72">
        <f t="shared" si="151"/>
        <v>1.0301291700241739</v>
      </c>
      <c r="U391" s="72">
        <f t="shared" si="152"/>
        <v>1.0868</v>
      </c>
    </row>
    <row r="392" spans="1:21" x14ac:dyDescent="0.25">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0.83812158469945353</v>
      </c>
      <c r="P392" s="72">
        <f t="shared" si="147"/>
        <v>0</v>
      </c>
      <c r="Q392" s="72">
        <f t="shared" si="148"/>
        <v>0</v>
      </c>
      <c r="R392" s="72">
        <f t="shared" si="149"/>
        <v>0.375</v>
      </c>
      <c r="S392" s="72">
        <f t="shared" si="150"/>
        <v>1.0716123979427836</v>
      </c>
      <c r="T392" s="72">
        <f t="shared" si="151"/>
        <v>1.0311733279613213</v>
      </c>
      <c r="U392" s="72">
        <f t="shared" si="152"/>
        <v>1.0868</v>
      </c>
    </row>
    <row r="393" spans="1:21" x14ac:dyDescent="0.25">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0.83853825136612015</v>
      </c>
      <c r="P393" s="72">
        <f t="shared" si="147"/>
        <v>0</v>
      </c>
      <c r="Q393" s="72">
        <f t="shared" si="148"/>
        <v>0</v>
      </c>
      <c r="R393" s="72">
        <f t="shared" si="149"/>
        <v>0.29166666666666669</v>
      </c>
      <c r="S393" s="72">
        <f t="shared" si="150"/>
        <v>1.0721451430408229</v>
      </c>
      <c r="T393" s="72">
        <f t="shared" si="151"/>
        <v>1.0322006446414183</v>
      </c>
      <c r="U393" s="72">
        <f t="shared" si="152"/>
        <v>1.0868</v>
      </c>
    </row>
    <row r="394" spans="1:21" x14ac:dyDescent="0.25">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0.83895491803278688</v>
      </c>
      <c r="P394" s="72">
        <f t="shared" si="147"/>
        <v>0</v>
      </c>
      <c r="Q394" s="72">
        <f t="shared" si="148"/>
        <v>0</v>
      </c>
      <c r="R394" s="72">
        <f t="shared" si="149"/>
        <v>0.20833333333333334</v>
      </c>
      <c r="S394" s="72">
        <f t="shared" si="150"/>
        <v>1.0726778881388621</v>
      </c>
      <c r="T394" s="72">
        <f t="shared" si="151"/>
        <v>1.032497393486935</v>
      </c>
      <c r="U394" s="72">
        <f t="shared" si="152"/>
        <v>1.0868</v>
      </c>
    </row>
    <row r="395" spans="1:21" x14ac:dyDescent="0.25">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0.8393715846994535</v>
      </c>
      <c r="P395" s="72">
        <f t="shared" si="147"/>
        <v>0</v>
      </c>
      <c r="Q395" s="72">
        <f t="shared" si="148"/>
        <v>0</v>
      </c>
      <c r="R395" s="72">
        <f t="shared" si="149"/>
        <v>0.125</v>
      </c>
      <c r="S395" s="72">
        <f t="shared" si="150"/>
        <v>1.0732106332369011</v>
      </c>
      <c r="T395" s="72">
        <f t="shared" si="151"/>
        <v>1.0320871412022137</v>
      </c>
      <c r="U395" s="72">
        <f t="shared" si="152"/>
        <v>1.0868</v>
      </c>
    </row>
    <row r="396" spans="1:21" x14ac:dyDescent="0.25">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0.83978825136612023</v>
      </c>
      <c r="P396" s="72">
        <f t="shared" si="147"/>
        <v>0</v>
      </c>
      <c r="Q396" s="72">
        <f t="shared" si="148"/>
        <v>0</v>
      </c>
      <c r="R396" s="72">
        <f t="shared" si="149"/>
        <v>4.1666666666666664E-2</v>
      </c>
      <c r="S396" s="72">
        <f t="shared" si="150"/>
        <v>1.0737433783349406</v>
      </c>
      <c r="T396" s="72">
        <f t="shared" si="151"/>
        <v>1.0316768889174925</v>
      </c>
      <c r="U396" s="72">
        <f t="shared" si="152"/>
        <v>1.0868</v>
      </c>
    </row>
    <row r="397" spans="1:21" x14ac:dyDescent="0.25">
      <c r="A397" s="77" t="s">
        <v>1209</v>
      </c>
      <c r="B397" s="50">
        <f>EXP(SUMPRODUCT((rl_key=$A$346)*(rl_cons="Y")*rl_ln1p))</f>
        <v>1.0449999999999999</v>
      </c>
      <c r="C397" s="50">
        <f>SUMPRODUCT($H$349:$H$396,$P$349:$P$396,$U$349:$U$396)/SUMPRODUCT($H$349:$H$396,$P$349:$P$396)</f>
        <v>1.0076562499999999</v>
      </c>
      <c r="D397" s="50">
        <f>SUMPRODUCT($H$349:$H$396,$Q$349:$Q$396,$U$349:$U$396)/SUMPRODUCT($H$349:$H$396,$Q$349:$Q$396)</f>
        <v>1.0482055555555554</v>
      </c>
      <c r="E397" s="50">
        <f>SUMPRODUCT($H$349:$H$396,$R$349:$R$396,$U$349:$U$396)/SUMPRODUCT($H$349:$H$396,$R$349:$R$396)</f>
        <v>1.0831715277777778</v>
      </c>
      <c r="F397" s="169">
        <f>SUMPRODUCT($H$349:$H$396,$Q$349:$Q$396,$O$349:$O$396)/SUMPRODUCT($H$349:$H$396,$Q$349:$Q$396)</f>
        <v>0.83800949758575383</v>
      </c>
      <c r="G397" s="169">
        <f>SUMPRODUCT($H$349:$H$396,$R$349:$R$396,$O$349:$O$396)/SUMPRODUCT($H$349:$H$396,$R$349:$R$396)</f>
        <v>0.83650510771358044</v>
      </c>
    </row>
    <row r="400" spans="1:21" x14ac:dyDescent="0.25">
      <c r="A400" s="77" t="str">
        <f>INDEX(lr_key,7)</f>
        <v>BU-A|IL</v>
      </c>
      <c r="B400" s="77" t="str">
        <f>INDEX(lr_state,7)</f>
        <v>IL</v>
      </c>
      <c r="C400" s="52">
        <f>nr_TermMonths</f>
        <v>12</v>
      </c>
      <c r="D400" s="52">
        <f>IF(COUNTIF(se_state,$B400)=0,0,MATCH($B400,se_state,0))</f>
        <v>1</v>
      </c>
      <c r="E400" s="54">
        <f>IF($D400=0,0,INDEX(se_sum,$D400))</f>
        <v>11.999999999999998</v>
      </c>
      <c r="F400" s="169">
        <f>IF(N(INDEX(lr_mind,7))=0,1,INDEX(lr_mind,7))</f>
        <v>0.85</v>
      </c>
      <c r="G400" s="169">
        <f>IF(N(INDEX(lr_m0,7))=0,1,INDEX(lr_m0,7))</f>
        <v>0.84</v>
      </c>
      <c r="H400" s="51">
        <f>IF(N(INDEX(lr_m0asof,7))=0,DATE(nr_PlanYear-1,10,1),INDEX(lr_m0asof,7))</f>
        <v>46295</v>
      </c>
      <c r="I400" s="169">
        <f>IF(N(INDEX(lr_m1,7))=0,1,INDEX(lr_m1,7))</f>
        <v>0.85</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25">
      <c r="A401" s="77">
        <f>EDATE($H$400,-12)+1</f>
        <v>45931</v>
      </c>
      <c r="B401" s="77">
        <f>$H$400+1</f>
        <v>46296</v>
      </c>
      <c r="C401" s="77">
        <f>DATE(nr_PlanYear,12,31)+1</f>
        <v>46753</v>
      </c>
      <c r="D401" s="77">
        <f>DATE(nr_PlanYear+1,12,31)+1</f>
        <v>47119</v>
      </c>
      <c r="E401" s="77">
        <f>IF(N($J$400)=0,$F$401-($G$401-$F$401)/($C$401-$B$401)*($B$401-$A$401),$J$400)</f>
        <v>0.83201312910284464</v>
      </c>
      <c r="F401" s="77">
        <f>$G$400</f>
        <v>0.84</v>
      </c>
      <c r="G401" s="77">
        <f>$I$400</f>
        <v>0.85</v>
      </c>
      <c r="H401" s="77">
        <f>IF(N($K$400)=0,$I$400,$K$400)</f>
        <v>0.85</v>
      </c>
      <c r="I401" s="77">
        <f>($F$401-$E$401)/($B$401-$A$401)</f>
        <v>2.1881838074398162E-5</v>
      </c>
      <c r="J401" s="77">
        <f>($G$401-$F$401)/($C$401-$B$401)</f>
        <v>2.188183807439827E-5</v>
      </c>
      <c r="K401" s="77">
        <f>($H$401-$G$401)/($D$401-$C$401)</f>
        <v>0</v>
      </c>
    </row>
    <row r="402" spans="1:21" ht="24" x14ac:dyDescent="0.25">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25">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0.82637855579868713</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0.97221006564551427</v>
      </c>
      <c r="T403" s="72">
        <f t="shared" ref="T403:T450" si="171">IF($G403&lt;nr_MStartP,$S403,$T391*(1+IF($G403&lt;nr_MStartP1,$M$400,$N$400)))</f>
        <v>0.97221006564551427</v>
      </c>
      <c r="U403" s="72">
        <f t="shared" ref="U403:U450" si="172">IF($L$400,$T403,$N403)</f>
        <v>1</v>
      </c>
    </row>
    <row r="404" spans="1:21" x14ac:dyDescent="0.25">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0.82702407002188183</v>
      </c>
      <c r="P404" s="72">
        <f t="shared" si="167"/>
        <v>0.125</v>
      </c>
      <c r="Q404" s="72">
        <f t="shared" si="168"/>
        <v>0</v>
      </c>
      <c r="R404" s="72">
        <f t="shared" si="169"/>
        <v>0</v>
      </c>
      <c r="S404" s="72">
        <f t="shared" si="170"/>
        <v>0.9729694941433904</v>
      </c>
      <c r="T404" s="72">
        <f t="shared" si="171"/>
        <v>0.9729694941433904</v>
      </c>
      <c r="U404" s="72">
        <f t="shared" si="172"/>
        <v>1</v>
      </c>
    </row>
    <row r="405" spans="1:21" x14ac:dyDescent="0.25">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0.82766958424507664</v>
      </c>
      <c r="P405" s="72">
        <f t="shared" si="167"/>
        <v>0.20833333333333337</v>
      </c>
      <c r="Q405" s="72">
        <f t="shared" si="168"/>
        <v>0</v>
      </c>
      <c r="R405" s="72">
        <f t="shared" si="169"/>
        <v>0</v>
      </c>
      <c r="S405" s="72">
        <f t="shared" si="170"/>
        <v>0.97372892264126665</v>
      </c>
      <c r="T405" s="72">
        <f t="shared" si="171"/>
        <v>0.97372892264126665</v>
      </c>
      <c r="U405" s="72">
        <f t="shared" si="172"/>
        <v>1</v>
      </c>
    </row>
    <row r="406" spans="1:21" x14ac:dyDescent="0.25">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0.82833698030634573</v>
      </c>
      <c r="P406" s="72">
        <f t="shared" si="167"/>
        <v>0.29166666666666663</v>
      </c>
      <c r="Q406" s="72">
        <f t="shared" si="168"/>
        <v>0</v>
      </c>
      <c r="R406" s="72">
        <f t="shared" si="169"/>
        <v>0</v>
      </c>
      <c r="S406" s="72">
        <f t="shared" si="170"/>
        <v>0.97451409447805382</v>
      </c>
      <c r="T406" s="72">
        <f t="shared" si="171"/>
        <v>0.97451409447805382</v>
      </c>
      <c r="U406" s="72">
        <f t="shared" si="172"/>
        <v>1</v>
      </c>
    </row>
    <row r="407" spans="1:21" x14ac:dyDescent="0.25">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0.82900437636761493</v>
      </c>
      <c r="P407" s="72">
        <f t="shared" si="167"/>
        <v>0.375</v>
      </c>
      <c r="Q407" s="72">
        <f t="shared" si="168"/>
        <v>0</v>
      </c>
      <c r="R407" s="72">
        <f t="shared" si="169"/>
        <v>0</v>
      </c>
      <c r="S407" s="72">
        <f t="shared" si="170"/>
        <v>0.9752992663148411</v>
      </c>
      <c r="T407" s="72">
        <f t="shared" si="171"/>
        <v>0.9752992663148411</v>
      </c>
      <c r="U407" s="72">
        <f t="shared" si="172"/>
        <v>1</v>
      </c>
    </row>
    <row r="408" spans="1:21" x14ac:dyDescent="0.25">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0.82967177242888401</v>
      </c>
      <c r="P408" s="72">
        <f t="shared" si="167"/>
        <v>0.45833333333333337</v>
      </c>
      <c r="Q408" s="72">
        <f t="shared" si="168"/>
        <v>0</v>
      </c>
      <c r="R408" s="72">
        <f t="shared" si="169"/>
        <v>0</v>
      </c>
      <c r="S408" s="72">
        <f t="shared" si="170"/>
        <v>0.97608443815162826</v>
      </c>
      <c r="T408" s="72">
        <f t="shared" si="171"/>
        <v>0.97608443815162826</v>
      </c>
      <c r="U408" s="72">
        <f t="shared" si="172"/>
        <v>1</v>
      </c>
    </row>
    <row r="409" spans="1:21" x14ac:dyDescent="0.25">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0.83033916849015321</v>
      </c>
      <c r="P409" s="72">
        <f t="shared" si="167"/>
        <v>0.54166666666666674</v>
      </c>
      <c r="Q409" s="72">
        <f t="shared" si="168"/>
        <v>0</v>
      </c>
      <c r="R409" s="72">
        <f t="shared" si="169"/>
        <v>0</v>
      </c>
      <c r="S409" s="72">
        <f t="shared" si="170"/>
        <v>0.97686960998841554</v>
      </c>
      <c r="T409" s="72">
        <f t="shared" si="171"/>
        <v>0.97686960998841554</v>
      </c>
      <c r="U409" s="72">
        <f t="shared" si="172"/>
        <v>1</v>
      </c>
    </row>
    <row r="410" spans="1:21" x14ac:dyDescent="0.25">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0.83101750547045949</v>
      </c>
      <c r="P410" s="72">
        <f t="shared" si="167"/>
        <v>0.625</v>
      </c>
      <c r="Q410" s="72">
        <f t="shared" si="168"/>
        <v>0</v>
      </c>
      <c r="R410" s="72">
        <f t="shared" si="169"/>
        <v>0</v>
      </c>
      <c r="S410" s="72">
        <f t="shared" si="170"/>
        <v>0.97766765349465823</v>
      </c>
      <c r="T410" s="72">
        <f t="shared" si="171"/>
        <v>0.97766765349465823</v>
      </c>
      <c r="U410" s="72">
        <f t="shared" si="172"/>
        <v>1</v>
      </c>
    </row>
    <row r="411" spans="1:21" x14ac:dyDescent="0.25">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0.83168490153172869</v>
      </c>
      <c r="P411" s="72">
        <f t="shared" si="167"/>
        <v>0.70833333333333326</v>
      </c>
      <c r="Q411" s="72">
        <f t="shared" si="168"/>
        <v>0</v>
      </c>
      <c r="R411" s="72">
        <f t="shared" si="169"/>
        <v>0</v>
      </c>
      <c r="S411" s="72">
        <f t="shared" si="170"/>
        <v>0.97845282533144551</v>
      </c>
      <c r="T411" s="72">
        <f t="shared" si="171"/>
        <v>0.97845282533144551</v>
      </c>
      <c r="U411" s="72">
        <f t="shared" si="172"/>
        <v>1</v>
      </c>
    </row>
    <row r="412" spans="1:21" x14ac:dyDescent="0.25">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0.83235229759299778</v>
      </c>
      <c r="P412" s="72">
        <f t="shared" si="167"/>
        <v>0.79166666666666663</v>
      </c>
      <c r="Q412" s="72">
        <f t="shared" si="168"/>
        <v>0</v>
      </c>
      <c r="R412" s="72">
        <f t="shared" si="169"/>
        <v>0</v>
      </c>
      <c r="S412" s="72">
        <f t="shared" si="170"/>
        <v>0.97923799716823268</v>
      </c>
      <c r="T412" s="72">
        <f t="shared" si="171"/>
        <v>0.97923799716823268</v>
      </c>
      <c r="U412" s="72">
        <f t="shared" si="172"/>
        <v>1</v>
      </c>
    </row>
    <row r="413" spans="1:21" x14ac:dyDescent="0.25">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0.83301969365426698</v>
      </c>
      <c r="P413" s="72">
        <f t="shared" si="167"/>
        <v>0.875</v>
      </c>
      <c r="Q413" s="72">
        <f t="shared" si="168"/>
        <v>0</v>
      </c>
      <c r="R413" s="72">
        <f t="shared" si="169"/>
        <v>0</v>
      </c>
      <c r="S413" s="72">
        <f t="shared" si="170"/>
        <v>0.98002316900501996</v>
      </c>
      <c r="T413" s="72">
        <f t="shared" si="171"/>
        <v>0.98002316900501996</v>
      </c>
      <c r="U413" s="72">
        <f t="shared" si="172"/>
        <v>1</v>
      </c>
    </row>
    <row r="414" spans="1:21" x14ac:dyDescent="0.25">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0.83368708971553607</v>
      </c>
      <c r="P414" s="72">
        <f t="shared" si="167"/>
        <v>0.95833333333333337</v>
      </c>
      <c r="Q414" s="72">
        <f t="shared" si="168"/>
        <v>0</v>
      </c>
      <c r="R414" s="72">
        <f t="shared" si="169"/>
        <v>0</v>
      </c>
      <c r="S414" s="72">
        <f t="shared" si="170"/>
        <v>0.98080834084180712</v>
      </c>
      <c r="T414" s="72">
        <f t="shared" si="171"/>
        <v>0.98080834084180712</v>
      </c>
      <c r="U414" s="72">
        <f t="shared" si="172"/>
        <v>1</v>
      </c>
    </row>
    <row r="415" spans="1:21" x14ac:dyDescent="0.25">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0.83436542669584246</v>
      </c>
      <c r="P415" s="72">
        <f t="shared" si="167"/>
        <v>0.95833333333333337</v>
      </c>
      <c r="Q415" s="72">
        <f t="shared" si="168"/>
        <v>4.166666666666663E-2</v>
      </c>
      <c r="R415" s="72">
        <f t="shared" si="169"/>
        <v>0</v>
      </c>
      <c r="S415" s="72">
        <f t="shared" si="170"/>
        <v>0.98160638434805003</v>
      </c>
      <c r="T415" s="72">
        <f t="shared" si="171"/>
        <v>0.98160638434805003</v>
      </c>
      <c r="U415" s="72">
        <f t="shared" si="172"/>
        <v>1</v>
      </c>
    </row>
    <row r="416" spans="1:21" x14ac:dyDescent="0.25">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0.83501094091903716</v>
      </c>
      <c r="P416" s="72">
        <f t="shared" si="167"/>
        <v>0.875</v>
      </c>
      <c r="Q416" s="72">
        <f t="shared" si="168"/>
        <v>0.125</v>
      </c>
      <c r="R416" s="72">
        <f t="shared" si="169"/>
        <v>0</v>
      </c>
      <c r="S416" s="72">
        <f t="shared" si="170"/>
        <v>0.98236581284592606</v>
      </c>
      <c r="T416" s="72">
        <f t="shared" si="171"/>
        <v>0.98236581284592606</v>
      </c>
      <c r="U416" s="72">
        <f t="shared" si="172"/>
        <v>1</v>
      </c>
    </row>
    <row r="417" spans="1:21" x14ac:dyDescent="0.25">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0.83565645514223197</v>
      </c>
      <c r="P417" s="72">
        <f t="shared" si="167"/>
        <v>0.79166666666666663</v>
      </c>
      <c r="Q417" s="72">
        <f t="shared" si="168"/>
        <v>0.20833333333333337</v>
      </c>
      <c r="R417" s="72">
        <f t="shared" si="169"/>
        <v>0</v>
      </c>
      <c r="S417" s="72">
        <f t="shared" si="170"/>
        <v>0.9831252413438023</v>
      </c>
      <c r="T417" s="72">
        <f t="shared" si="171"/>
        <v>0.9831252413438023</v>
      </c>
      <c r="U417" s="72">
        <f t="shared" si="172"/>
        <v>1</v>
      </c>
    </row>
    <row r="418" spans="1:21" x14ac:dyDescent="0.25">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0.83632385120350106</v>
      </c>
      <c r="P418" s="72">
        <f t="shared" si="167"/>
        <v>0.70833333333333337</v>
      </c>
      <c r="Q418" s="72">
        <f t="shared" si="168"/>
        <v>0.29166666666666663</v>
      </c>
      <c r="R418" s="72">
        <f t="shared" si="169"/>
        <v>0</v>
      </c>
      <c r="S418" s="72">
        <f t="shared" si="170"/>
        <v>0.98391041318058947</v>
      </c>
      <c r="T418" s="72">
        <f t="shared" si="171"/>
        <v>0.98391041318058947</v>
      </c>
      <c r="U418" s="72">
        <f t="shared" si="172"/>
        <v>1</v>
      </c>
    </row>
    <row r="419" spans="1:21" x14ac:dyDescent="0.25">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0.83699124726477026</v>
      </c>
      <c r="P419" s="72">
        <f t="shared" si="167"/>
        <v>0.625</v>
      </c>
      <c r="Q419" s="72">
        <f t="shared" si="168"/>
        <v>0.375</v>
      </c>
      <c r="R419" s="72">
        <f t="shared" si="169"/>
        <v>0</v>
      </c>
      <c r="S419" s="72">
        <f t="shared" si="170"/>
        <v>0.98469558501737675</v>
      </c>
      <c r="T419" s="72">
        <f t="shared" si="171"/>
        <v>0.98469558501737675</v>
      </c>
      <c r="U419" s="72">
        <f t="shared" si="172"/>
        <v>1</v>
      </c>
    </row>
    <row r="420" spans="1:21" x14ac:dyDescent="0.25">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0.83765864332603934</v>
      </c>
      <c r="P420" s="72">
        <f t="shared" si="167"/>
        <v>0.54166666666666663</v>
      </c>
      <c r="Q420" s="72">
        <f t="shared" si="168"/>
        <v>0.45833333333333337</v>
      </c>
      <c r="R420" s="72">
        <f t="shared" si="169"/>
        <v>0</v>
      </c>
      <c r="S420" s="72">
        <f t="shared" si="170"/>
        <v>0.98548075685416392</v>
      </c>
      <c r="T420" s="72">
        <f t="shared" si="171"/>
        <v>0.98548075685416392</v>
      </c>
      <c r="U420" s="72">
        <f t="shared" si="172"/>
        <v>1</v>
      </c>
    </row>
    <row r="421" spans="1:21" x14ac:dyDescent="0.25">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0.83832603938730854</v>
      </c>
      <c r="P421" s="72">
        <f t="shared" si="167"/>
        <v>0.45833333333333331</v>
      </c>
      <c r="Q421" s="72">
        <f t="shared" si="168"/>
        <v>0.54166666666666674</v>
      </c>
      <c r="R421" s="72">
        <f t="shared" si="169"/>
        <v>0</v>
      </c>
      <c r="S421" s="72">
        <f t="shared" si="170"/>
        <v>1.0158539065516798</v>
      </c>
      <c r="T421" s="72">
        <f t="shared" si="171"/>
        <v>1.0158539065516798</v>
      </c>
      <c r="U421" s="72">
        <f t="shared" si="172"/>
        <v>1.03</v>
      </c>
    </row>
    <row r="422" spans="1:21" x14ac:dyDescent="0.25">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0.83900437636761482</v>
      </c>
      <c r="P422" s="72">
        <f t="shared" si="167"/>
        <v>0.375</v>
      </c>
      <c r="Q422" s="72">
        <f t="shared" si="168"/>
        <v>0.625</v>
      </c>
      <c r="R422" s="72">
        <f t="shared" si="169"/>
        <v>0</v>
      </c>
      <c r="S422" s="72">
        <f t="shared" si="170"/>
        <v>1.0166758913631098</v>
      </c>
      <c r="T422" s="72">
        <f t="shared" si="171"/>
        <v>1.0166758913631098</v>
      </c>
      <c r="U422" s="72">
        <f t="shared" si="172"/>
        <v>1.03</v>
      </c>
    </row>
    <row r="423" spans="1:21" x14ac:dyDescent="0.25">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0.83967177242888402</v>
      </c>
      <c r="P423" s="72">
        <f t="shared" si="167"/>
        <v>0.29166666666666669</v>
      </c>
      <c r="Q423" s="72">
        <f t="shared" si="168"/>
        <v>0.70833333333333326</v>
      </c>
      <c r="R423" s="72">
        <f t="shared" si="169"/>
        <v>0</v>
      </c>
      <c r="S423" s="72">
        <f t="shared" si="170"/>
        <v>1.0174846183550008</v>
      </c>
      <c r="T423" s="72">
        <f t="shared" si="171"/>
        <v>1.0174846183550008</v>
      </c>
      <c r="U423" s="72">
        <f t="shared" si="172"/>
        <v>1.03</v>
      </c>
    </row>
    <row r="424" spans="1:21" x14ac:dyDescent="0.25">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0.84033916849015311</v>
      </c>
      <c r="P424" s="72">
        <f t="shared" si="167"/>
        <v>0.20833333333333334</v>
      </c>
      <c r="Q424" s="72">
        <f t="shared" si="168"/>
        <v>0.79166666666666663</v>
      </c>
      <c r="R424" s="72">
        <f t="shared" si="169"/>
        <v>0</v>
      </c>
      <c r="S424" s="72">
        <f t="shared" si="170"/>
        <v>1.0182933453468914</v>
      </c>
      <c r="T424" s="72">
        <f t="shared" si="171"/>
        <v>1.0182933453468914</v>
      </c>
      <c r="U424" s="72">
        <f t="shared" si="172"/>
        <v>1.03</v>
      </c>
    </row>
    <row r="425" spans="1:21" x14ac:dyDescent="0.25">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0.84100656455142231</v>
      </c>
      <c r="P425" s="72">
        <f t="shared" si="167"/>
        <v>0.125</v>
      </c>
      <c r="Q425" s="72">
        <f t="shared" si="168"/>
        <v>0.875</v>
      </c>
      <c r="R425" s="72">
        <f t="shared" si="169"/>
        <v>0</v>
      </c>
      <c r="S425" s="72">
        <f t="shared" si="170"/>
        <v>1.0191020723387825</v>
      </c>
      <c r="T425" s="72">
        <f t="shared" si="171"/>
        <v>1.0191020723387825</v>
      </c>
      <c r="U425" s="72">
        <f t="shared" si="172"/>
        <v>1.03</v>
      </c>
    </row>
    <row r="426" spans="1:21" x14ac:dyDescent="0.25">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0.8416739606126914</v>
      </c>
      <c r="P426" s="72">
        <f t="shared" si="167"/>
        <v>4.1666666666666664E-2</v>
      </c>
      <c r="Q426" s="72">
        <f t="shared" si="168"/>
        <v>0.95833333333333337</v>
      </c>
      <c r="R426" s="72">
        <f t="shared" si="169"/>
        <v>0</v>
      </c>
      <c r="S426" s="72">
        <f t="shared" si="170"/>
        <v>1.0199107993306733</v>
      </c>
      <c r="T426" s="72">
        <f t="shared" si="171"/>
        <v>1.0199107993306733</v>
      </c>
      <c r="U426" s="72">
        <f t="shared" si="172"/>
        <v>1.03</v>
      </c>
    </row>
    <row r="427" spans="1:21" x14ac:dyDescent="0.25">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0.84235229759299779</v>
      </c>
      <c r="P427" s="72">
        <f t="shared" si="167"/>
        <v>0</v>
      </c>
      <c r="Q427" s="72">
        <f t="shared" si="168"/>
        <v>0.95833333333333337</v>
      </c>
      <c r="R427" s="72">
        <f t="shared" si="169"/>
        <v>4.166666666666663E-2</v>
      </c>
      <c r="S427" s="72">
        <f t="shared" si="170"/>
        <v>1.0207327841421032</v>
      </c>
      <c r="T427" s="72">
        <f t="shared" si="171"/>
        <v>0.98160638434805003</v>
      </c>
      <c r="U427" s="72">
        <f t="shared" si="172"/>
        <v>1.03</v>
      </c>
    </row>
    <row r="428" spans="1:21" x14ac:dyDescent="0.25">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0.84299781181619249</v>
      </c>
      <c r="P428" s="72">
        <f t="shared" si="167"/>
        <v>0</v>
      </c>
      <c r="Q428" s="72">
        <f t="shared" si="168"/>
        <v>0.875</v>
      </c>
      <c r="R428" s="72">
        <f t="shared" si="169"/>
        <v>0.125</v>
      </c>
      <c r="S428" s="72">
        <f t="shared" si="170"/>
        <v>1.0215149954949156</v>
      </c>
      <c r="T428" s="72">
        <f t="shared" si="171"/>
        <v>0.98236581284592606</v>
      </c>
      <c r="U428" s="72">
        <f t="shared" si="172"/>
        <v>1.03</v>
      </c>
    </row>
    <row r="429" spans="1:21" x14ac:dyDescent="0.25">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0.8436433260393873</v>
      </c>
      <c r="P429" s="72">
        <f t="shared" si="167"/>
        <v>0</v>
      </c>
      <c r="Q429" s="72">
        <f t="shared" si="168"/>
        <v>0.79166666666666663</v>
      </c>
      <c r="R429" s="72">
        <f t="shared" si="169"/>
        <v>0.20833333333333337</v>
      </c>
      <c r="S429" s="72">
        <f t="shared" si="170"/>
        <v>1.0222972068477283</v>
      </c>
      <c r="T429" s="72">
        <f t="shared" si="171"/>
        <v>0.9831252413438023</v>
      </c>
      <c r="U429" s="72">
        <f t="shared" si="172"/>
        <v>1.03</v>
      </c>
    </row>
    <row r="430" spans="1:21" x14ac:dyDescent="0.25">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0.84431072210065639</v>
      </c>
      <c r="P430" s="72">
        <f t="shared" si="167"/>
        <v>0</v>
      </c>
      <c r="Q430" s="72">
        <f t="shared" si="168"/>
        <v>0.70833333333333337</v>
      </c>
      <c r="R430" s="72">
        <f t="shared" si="169"/>
        <v>0.29166666666666663</v>
      </c>
      <c r="S430" s="72">
        <f t="shared" si="170"/>
        <v>1.0231059338396191</v>
      </c>
      <c r="T430" s="72">
        <f t="shared" si="171"/>
        <v>0.98391041318058947</v>
      </c>
      <c r="U430" s="72">
        <f t="shared" si="172"/>
        <v>1.03</v>
      </c>
    </row>
    <row r="431" spans="1:21" x14ac:dyDescent="0.25">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0.84497811816192558</v>
      </c>
      <c r="P431" s="72">
        <f t="shared" si="167"/>
        <v>0</v>
      </c>
      <c r="Q431" s="72">
        <f t="shared" si="168"/>
        <v>0.625</v>
      </c>
      <c r="R431" s="72">
        <f t="shared" si="169"/>
        <v>0.375</v>
      </c>
      <c r="S431" s="72">
        <f t="shared" si="170"/>
        <v>1.0239146608315099</v>
      </c>
      <c r="T431" s="72">
        <f t="shared" si="171"/>
        <v>0.98469558501737675</v>
      </c>
      <c r="U431" s="72">
        <f t="shared" si="172"/>
        <v>1.03</v>
      </c>
    </row>
    <row r="432" spans="1:21" x14ac:dyDescent="0.25">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0.84564551422319467</v>
      </c>
      <c r="P432" s="72">
        <f t="shared" si="167"/>
        <v>0</v>
      </c>
      <c r="Q432" s="72">
        <f t="shared" si="168"/>
        <v>0.54166666666666663</v>
      </c>
      <c r="R432" s="72">
        <f t="shared" si="169"/>
        <v>0.45833333333333337</v>
      </c>
      <c r="S432" s="72">
        <f t="shared" si="170"/>
        <v>1.0247233878234008</v>
      </c>
      <c r="T432" s="72">
        <f t="shared" si="171"/>
        <v>0.98548075685416392</v>
      </c>
      <c r="U432" s="72">
        <f t="shared" si="172"/>
        <v>1.03</v>
      </c>
    </row>
    <row r="433" spans="1:21" x14ac:dyDescent="0.25">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0.84631291028446387</v>
      </c>
      <c r="P433" s="72">
        <f t="shared" si="167"/>
        <v>0</v>
      </c>
      <c r="Q433" s="72">
        <f t="shared" si="168"/>
        <v>0.45833333333333331</v>
      </c>
      <c r="R433" s="72">
        <f t="shared" si="169"/>
        <v>0.54166666666666674</v>
      </c>
      <c r="S433" s="72">
        <f t="shared" si="170"/>
        <v>1.0255321148152916</v>
      </c>
      <c r="T433" s="72">
        <f t="shared" si="171"/>
        <v>1.0158539065516798</v>
      </c>
      <c r="U433" s="72">
        <f t="shared" si="172"/>
        <v>1.03</v>
      </c>
    </row>
    <row r="434" spans="1:21" x14ac:dyDescent="0.25">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0.84699124726477026</v>
      </c>
      <c r="P434" s="72">
        <f t="shared" si="167"/>
        <v>0</v>
      </c>
      <c r="Q434" s="72">
        <f t="shared" si="168"/>
        <v>0.375</v>
      </c>
      <c r="R434" s="72">
        <f t="shared" si="169"/>
        <v>0.625</v>
      </c>
      <c r="S434" s="72">
        <f t="shared" si="170"/>
        <v>1.0263540996267217</v>
      </c>
      <c r="T434" s="72">
        <f t="shared" si="171"/>
        <v>1.0166758913631098</v>
      </c>
      <c r="U434" s="72">
        <f t="shared" si="172"/>
        <v>1.03</v>
      </c>
    </row>
    <row r="435" spans="1:21" x14ac:dyDescent="0.25">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0.84765864332603935</v>
      </c>
      <c r="P435" s="72">
        <f t="shared" si="167"/>
        <v>0</v>
      </c>
      <c r="Q435" s="72">
        <f t="shared" si="168"/>
        <v>0.29166666666666669</v>
      </c>
      <c r="R435" s="72">
        <f t="shared" si="169"/>
        <v>0.70833333333333326</v>
      </c>
      <c r="S435" s="72">
        <f t="shared" si="170"/>
        <v>1.0271628266186124</v>
      </c>
      <c r="T435" s="72">
        <f t="shared" si="171"/>
        <v>1.0174846183550008</v>
      </c>
      <c r="U435" s="72">
        <f t="shared" si="172"/>
        <v>1.03</v>
      </c>
    </row>
    <row r="436" spans="1:21" x14ac:dyDescent="0.25">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0.84832603938730855</v>
      </c>
      <c r="P436" s="72">
        <f t="shared" si="167"/>
        <v>0</v>
      </c>
      <c r="Q436" s="72">
        <f t="shared" si="168"/>
        <v>0.20833333333333334</v>
      </c>
      <c r="R436" s="72">
        <f t="shared" si="169"/>
        <v>0.79166666666666663</v>
      </c>
      <c r="S436" s="72">
        <f t="shared" si="170"/>
        <v>1.0279715536105034</v>
      </c>
      <c r="T436" s="72">
        <f t="shared" si="171"/>
        <v>1.0182933453468914</v>
      </c>
      <c r="U436" s="72">
        <f t="shared" si="172"/>
        <v>1.03</v>
      </c>
    </row>
    <row r="437" spans="1:21" x14ac:dyDescent="0.25">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0.84899343544857764</v>
      </c>
      <c r="P437" s="72">
        <f t="shared" si="167"/>
        <v>0</v>
      </c>
      <c r="Q437" s="72">
        <f t="shared" si="168"/>
        <v>0.125</v>
      </c>
      <c r="R437" s="72">
        <f t="shared" si="169"/>
        <v>0.875</v>
      </c>
      <c r="S437" s="72">
        <f t="shared" si="170"/>
        <v>1.0287802806023942</v>
      </c>
      <c r="T437" s="72">
        <f t="shared" si="171"/>
        <v>1.0191020723387825</v>
      </c>
      <c r="U437" s="72">
        <f t="shared" si="172"/>
        <v>1.03</v>
      </c>
    </row>
    <row r="438" spans="1:21" x14ac:dyDescent="0.25">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0.84966083150984684</v>
      </c>
      <c r="P438" s="72">
        <f t="shared" si="167"/>
        <v>0</v>
      </c>
      <c r="Q438" s="72">
        <f t="shared" si="168"/>
        <v>4.1666666666666664E-2</v>
      </c>
      <c r="R438" s="72">
        <f t="shared" si="169"/>
        <v>0.95833333333333337</v>
      </c>
      <c r="S438" s="72">
        <f t="shared" si="170"/>
        <v>1.0295890075942851</v>
      </c>
      <c r="T438" s="72">
        <f t="shared" si="171"/>
        <v>1.0199107993306733</v>
      </c>
      <c r="U438" s="72">
        <f t="shared" si="172"/>
        <v>1.03</v>
      </c>
    </row>
    <row r="439" spans="1:21" x14ac:dyDescent="0.25">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0.85</v>
      </c>
      <c r="P439" s="72">
        <f t="shared" si="167"/>
        <v>0</v>
      </c>
      <c r="Q439" s="72">
        <f t="shared" si="168"/>
        <v>0</v>
      </c>
      <c r="R439" s="72">
        <f t="shared" si="169"/>
        <v>0.95833333333333337</v>
      </c>
      <c r="S439" s="72">
        <f t="shared" si="170"/>
        <v>1.03</v>
      </c>
      <c r="T439" s="72">
        <f t="shared" si="171"/>
        <v>0.98160638434805003</v>
      </c>
      <c r="U439" s="72">
        <f t="shared" si="172"/>
        <v>1.03</v>
      </c>
    </row>
    <row r="440" spans="1:21" x14ac:dyDescent="0.25">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0.85</v>
      </c>
      <c r="P440" s="72">
        <f t="shared" si="167"/>
        <v>0</v>
      </c>
      <c r="Q440" s="72">
        <f t="shared" si="168"/>
        <v>0</v>
      </c>
      <c r="R440" s="72">
        <f t="shared" si="169"/>
        <v>0.875</v>
      </c>
      <c r="S440" s="72">
        <f t="shared" si="170"/>
        <v>1.03</v>
      </c>
      <c r="T440" s="72">
        <f t="shared" si="171"/>
        <v>0.98236581284592606</v>
      </c>
      <c r="U440" s="72">
        <f t="shared" si="172"/>
        <v>1.03</v>
      </c>
    </row>
    <row r="441" spans="1:21" x14ac:dyDescent="0.25">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0.85</v>
      </c>
      <c r="P441" s="72">
        <f t="shared" si="167"/>
        <v>0</v>
      </c>
      <c r="Q441" s="72">
        <f t="shared" si="168"/>
        <v>0</v>
      </c>
      <c r="R441" s="72">
        <f t="shared" si="169"/>
        <v>0.79166666666666663</v>
      </c>
      <c r="S441" s="72">
        <f t="shared" si="170"/>
        <v>1.03</v>
      </c>
      <c r="T441" s="72">
        <f t="shared" si="171"/>
        <v>0.9831252413438023</v>
      </c>
      <c r="U441" s="72">
        <f t="shared" si="172"/>
        <v>1.03</v>
      </c>
    </row>
    <row r="442" spans="1:21" x14ac:dyDescent="0.25">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0.85</v>
      </c>
      <c r="P442" s="72">
        <f t="shared" si="167"/>
        <v>0</v>
      </c>
      <c r="Q442" s="72">
        <f t="shared" si="168"/>
        <v>0</v>
      </c>
      <c r="R442" s="72">
        <f t="shared" si="169"/>
        <v>0.70833333333333337</v>
      </c>
      <c r="S442" s="72">
        <f t="shared" si="170"/>
        <v>1.03</v>
      </c>
      <c r="T442" s="72">
        <f t="shared" si="171"/>
        <v>0.98391041318058947</v>
      </c>
      <c r="U442" s="72">
        <f t="shared" si="172"/>
        <v>1.03</v>
      </c>
    </row>
    <row r="443" spans="1:21" x14ac:dyDescent="0.25">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0.85</v>
      </c>
      <c r="P443" s="72">
        <f t="shared" si="167"/>
        <v>0</v>
      </c>
      <c r="Q443" s="72">
        <f t="shared" si="168"/>
        <v>0</v>
      </c>
      <c r="R443" s="72">
        <f t="shared" si="169"/>
        <v>0.625</v>
      </c>
      <c r="S443" s="72">
        <f t="shared" si="170"/>
        <v>1.03</v>
      </c>
      <c r="T443" s="72">
        <f t="shared" si="171"/>
        <v>0.98469558501737675</v>
      </c>
      <c r="U443" s="72">
        <f t="shared" si="172"/>
        <v>1.03</v>
      </c>
    </row>
    <row r="444" spans="1:21" x14ac:dyDescent="0.25">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0.85</v>
      </c>
      <c r="P444" s="72">
        <f t="shared" si="167"/>
        <v>0</v>
      </c>
      <c r="Q444" s="72">
        <f t="shared" si="168"/>
        <v>0</v>
      </c>
      <c r="R444" s="72">
        <f t="shared" si="169"/>
        <v>0.54166666666666663</v>
      </c>
      <c r="S444" s="72">
        <f t="shared" si="170"/>
        <v>1.03</v>
      </c>
      <c r="T444" s="72">
        <f t="shared" si="171"/>
        <v>0.98548075685416392</v>
      </c>
      <c r="U444" s="72">
        <f t="shared" si="172"/>
        <v>1.03</v>
      </c>
    </row>
    <row r="445" spans="1:21" x14ac:dyDescent="0.25">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0.85</v>
      </c>
      <c r="P445" s="72">
        <f t="shared" si="167"/>
        <v>0</v>
      </c>
      <c r="Q445" s="72">
        <f t="shared" si="168"/>
        <v>0</v>
      </c>
      <c r="R445" s="72">
        <f t="shared" si="169"/>
        <v>0.45833333333333331</v>
      </c>
      <c r="S445" s="72">
        <f t="shared" si="170"/>
        <v>1.03</v>
      </c>
      <c r="T445" s="72">
        <f t="shared" si="171"/>
        <v>1.0158539065516798</v>
      </c>
      <c r="U445" s="72">
        <f t="shared" si="172"/>
        <v>1.03</v>
      </c>
    </row>
    <row r="446" spans="1:21" x14ac:dyDescent="0.25">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0.85</v>
      </c>
      <c r="P446" s="72">
        <f t="shared" si="167"/>
        <v>0</v>
      </c>
      <c r="Q446" s="72">
        <f t="shared" si="168"/>
        <v>0</v>
      </c>
      <c r="R446" s="72">
        <f t="shared" si="169"/>
        <v>0.375</v>
      </c>
      <c r="S446" s="72">
        <f t="shared" si="170"/>
        <v>1.03</v>
      </c>
      <c r="T446" s="72">
        <f t="shared" si="171"/>
        <v>1.0166758913631098</v>
      </c>
      <c r="U446" s="72">
        <f t="shared" si="172"/>
        <v>1.03</v>
      </c>
    </row>
    <row r="447" spans="1:21" x14ac:dyDescent="0.25">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0.85</v>
      </c>
      <c r="P447" s="72">
        <f t="shared" si="167"/>
        <v>0</v>
      </c>
      <c r="Q447" s="72">
        <f t="shared" si="168"/>
        <v>0</v>
      </c>
      <c r="R447" s="72">
        <f t="shared" si="169"/>
        <v>0.29166666666666669</v>
      </c>
      <c r="S447" s="72">
        <f t="shared" si="170"/>
        <v>1.03</v>
      </c>
      <c r="T447" s="72">
        <f t="shared" si="171"/>
        <v>1.0174846183550008</v>
      </c>
      <c r="U447" s="72">
        <f t="shared" si="172"/>
        <v>1.03</v>
      </c>
    </row>
    <row r="448" spans="1:21" x14ac:dyDescent="0.25">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0.85</v>
      </c>
      <c r="P448" s="72">
        <f t="shared" si="167"/>
        <v>0</v>
      </c>
      <c r="Q448" s="72">
        <f t="shared" si="168"/>
        <v>0</v>
      </c>
      <c r="R448" s="72">
        <f t="shared" si="169"/>
        <v>0.20833333333333334</v>
      </c>
      <c r="S448" s="72">
        <f t="shared" si="170"/>
        <v>1.03</v>
      </c>
      <c r="T448" s="72">
        <f t="shared" si="171"/>
        <v>1.0182933453468914</v>
      </c>
      <c r="U448" s="72">
        <f t="shared" si="172"/>
        <v>1.03</v>
      </c>
    </row>
    <row r="449" spans="1:21" x14ac:dyDescent="0.25">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0.85</v>
      </c>
      <c r="P449" s="72">
        <f t="shared" si="167"/>
        <v>0</v>
      </c>
      <c r="Q449" s="72">
        <f t="shared" si="168"/>
        <v>0</v>
      </c>
      <c r="R449" s="72">
        <f t="shared" si="169"/>
        <v>0.125</v>
      </c>
      <c r="S449" s="72">
        <f t="shared" si="170"/>
        <v>1.03</v>
      </c>
      <c r="T449" s="72">
        <f t="shared" si="171"/>
        <v>1.0191020723387825</v>
      </c>
      <c r="U449" s="72">
        <f t="shared" si="172"/>
        <v>1.03</v>
      </c>
    </row>
    <row r="450" spans="1:21" x14ac:dyDescent="0.25">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0.85</v>
      </c>
      <c r="P450" s="72">
        <f t="shared" si="167"/>
        <v>0</v>
      </c>
      <c r="Q450" s="72">
        <f t="shared" si="168"/>
        <v>0</v>
      </c>
      <c r="R450" s="72">
        <f t="shared" si="169"/>
        <v>4.1666666666666664E-2</v>
      </c>
      <c r="S450" s="72">
        <f t="shared" si="170"/>
        <v>1.03</v>
      </c>
      <c r="T450" s="72">
        <f t="shared" si="171"/>
        <v>1.0199107993306733</v>
      </c>
      <c r="U450" s="72">
        <f t="shared" si="172"/>
        <v>1.03</v>
      </c>
    </row>
    <row r="451" spans="1:21" x14ac:dyDescent="0.25">
      <c r="A451" s="77" t="s">
        <v>1209</v>
      </c>
      <c r="B451" s="50">
        <f>EXP(SUMPRODUCT((rl_key=$A$400)*(rl_cons="Y")*rl_ln1p))</f>
        <v>1.03</v>
      </c>
      <c r="C451" s="50">
        <f>SUMPRODUCT($H$403:$H$450,$P$403:$P$450,$U$403:$U$450)/SUMPRODUCT($H$403:$H$450,$P$403:$P$450)</f>
        <v>1.0037500000000001</v>
      </c>
      <c r="D451" s="50">
        <f>SUMPRODUCT($H$403:$H$450,$Q$403:$Q$450,$U$403:$U$450)/SUMPRODUCT($H$403:$H$450,$Q$403:$Q$450)</f>
        <v>1.0262500000000003</v>
      </c>
      <c r="E451" s="50">
        <f>SUMPRODUCT($H$403:$H$450,$R$403:$R$450,$U$403:$U$450)/SUMPRODUCT($H$403:$H$450,$R$403:$R$450)</f>
        <v>1.0300000000000002</v>
      </c>
      <c r="F451" s="169">
        <f>SUMPRODUCT($H$403:$H$450,$Q$403:$Q$450,$O$403:$O$450)/SUMPRODUCT($H$403:$H$450,$Q$403:$Q$450)</f>
        <v>0.84199580598103541</v>
      </c>
      <c r="G451" s="169">
        <f>SUMPRODUCT($H$403:$H$450,$R$403:$R$450,$O$403:$O$450)/SUMPRODUCT($H$403:$H$450,$R$403:$R$450)</f>
        <v>0.84865635637004611</v>
      </c>
    </row>
    <row r="454" spans="1:21" x14ac:dyDescent="0.25">
      <c r="A454" s="77" t="str">
        <f>INDEX(lr_key,8)</f>
        <v>BU-A|IN</v>
      </c>
      <c r="B454" s="77" t="str">
        <f>INDEX(lr_state,8)</f>
        <v>IN</v>
      </c>
      <c r="C454" s="52">
        <f>nr_TermMonths</f>
        <v>12</v>
      </c>
      <c r="D454" s="52">
        <f>IF(COUNTIF(se_state,$B454)=0,0,MATCH($B454,se_state,0))</f>
        <v>2</v>
      </c>
      <c r="E454" s="54">
        <f>IF($D454=0,0,INDEX(se_sum,$D454))</f>
        <v>11.999999999999998</v>
      </c>
      <c r="F454" s="169">
        <f>IF(N(INDEX(lr_mind,8))=0,1,INDEX(lr_mind,8))</f>
        <v>0.85</v>
      </c>
      <c r="G454" s="169">
        <f>IF(N(INDEX(lr_m0,8))=0,1,INDEX(lr_m0,8))</f>
        <v>0.84</v>
      </c>
      <c r="H454" s="51">
        <f>IF(N(INDEX(lr_m0asof,8))=0,DATE(nr_PlanYear-1,10,1),INDEX(lr_m0asof,8))</f>
        <v>46295</v>
      </c>
      <c r="I454" s="169">
        <f>IF(N(INDEX(lr_m1,8))=0,1,INDEX(lr_m1,8))</f>
        <v>0.83</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25">
      <c r="A455" s="77">
        <f>EDATE($H$454,-12)+1</f>
        <v>45931</v>
      </c>
      <c r="B455" s="77">
        <f>$H$454+1</f>
        <v>46296</v>
      </c>
      <c r="C455" s="77">
        <f>DATE(nr_PlanYear,12,31)+1</f>
        <v>46753</v>
      </c>
      <c r="D455" s="77">
        <f>DATE(nr_PlanYear+1,12,31)+1</f>
        <v>47119</v>
      </c>
      <c r="E455" s="77">
        <f>IF(N($J$454)=0,$F$455-($G$455-$F$455)/($C$455-$B$455)*($B$455-$A$455),$J$454)</f>
        <v>0.8479868708971553</v>
      </c>
      <c r="F455" s="77">
        <f>$G$454</f>
        <v>0.84</v>
      </c>
      <c r="G455" s="77">
        <f>$I$454</f>
        <v>0.83</v>
      </c>
      <c r="H455" s="77">
        <f>IF(N($K$454)=0,$I$454,$K$454)</f>
        <v>0.83</v>
      </c>
      <c r="I455" s="77">
        <f>($F$455-$E$455)/($B$455-$A$455)</f>
        <v>-2.1881838074398162E-5</v>
      </c>
      <c r="J455" s="77">
        <f>($G$455-$F$455)/($C$455-$B$455)</f>
        <v>-2.188183807439827E-5</v>
      </c>
      <c r="K455" s="77">
        <f>($H$455-$G$455)/($D$455-$C$455)</f>
        <v>0</v>
      </c>
    </row>
    <row r="456" spans="1:21" ht="24" x14ac:dyDescent="0.25">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25">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0.85362144420131281</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1.0042605225897798</v>
      </c>
      <c r="T457" s="72">
        <f t="shared" ref="T457:T504" si="191">IF($G457&lt;nr_MStartP,$S457,$T445*(1+IF($G457&lt;nr_MStartP1,$M$454,$N$454)))</f>
        <v>1.0042605225897798</v>
      </c>
      <c r="U457" s="72">
        <f t="shared" ref="U457:U504" si="192">IF($L$454,$T457,$N457)</f>
        <v>1</v>
      </c>
    </row>
    <row r="458" spans="1:21" x14ac:dyDescent="0.25">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0.85297592997811811</v>
      </c>
      <c r="P458" s="72">
        <f t="shared" si="187"/>
        <v>0.125</v>
      </c>
      <c r="Q458" s="72">
        <f t="shared" si="188"/>
        <v>0</v>
      </c>
      <c r="R458" s="72">
        <f t="shared" si="189"/>
        <v>0</v>
      </c>
      <c r="S458" s="72">
        <f t="shared" si="190"/>
        <v>1.0035010940919036</v>
      </c>
      <c r="T458" s="72">
        <f t="shared" si="191"/>
        <v>1.0035010940919036</v>
      </c>
      <c r="U458" s="72">
        <f t="shared" si="192"/>
        <v>1</v>
      </c>
    </row>
    <row r="459" spans="1:21" x14ac:dyDescent="0.25">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0.8523304157549233</v>
      </c>
      <c r="P459" s="72">
        <f t="shared" si="187"/>
        <v>0.20833333333333337</v>
      </c>
      <c r="Q459" s="72">
        <f t="shared" si="188"/>
        <v>0</v>
      </c>
      <c r="R459" s="72">
        <f t="shared" si="189"/>
        <v>0</v>
      </c>
      <c r="S459" s="72">
        <f t="shared" si="190"/>
        <v>1.0027416655940273</v>
      </c>
      <c r="T459" s="72">
        <f t="shared" si="191"/>
        <v>1.0027416655940273</v>
      </c>
      <c r="U459" s="72">
        <f t="shared" si="192"/>
        <v>1</v>
      </c>
    </row>
    <row r="460" spans="1:21" x14ac:dyDescent="0.25">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0.85166301969365421</v>
      </c>
      <c r="P460" s="72">
        <f t="shared" si="187"/>
        <v>0.29166666666666663</v>
      </c>
      <c r="Q460" s="72">
        <f t="shared" si="188"/>
        <v>0</v>
      </c>
      <c r="R460" s="72">
        <f t="shared" si="189"/>
        <v>0</v>
      </c>
      <c r="S460" s="72">
        <f t="shared" si="190"/>
        <v>1.0019564937572403</v>
      </c>
      <c r="T460" s="72">
        <f t="shared" si="191"/>
        <v>1.0019564937572403</v>
      </c>
      <c r="U460" s="72">
        <f t="shared" si="192"/>
        <v>1</v>
      </c>
    </row>
    <row r="461" spans="1:21" x14ac:dyDescent="0.25">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0.85099562363238501</v>
      </c>
      <c r="P461" s="72">
        <f t="shared" si="187"/>
        <v>0.375</v>
      </c>
      <c r="Q461" s="72">
        <f t="shared" si="188"/>
        <v>0</v>
      </c>
      <c r="R461" s="72">
        <f t="shared" si="189"/>
        <v>0</v>
      </c>
      <c r="S461" s="72">
        <f t="shared" si="190"/>
        <v>1.001171321920453</v>
      </c>
      <c r="T461" s="72">
        <f t="shared" si="191"/>
        <v>1.001171321920453</v>
      </c>
      <c r="U461" s="72">
        <f t="shared" si="192"/>
        <v>1</v>
      </c>
    </row>
    <row r="462" spans="1:21" x14ac:dyDescent="0.25">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0.85032822757111592</v>
      </c>
      <c r="P462" s="72">
        <f t="shared" si="187"/>
        <v>0.45833333333333337</v>
      </c>
      <c r="Q462" s="72">
        <f t="shared" si="188"/>
        <v>0</v>
      </c>
      <c r="R462" s="72">
        <f t="shared" si="189"/>
        <v>0</v>
      </c>
      <c r="S462" s="72">
        <f t="shared" si="190"/>
        <v>1.0003861500836657</v>
      </c>
      <c r="T462" s="72">
        <f t="shared" si="191"/>
        <v>1.0003861500836657</v>
      </c>
      <c r="U462" s="72">
        <f t="shared" si="192"/>
        <v>1</v>
      </c>
    </row>
    <row r="463" spans="1:21" x14ac:dyDescent="0.25">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0.84966083150984673</v>
      </c>
      <c r="P463" s="72">
        <f t="shared" si="187"/>
        <v>0.54166666666666674</v>
      </c>
      <c r="Q463" s="72">
        <f t="shared" si="188"/>
        <v>0</v>
      </c>
      <c r="R463" s="72">
        <f t="shared" si="189"/>
        <v>0</v>
      </c>
      <c r="S463" s="72">
        <f t="shared" si="190"/>
        <v>0.99960097824687855</v>
      </c>
      <c r="T463" s="72">
        <f t="shared" si="191"/>
        <v>0.99960097824687855</v>
      </c>
      <c r="U463" s="72">
        <f t="shared" si="192"/>
        <v>1</v>
      </c>
    </row>
    <row r="464" spans="1:21" x14ac:dyDescent="0.25">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0.84898249452954044</v>
      </c>
      <c r="P464" s="72">
        <f t="shared" si="187"/>
        <v>0.625</v>
      </c>
      <c r="Q464" s="72">
        <f t="shared" si="188"/>
        <v>0</v>
      </c>
      <c r="R464" s="72">
        <f t="shared" si="189"/>
        <v>0</v>
      </c>
      <c r="S464" s="72">
        <f t="shared" si="190"/>
        <v>0.99880293474063586</v>
      </c>
      <c r="T464" s="72">
        <f t="shared" si="191"/>
        <v>0.99880293474063586</v>
      </c>
      <c r="U464" s="72">
        <f t="shared" si="192"/>
        <v>1</v>
      </c>
    </row>
    <row r="465" spans="1:21" x14ac:dyDescent="0.25">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0.84831509846827124</v>
      </c>
      <c r="P465" s="72">
        <f t="shared" si="187"/>
        <v>0.70833333333333326</v>
      </c>
      <c r="Q465" s="72">
        <f t="shared" si="188"/>
        <v>0</v>
      </c>
      <c r="R465" s="72">
        <f t="shared" si="189"/>
        <v>0</v>
      </c>
      <c r="S465" s="72">
        <f t="shared" si="190"/>
        <v>0.99801776290384858</v>
      </c>
      <c r="T465" s="72">
        <f t="shared" si="191"/>
        <v>0.99801776290384858</v>
      </c>
      <c r="U465" s="72">
        <f t="shared" si="192"/>
        <v>1</v>
      </c>
    </row>
    <row r="466" spans="1:21" x14ac:dyDescent="0.25">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0.84764770240700216</v>
      </c>
      <c r="P466" s="72">
        <f t="shared" si="187"/>
        <v>0.79166666666666663</v>
      </c>
      <c r="Q466" s="72">
        <f t="shared" si="188"/>
        <v>0</v>
      </c>
      <c r="R466" s="72">
        <f t="shared" si="189"/>
        <v>0</v>
      </c>
      <c r="S466" s="72">
        <f t="shared" si="190"/>
        <v>0.99723259106706141</v>
      </c>
      <c r="T466" s="72">
        <f t="shared" si="191"/>
        <v>0.99723259106706141</v>
      </c>
      <c r="U466" s="72">
        <f t="shared" si="192"/>
        <v>1</v>
      </c>
    </row>
    <row r="467" spans="1:21" x14ac:dyDescent="0.25">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0.84698030634573296</v>
      </c>
      <c r="P467" s="72">
        <f t="shared" si="187"/>
        <v>0.875</v>
      </c>
      <c r="Q467" s="72">
        <f t="shared" si="188"/>
        <v>0</v>
      </c>
      <c r="R467" s="72">
        <f t="shared" si="189"/>
        <v>0</v>
      </c>
      <c r="S467" s="72">
        <f t="shared" si="190"/>
        <v>0.99644741923027413</v>
      </c>
      <c r="T467" s="72">
        <f t="shared" si="191"/>
        <v>0.99644741923027413</v>
      </c>
      <c r="U467" s="72">
        <f t="shared" si="192"/>
        <v>1</v>
      </c>
    </row>
    <row r="468" spans="1:21" x14ac:dyDescent="0.25">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0.84631291028446387</v>
      </c>
      <c r="P468" s="72">
        <f t="shared" si="187"/>
        <v>0.95833333333333337</v>
      </c>
      <c r="Q468" s="72">
        <f t="shared" si="188"/>
        <v>0</v>
      </c>
      <c r="R468" s="72">
        <f t="shared" si="189"/>
        <v>0</v>
      </c>
      <c r="S468" s="72">
        <f t="shared" si="190"/>
        <v>0.99566224739348697</v>
      </c>
      <c r="T468" s="72">
        <f t="shared" si="191"/>
        <v>0.99566224739348697</v>
      </c>
      <c r="U468" s="72">
        <f t="shared" si="192"/>
        <v>1</v>
      </c>
    </row>
    <row r="469" spans="1:21" x14ac:dyDescent="0.25">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0.84563457330415748</v>
      </c>
      <c r="P469" s="72">
        <f t="shared" si="187"/>
        <v>0.95833333333333337</v>
      </c>
      <c r="Q469" s="72">
        <f t="shared" si="188"/>
        <v>4.166666666666663E-2</v>
      </c>
      <c r="R469" s="72">
        <f t="shared" si="189"/>
        <v>0</v>
      </c>
      <c r="S469" s="72">
        <f t="shared" si="190"/>
        <v>0.99486420388724417</v>
      </c>
      <c r="T469" s="72">
        <f t="shared" si="191"/>
        <v>0.99486420388724417</v>
      </c>
      <c r="U469" s="72">
        <f t="shared" si="192"/>
        <v>1</v>
      </c>
    </row>
    <row r="470" spans="1:21" x14ac:dyDescent="0.25">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0.84498905908096278</v>
      </c>
      <c r="P470" s="72">
        <f t="shared" si="187"/>
        <v>0.875</v>
      </c>
      <c r="Q470" s="72">
        <f t="shared" si="188"/>
        <v>0.125</v>
      </c>
      <c r="R470" s="72">
        <f t="shared" si="189"/>
        <v>0</v>
      </c>
      <c r="S470" s="72">
        <f t="shared" si="190"/>
        <v>0.99410477538936803</v>
      </c>
      <c r="T470" s="72">
        <f t="shared" si="191"/>
        <v>0.99410477538936803</v>
      </c>
      <c r="U470" s="72">
        <f t="shared" si="192"/>
        <v>1</v>
      </c>
    </row>
    <row r="471" spans="1:21" x14ac:dyDescent="0.25">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0.84434354485776797</v>
      </c>
      <c r="P471" s="72">
        <f t="shared" si="187"/>
        <v>0.79166666666666663</v>
      </c>
      <c r="Q471" s="72">
        <f t="shared" si="188"/>
        <v>0.20833333333333337</v>
      </c>
      <c r="R471" s="72">
        <f t="shared" si="189"/>
        <v>0</v>
      </c>
      <c r="S471" s="72">
        <f t="shared" si="190"/>
        <v>0.99334534689149179</v>
      </c>
      <c r="T471" s="72">
        <f t="shared" si="191"/>
        <v>0.99334534689149179</v>
      </c>
      <c r="U471" s="72">
        <f t="shared" si="192"/>
        <v>1</v>
      </c>
    </row>
    <row r="472" spans="1:21" x14ac:dyDescent="0.25">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0.84367614879649888</v>
      </c>
      <c r="P472" s="72">
        <f t="shared" si="187"/>
        <v>0.70833333333333337</v>
      </c>
      <c r="Q472" s="72">
        <f t="shared" si="188"/>
        <v>0.29166666666666663</v>
      </c>
      <c r="R472" s="72">
        <f t="shared" si="189"/>
        <v>0</v>
      </c>
      <c r="S472" s="72">
        <f t="shared" si="190"/>
        <v>0.99256017505470462</v>
      </c>
      <c r="T472" s="72">
        <f t="shared" si="191"/>
        <v>0.99256017505470462</v>
      </c>
      <c r="U472" s="72">
        <f t="shared" si="192"/>
        <v>1</v>
      </c>
    </row>
    <row r="473" spans="1:21" x14ac:dyDescent="0.25">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0.84300875273522968</v>
      </c>
      <c r="P473" s="72">
        <f t="shared" si="187"/>
        <v>0.625</v>
      </c>
      <c r="Q473" s="72">
        <f t="shared" si="188"/>
        <v>0.375</v>
      </c>
      <c r="R473" s="72">
        <f t="shared" si="189"/>
        <v>0</v>
      </c>
      <c r="S473" s="72">
        <f t="shared" si="190"/>
        <v>0.99177500321791734</v>
      </c>
      <c r="T473" s="72">
        <f t="shared" si="191"/>
        <v>0.99177500321791734</v>
      </c>
      <c r="U473" s="72">
        <f t="shared" si="192"/>
        <v>1</v>
      </c>
    </row>
    <row r="474" spans="1:21" x14ac:dyDescent="0.25">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0.8423413566739606</v>
      </c>
      <c r="P474" s="72">
        <f t="shared" si="187"/>
        <v>0.54166666666666663</v>
      </c>
      <c r="Q474" s="72">
        <f t="shared" si="188"/>
        <v>0.45833333333333337</v>
      </c>
      <c r="R474" s="72">
        <f t="shared" si="189"/>
        <v>0</v>
      </c>
      <c r="S474" s="72">
        <f t="shared" si="190"/>
        <v>0.99098983138113017</v>
      </c>
      <c r="T474" s="72">
        <f t="shared" si="191"/>
        <v>0.99098983138113017</v>
      </c>
      <c r="U474" s="72">
        <f t="shared" si="192"/>
        <v>1</v>
      </c>
    </row>
    <row r="475" spans="1:21" x14ac:dyDescent="0.25">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0.8416739606126914</v>
      </c>
      <c r="P475" s="72">
        <f t="shared" si="187"/>
        <v>0.45833333333333331</v>
      </c>
      <c r="Q475" s="72">
        <f t="shared" si="188"/>
        <v>0.54166666666666674</v>
      </c>
      <c r="R475" s="72">
        <f t="shared" si="189"/>
        <v>0</v>
      </c>
      <c r="S475" s="72">
        <f t="shared" si="190"/>
        <v>0.99020465954434289</v>
      </c>
      <c r="T475" s="72">
        <f t="shared" si="191"/>
        <v>0.99020465954434289</v>
      </c>
      <c r="U475" s="72">
        <f t="shared" si="192"/>
        <v>1</v>
      </c>
    </row>
    <row r="476" spans="1:21" x14ac:dyDescent="0.25">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0.84099562363238511</v>
      </c>
      <c r="P476" s="72">
        <f t="shared" si="187"/>
        <v>0.375</v>
      </c>
      <c r="Q476" s="72">
        <f t="shared" si="188"/>
        <v>0.625</v>
      </c>
      <c r="R476" s="72">
        <f t="shared" si="189"/>
        <v>0</v>
      </c>
      <c r="S476" s="72">
        <f t="shared" si="190"/>
        <v>1.0289828806796242</v>
      </c>
      <c r="T476" s="72">
        <f t="shared" si="191"/>
        <v>1.0289828806796242</v>
      </c>
      <c r="U476" s="72">
        <f t="shared" si="192"/>
        <v>1.04</v>
      </c>
    </row>
    <row r="477" spans="1:21" x14ac:dyDescent="0.25">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0.84032822757111592</v>
      </c>
      <c r="P477" s="72">
        <f t="shared" si="187"/>
        <v>0.29166666666666669</v>
      </c>
      <c r="Q477" s="72">
        <f t="shared" si="188"/>
        <v>0.70833333333333326</v>
      </c>
      <c r="R477" s="72">
        <f t="shared" si="189"/>
        <v>0</v>
      </c>
      <c r="S477" s="72">
        <f t="shared" si="190"/>
        <v>1.0281663019693654</v>
      </c>
      <c r="T477" s="72">
        <f t="shared" si="191"/>
        <v>1.0281663019693654</v>
      </c>
      <c r="U477" s="72">
        <f t="shared" si="192"/>
        <v>1.04</v>
      </c>
    </row>
    <row r="478" spans="1:21" x14ac:dyDescent="0.25">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0.83966083150984683</v>
      </c>
      <c r="P478" s="72">
        <f t="shared" si="187"/>
        <v>0.20833333333333334</v>
      </c>
      <c r="Q478" s="72">
        <f t="shared" si="188"/>
        <v>0.79166666666666663</v>
      </c>
      <c r="R478" s="72">
        <f t="shared" si="189"/>
        <v>0</v>
      </c>
      <c r="S478" s="72">
        <f t="shared" si="190"/>
        <v>1.0273497232591069</v>
      </c>
      <c r="T478" s="72">
        <f t="shared" si="191"/>
        <v>1.0273497232591069</v>
      </c>
      <c r="U478" s="72">
        <f t="shared" si="192"/>
        <v>1.04</v>
      </c>
    </row>
    <row r="479" spans="1:21" x14ac:dyDescent="0.25">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0.83899343544857763</v>
      </c>
      <c r="P479" s="72">
        <f t="shared" si="187"/>
        <v>0.125</v>
      </c>
      <c r="Q479" s="72">
        <f t="shared" si="188"/>
        <v>0.875</v>
      </c>
      <c r="R479" s="72">
        <f t="shared" si="189"/>
        <v>0</v>
      </c>
      <c r="S479" s="72">
        <f t="shared" si="190"/>
        <v>1.0265331445488479</v>
      </c>
      <c r="T479" s="72">
        <f t="shared" si="191"/>
        <v>1.0265331445488479</v>
      </c>
      <c r="U479" s="72">
        <f t="shared" si="192"/>
        <v>1.04</v>
      </c>
    </row>
    <row r="480" spans="1:21" x14ac:dyDescent="0.25">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0.83832603938730854</v>
      </c>
      <c r="P480" s="72">
        <f t="shared" si="187"/>
        <v>4.1666666666666664E-2</v>
      </c>
      <c r="Q480" s="72">
        <f t="shared" si="188"/>
        <v>0.95833333333333337</v>
      </c>
      <c r="R480" s="72">
        <f t="shared" si="189"/>
        <v>0</v>
      </c>
      <c r="S480" s="72">
        <f t="shared" si="190"/>
        <v>1.0257165658385894</v>
      </c>
      <c r="T480" s="72">
        <f t="shared" si="191"/>
        <v>1.0257165658385894</v>
      </c>
      <c r="U480" s="72">
        <f t="shared" si="192"/>
        <v>1.04</v>
      </c>
    </row>
    <row r="481" spans="1:21" x14ac:dyDescent="0.25">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0.83764770240700215</v>
      </c>
      <c r="P481" s="72">
        <f t="shared" si="187"/>
        <v>0</v>
      </c>
      <c r="Q481" s="72">
        <f t="shared" si="188"/>
        <v>0.95833333333333337</v>
      </c>
      <c r="R481" s="72">
        <f t="shared" si="189"/>
        <v>4.166666666666663E-2</v>
      </c>
      <c r="S481" s="72">
        <f t="shared" si="190"/>
        <v>1.0248866005920967</v>
      </c>
      <c r="T481" s="72">
        <f t="shared" si="191"/>
        <v>0.99486420388724417</v>
      </c>
      <c r="U481" s="72">
        <f t="shared" si="192"/>
        <v>1.04</v>
      </c>
    </row>
    <row r="482" spans="1:21" x14ac:dyDescent="0.25">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0.83700218818380745</v>
      </c>
      <c r="P482" s="72">
        <f t="shared" si="187"/>
        <v>0</v>
      </c>
      <c r="Q482" s="72">
        <f t="shared" si="188"/>
        <v>0.875</v>
      </c>
      <c r="R482" s="72">
        <f t="shared" si="189"/>
        <v>0.125</v>
      </c>
      <c r="S482" s="72">
        <f t="shared" si="190"/>
        <v>1.0240967949543056</v>
      </c>
      <c r="T482" s="72">
        <f t="shared" si="191"/>
        <v>0.99410477538936803</v>
      </c>
      <c r="U482" s="72">
        <f t="shared" si="192"/>
        <v>1.04</v>
      </c>
    </row>
    <row r="483" spans="1:21" x14ac:dyDescent="0.25">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0.83635667396061264</v>
      </c>
      <c r="P483" s="72">
        <f t="shared" si="187"/>
        <v>0</v>
      </c>
      <c r="Q483" s="72">
        <f t="shared" si="188"/>
        <v>0.79166666666666663</v>
      </c>
      <c r="R483" s="72">
        <f t="shared" si="189"/>
        <v>0.20833333333333337</v>
      </c>
      <c r="S483" s="72">
        <f t="shared" si="190"/>
        <v>1.0233069893165143</v>
      </c>
      <c r="T483" s="72">
        <f t="shared" si="191"/>
        <v>0.99334534689149179</v>
      </c>
      <c r="U483" s="72">
        <f t="shared" si="192"/>
        <v>1.04</v>
      </c>
    </row>
    <row r="484" spans="1:21" x14ac:dyDescent="0.25">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0.83568927789934355</v>
      </c>
      <c r="P484" s="72">
        <f t="shared" si="187"/>
        <v>0</v>
      </c>
      <c r="Q484" s="72">
        <f t="shared" si="188"/>
        <v>0.70833333333333337</v>
      </c>
      <c r="R484" s="72">
        <f t="shared" si="189"/>
        <v>0.29166666666666663</v>
      </c>
      <c r="S484" s="72">
        <f t="shared" si="190"/>
        <v>1.0224904106062558</v>
      </c>
      <c r="T484" s="72">
        <f t="shared" si="191"/>
        <v>0.99256017505470462</v>
      </c>
      <c r="U484" s="72">
        <f t="shared" si="192"/>
        <v>1.04</v>
      </c>
    </row>
    <row r="485" spans="1:21" x14ac:dyDescent="0.25">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0.83502188183807435</v>
      </c>
      <c r="P485" s="72">
        <f t="shared" si="187"/>
        <v>0</v>
      </c>
      <c r="Q485" s="72">
        <f t="shared" si="188"/>
        <v>0.625</v>
      </c>
      <c r="R485" s="72">
        <f t="shared" si="189"/>
        <v>0.375</v>
      </c>
      <c r="S485" s="72">
        <f t="shared" si="190"/>
        <v>1.0216738318959968</v>
      </c>
      <c r="T485" s="72">
        <f t="shared" si="191"/>
        <v>0.99177500321791734</v>
      </c>
      <c r="U485" s="72">
        <f t="shared" si="192"/>
        <v>1.04</v>
      </c>
    </row>
    <row r="486" spans="1:21" x14ac:dyDescent="0.25">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0.83435448577680527</v>
      </c>
      <c r="P486" s="72">
        <f t="shared" si="187"/>
        <v>0</v>
      </c>
      <c r="Q486" s="72">
        <f t="shared" si="188"/>
        <v>0.54166666666666663</v>
      </c>
      <c r="R486" s="72">
        <f t="shared" si="189"/>
        <v>0.45833333333333337</v>
      </c>
      <c r="S486" s="72">
        <f t="shared" si="190"/>
        <v>1.0208572531857383</v>
      </c>
      <c r="T486" s="72">
        <f t="shared" si="191"/>
        <v>0.99098983138113017</v>
      </c>
      <c r="U486" s="72">
        <f t="shared" si="192"/>
        <v>1.04</v>
      </c>
    </row>
    <row r="487" spans="1:21" x14ac:dyDescent="0.25">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0.83368708971553607</v>
      </c>
      <c r="P487" s="72">
        <f t="shared" si="187"/>
        <v>0</v>
      </c>
      <c r="Q487" s="72">
        <f t="shared" si="188"/>
        <v>0.45833333333333331</v>
      </c>
      <c r="R487" s="72">
        <f t="shared" si="189"/>
        <v>0.54166666666666674</v>
      </c>
      <c r="S487" s="72">
        <f t="shared" si="190"/>
        <v>1.0200406744754795</v>
      </c>
      <c r="T487" s="72">
        <f t="shared" si="191"/>
        <v>0.99020465954434289</v>
      </c>
      <c r="U487" s="72">
        <f t="shared" si="192"/>
        <v>1.04</v>
      </c>
    </row>
    <row r="488" spans="1:21" x14ac:dyDescent="0.25">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0.83300875273522967</v>
      </c>
      <c r="P488" s="72">
        <f t="shared" si="187"/>
        <v>0</v>
      </c>
      <c r="Q488" s="72">
        <f t="shared" si="188"/>
        <v>0.375</v>
      </c>
      <c r="R488" s="72">
        <f t="shared" si="189"/>
        <v>0.625</v>
      </c>
      <c r="S488" s="72">
        <f t="shared" si="190"/>
        <v>1.019210709228987</v>
      </c>
      <c r="T488" s="72">
        <f t="shared" si="191"/>
        <v>1.0289828806796242</v>
      </c>
      <c r="U488" s="72">
        <f t="shared" si="192"/>
        <v>1.04</v>
      </c>
    </row>
    <row r="489" spans="1:21" x14ac:dyDescent="0.25">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0.83234135667396059</v>
      </c>
      <c r="P489" s="72">
        <f t="shared" si="187"/>
        <v>0</v>
      </c>
      <c r="Q489" s="72">
        <f t="shared" si="188"/>
        <v>0.29166666666666669</v>
      </c>
      <c r="R489" s="72">
        <f t="shared" si="189"/>
        <v>0.70833333333333326</v>
      </c>
      <c r="S489" s="72">
        <f t="shared" si="190"/>
        <v>1.0183941305187283</v>
      </c>
      <c r="T489" s="72">
        <f t="shared" si="191"/>
        <v>1.0281663019693654</v>
      </c>
      <c r="U489" s="72">
        <f t="shared" si="192"/>
        <v>1.04</v>
      </c>
    </row>
    <row r="490" spans="1:21" x14ac:dyDescent="0.25">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0.83167396061269139</v>
      </c>
      <c r="P490" s="72">
        <f t="shared" si="187"/>
        <v>0</v>
      </c>
      <c r="Q490" s="72">
        <f t="shared" si="188"/>
        <v>0.20833333333333334</v>
      </c>
      <c r="R490" s="72">
        <f t="shared" si="189"/>
        <v>0.79166666666666663</v>
      </c>
      <c r="S490" s="72">
        <f t="shared" si="190"/>
        <v>1.0175775518084695</v>
      </c>
      <c r="T490" s="72">
        <f t="shared" si="191"/>
        <v>1.0273497232591069</v>
      </c>
      <c r="U490" s="72">
        <f t="shared" si="192"/>
        <v>1.04</v>
      </c>
    </row>
    <row r="491" spans="1:21" x14ac:dyDescent="0.25">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0.8310065645514223</v>
      </c>
      <c r="P491" s="72">
        <f t="shared" si="187"/>
        <v>0</v>
      </c>
      <c r="Q491" s="72">
        <f t="shared" si="188"/>
        <v>0.125</v>
      </c>
      <c r="R491" s="72">
        <f t="shared" si="189"/>
        <v>0.875</v>
      </c>
      <c r="S491" s="72">
        <f t="shared" si="190"/>
        <v>1.0167609730982108</v>
      </c>
      <c r="T491" s="72">
        <f t="shared" si="191"/>
        <v>1.0265331445488479</v>
      </c>
      <c r="U491" s="72">
        <f t="shared" si="192"/>
        <v>1.04</v>
      </c>
    </row>
    <row r="492" spans="1:21" x14ac:dyDescent="0.25">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0.8303391684901531</v>
      </c>
      <c r="P492" s="72">
        <f t="shared" si="187"/>
        <v>0</v>
      </c>
      <c r="Q492" s="72">
        <f t="shared" si="188"/>
        <v>4.1666666666666664E-2</v>
      </c>
      <c r="R492" s="72">
        <f t="shared" si="189"/>
        <v>0.95833333333333337</v>
      </c>
      <c r="S492" s="72">
        <f t="shared" si="190"/>
        <v>1.015944394387952</v>
      </c>
      <c r="T492" s="72">
        <f t="shared" si="191"/>
        <v>1.0257165658385894</v>
      </c>
      <c r="U492" s="72">
        <f t="shared" si="192"/>
        <v>1.04</v>
      </c>
    </row>
    <row r="493" spans="1:21" x14ac:dyDescent="0.25">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0.83</v>
      </c>
      <c r="P493" s="72">
        <f t="shared" si="187"/>
        <v>0</v>
      </c>
      <c r="Q493" s="72">
        <f t="shared" si="188"/>
        <v>0</v>
      </c>
      <c r="R493" s="72">
        <f t="shared" si="189"/>
        <v>0.95833333333333337</v>
      </c>
      <c r="S493" s="72">
        <f t="shared" si="190"/>
        <v>1.0155294117647058</v>
      </c>
      <c r="T493" s="72">
        <f t="shared" si="191"/>
        <v>0.99486420388724417</v>
      </c>
      <c r="U493" s="72">
        <f t="shared" si="192"/>
        <v>1.04</v>
      </c>
    </row>
    <row r="494" spans="1:21" x14ac:dyDescent="0.25">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0.83</v>
      </c>
      <c r="P494" s="72">
        <f t="shared" si="187"/>
        <v>0</v>
      </c>
      <c r="Q494" s="72">
        <f t="shared" si="188"/>
        <v>0</v>
      </c>
      <c r="R494" s="72">
        <f t="shared" si="189"/>
        <v>0.875</v>
      </c>
      <c r="S494" s="72">
        <f t="shared" si="190"/>
        <v>1.0155294117647058</v>
      </c>
      <c r="T494" s="72">
        <f t="shared" si="191"/>
        <v>0.99410477538936803</v>
      </c>
      <c r="U494" s="72">
        <f t="shared" si="192"/>
        <v>1.04</v>
      </c>
    </row>
    <row r="495" spans="1:21" x14ac:dyDescent="0.25">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0.83</v>
      </c>
      <c r="P495" s="72">
        <f t="shared" si="187"/>
        <v>0</v>
      </c>
      <c r="Q495" s="72">
        <f t="shared" si="188"/>
        <v>0</v>
      </c>
      <c r="R495" s="72">
        <f t="shared" si="189"/>
        <v>0.79166666666666663</v>
      </c>
      <c r="S495" s="72">
        <f t="shared" si="190"/>
        <v>1.0155294117647058</v>
      </c>
      <c r="T495" s="72">
        <f t="shared" si="191"/>
        <v>0.99334534689149179</v>
      </c>
      <c r="U495" s="72">
        <f t="shared" si="192"/>
        <v>1.04</v>
      </c>
    </row>
    <row r="496" spans="1:21" x14ac:dyDescent="0.25">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0.83</v>
      </c>
      <c r="P496" s="72">
        <f t="shared" si="187"/>
        <v>0</v>
      </c>
      <c r="Q496" s="72">
        <f t="shared" si="188"/>
        <v>0</v>
      </c>
      <c r="R496" s="72">
        <f t="shared" si="189"/>
        <v>0.70833333333333337</v>
      </c>
      <c r="S496" s="72">
        <f t="shared" si="190"/>
        <v>1.0155294117647058</v>
      </c>
      <c r="T496" s="72">
        <f t="shared" si="191"/>
        <v>0.99256017505470462</v>
      </c>
      <c r="U496" s="72">
        <f t="shared" si="192"/>
        <v>1.04</v>
      </c>
    </row>
    <row r="497" spans="1:21" x14ac:dyDescent="0.25">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0.83</v>
      </c>
      <c r="P497" s="72">
        <f t="shared" si="187"/>
        <v>0</v>
      </c>
      <c r="Q497" s="72">
        <f t="shared" si="188"/>
        <v>0</v>
      </c>
      <c r="R497" s="72">
        <f t="shared" si="189"/>
        <v>0.625</v>
      </c>
      <c r="S497" s="72">
        <f t="shared" si="190"/>
        <v>1.0155294117647058</v>
      </c>
      <c r="T497" s="72">
        <f t="shared" si="191"/>
        <v>0.99177500321791734</v>
      </c>
      <c r="U497" s="72">
        <f t="shared" si="192"/>
        <v>1.04</v>
      </c>
    </row>
    <row r="498" spans="1:21" x14ac:dyDescent="0.25">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0.83</v>
      </c>
      <c r="P498" s="72">
        <f t="shared" si="187"/>
        <v>0</v>
      </c>
      <c r="Q498" s="72">
        <f t="shared" si="188"/>
        <v>0</v>
      </c>
      <c r="R498" s="72">
        <f t="shared" si="189"/>
        <v>0.54166666666666663</v>
      </c>
      <c r="S498" s="72">
        <f t="shared" si="190"/>
        <v>1.0155294117647058</v>
      </c>
      <c r="T498" s="72">
        <f t="shared" si="191"/>
        <v>0.99098983138113017</v>
      </c>
      <c r="U498" s="72">
        <f t="shared" si="192"/>
        <v>1.04</v>
      </c>
    </row>
    <row r="499" spans="1:21" x14ac:dyDescent="0.25">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0.83</v>
      </c>
      <c r="P499" s="72">
        <f t="shared" si="187"/>
        <v>0</v>
      </c>
      <c r="Q499" s="72">
        <f t="shared" si="188"/>
        <v>0</v>
      </c>
      <c r="R499" s="72">
        <f t="shared" si="189"/>
        <v>0.45833333333333331</v>
      </c>
      <c r="S499" s="72">
        <f t="shared" si="190"/>
        <v>1.0155294117647058</v>
      </c>
      <c r="T499" s="72">
        <f t="shared" si="191"/>
        <v>0.99020465954434289</v>
      </c>
      <c r="U499" s="72">
        <f t="shared" si="192"/>
        <v>1.04</v>
      </c>
    </row>
    <row r="500" spans="1:21" x14ac:dyDescent="0.25">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0.83</v>
      </c>
      <c r="P500" s="72">
        <f t="shared" si="187"/>
        <v>0</v>
      </c>
      <c r="Q500" s="72">
        <f t="shared" si="188"/>
        <v>0</v>
      </c>
      <c r="R500" s="72">
        <f t="shared" si="189"/>
        <v>0.375</v>
      </c>
      <c r="S500" s="72">
        <f t="shared" si="190"/>
        <v>1.0155294117647058</v>
      </c>
      <c r="T500" s="72">
        <f t="shared" si="191"/>
        <v>1.0289828806796242</v>
      </c>
      <c r="U500" s="72">
        <f t="shared" si="192"/>
        <v>1.04</v>
      </c>
    </row>
    <row r="501" spans="1:21" x14ac:dyDescent="0.25">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0.83</v>
      </c>
      <c r="P501" s="72">
        <f t="shared" si="187"/>
        <v>0</v>
      </c>
      <c r="Q501" s="72">
        <f t="shared" si="188"/>
        <v>0</v>
      </c>
      <c r="R501" s="72">
        <f t="shared" si="189"/>
        <v>0.29166666666666669</v>
      </c>
      <c r="S501" s="72">
        <f t="shared" si="190"/>
        <v>1.0155294117647058</v>
      </c>
      <c r="T501" s="72">
        <f t="shared" si="191"/>
        <v>1.0281663019693654</v>
      </c>
      <c r="U501" s="72">
        <f t="shared" si="192"/>
        <v>1.04</v>
      </c>
    </row>
    <row r="502" spans="1:21" x14ac:dyDescent="0.25">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0.83</v>
      </c>
      <c r="P502" s="72">
        <f t="shared" si="187"/>
        <v>0</v>
      </c>
      <c r="Q502" s="72">
        <f t="shared" si="188"/>
        <v>0</v>
      </c>
      <c r="R502" s="72">
        <f t="shared" si="189"/>
        <v>0.20833333333333334</v>
      </c>
      <c r="S502" s="72">
        <f t="shared" si="190"/>
        <v>1.0155294117647058</v>
      </c>
      <c r="T502" s="72">
        <f t="shared" si="191"/>
        <v>1.0273497232591069</v>
      </c>
      <c r="U502" s="72">
        <f t="shared" si="192"/>
        <v>1.04</v>
      </c>
    </row>
    <row r="503" spans="1:21" x14ac:dyDescent="0.25">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0.83</v>
      </c>
      <c r="P503" s="72">
        <f t="shared" si="187"/>
        <v>0</v>
      </c>
      <c r="Q503" s="72">
        <f t="shared" si="188"/>
        <v>0</v>
      </c>
      <c r="R503" s="72">
        <f t="shared" si="189"/>
        <v>0.125</v>
      </c>
      <c r="S503" s="72">
        <f t="shared" si="190"/>
        <v>1.0155294117647058</v>
      </c>
      <c r="T503" s="72">
        <f t="shared" si="191"/>
        <v>1.0265331445488479</v>
      </c>
      <c r="U503" s="72">
        <f t="shared" si="192"/>
        <v>1.04</v>
      </c>
    </row>
    <row r="504" spans="1:21" x14ac:dyDescent="0.25">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0.83</v>
      </c>
      <c r="P504" s="72">
        <f t="shared" si="187"/>
        <v>0</v>
      </c>
      <c r="Q504" s="72">
        <f t="shared" si="188"/>
        <v>0</v>
      </c>
      <c r="R504" s="72">
        <f t="shared" si="189"/>
        <v>4.1666666666666664E-2</v>
      </c>
      <c r="S504" s="72">
        <f t="shared" si="190"/>
        <v>1.0155294117647058</v>
      </c>
      <c r="T504" s="72">
        <f t="shared" si="191"/>
        <v>1.0257165658385894</v>
      </c>
      <c r="U504" s="72">
        <f t="shared" si="192"/>
        <v>1.04</v>
      </c>
    </row>
    <row r="505" spans="1:21" x14ac:dyDescent="0.25">
      <c r="A505" s="77" t="s">
        <v>1209</v>
      </c>
      <c r="B505" s="50">
        <f>EXP(SUMPRODUCT((rl_key=$A$454)*(rl_cons="Y")*rl_ln1p))</f>
        <v>1.04</v>
      </c>
      <c r="C505" s="50">
        <f>SUMPRODUCT($H$457:$H$504,$P$457:$P$504,$U$457:$U$504)/SUMPRODUCT($H$457:$H$504,$P$457:$P$504)</f>
        <v>1.0034722222222223</v>
      </c>
      <c r="D505" s="50">
        <f>SUMPRODUCT($H$457:$H$504,$Q$457:$Q$504,$U$457:$U$504)/SUMPRODUCT($H$457:$H$504,$Q$457:$Q$504)</f>
        <v>1.0331944444444445</v>
      </c>
      <c r="E505" s="50">
        <f>SUMPRODUCT($H$457:$H$504,$R$457:$R$504,$U$457:$U$504)/SUMPRODUCT($H$457:$H$504,$R$457:$R$504)</f>
        <v>1.0400000000000003</v>
      </c>
      <c r="F505" s="169">
        <f>SUMPRODUCT($H$457:$H$504,$Q$457:$Q$504,$O$457:$O$504)/SUMPRODUCT($H$457:$H$504,$Q$457:$Q$504)</f>
        <v>0.8380041940189642</v>
      </c>
      <c r="G505" s="169">
        <f>SUMPRODUCT($H$457:$H$504,$R$457:$R$504,$O$457:$O$504)/SUMPRODUCT($H$457:$H$504,$R$457:$R$504)</f>
        <v>0.83134364362995383</v>
      </c>
    </row>
    <row r="508" spans="1:21" x14ac:dyDescent="0.25">
      <c r="A508" s="77" t="str">
        <f>INDEX(lr_key,9)</f>
        <v>BU-A|IA</v>
      </c>
      <c r="B508" s="77" t="str">
        <f>INDEX(lr_state,9)</f>
        <v>IA</v>
      </c>
      <c r="C508" s="52">
        <f>nr_TermMonths</f>
        <v>12</v>
      </c>
      <c r="D508" s="52">
        <f>IF(COUNTIF(se_state,$B508)=0,0,MATCH($B508,se_state,0))</f>
        <v>0</v>
      </c>
      <c r="E508" s="54">
        <f>IF($D508=0,0,INDEX(se_sum,$D508))</f>
        <v>0</v>
      </c>
      <c r="F508" s="169">
        <f>IF(N(INDEX(lr_mind,9))=0,1,INDEX(lr_mind,9))</f>
        <v>0.85</v>
      </c>
      <c r="G508" s="169">
        <f>IF(N(INDEX(lr_m0,9))=0,1,INDEX(lr_m0,9))</f>
        <v>0.84</v>
      </c>
      <c r="H508" s="51">
        <f>IF(N(INDEX(lr_m0asof,9))=0,DATE(nr_PlanYear-1,10,1),INDEX(lr_m0asof,9))</f>
        <v>46295</v>
      </c>
      <c r="I508" s="169">
        <f>IF(N(INDEX(lr_m1,9))=0,1,INDEX(lr_m1,9))</f>
        <v>0.84499999999999997</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25">
      <c r="A509" s="77">
        <f>EDATE($H$508,-12)+1</f>
        <v>45931</v>
      </c>
      <c r="B509" s="77">
        <f>$H$508+1</f>
        <v>46296</v>
      </c>
      <c r="C509" s="77">
        <f>DATE(nr_PlanYear,12,31)+1</f>
        <v>46753</v>
      </c>
      <c r="D509" s="77">
        <f>DATE(nr_PlanYear+1,12,31)+1</f>
        <v>47119</v>
      </c>
      <c r="E509" s="77">
        <f>IF(N($J$508)=0,$F$509-($G$509-$F$509)/($C$509-$B$509)*($B$509-$A$509),$J$508)</f>
        <v>0.8360065645514223</v>
      </c>
      <c r="F509" s="77">
        <f>$G$508</f>
        <v>0.84</v>
      </c>
      <c r="G509" s="77">
        <f>$I$508</f>
        <v>0.84499999999999997</v>
      </c>
      <c r="H509" s="77">
        <f>IF(N($K$508)=0,$I$508,$K$508)</f>
        <v>0.84499999999999997</v>
      </c>
      <c r="I509" s="77">
        <f>($F$509-$E$509)/($B$509-$A$509)</f>
        <v>1.0940919037199081E-5</v>
      </c>
      <c r="J509" s="77">
        <f>($G$509-$F$509)/($C$509-$B$509)</f>
        <v>1.0940919037199135E-5</v>
      </c>
      <c r="K509" s="77">
        <f>($H$509-$G$509)/($D$509-$C$509)</f>
        <v>0</v>
      </c>
    </row>
    <row r="510" spans="1:21" ht="24" x14ac:dyDescent="0.25">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25">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0.83318927789934349</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0.98022267988158063</v>
      </c>
      <c r="T511" s="72">
        <f t="shared" ref="T511:T558" si="211">IF($G511&lt;nr_MStartP,$S511,$T499*(1+IF($G511&lt;nr_MStartP1,$M$508,$N$508)))</f>
        <v>0.98022267988158063</v>
      </c>
      <c r="U511" s="72">
        <f t="shared" ref="U511:U558" si="212">IF($L$508,$T511,$N511)</f>
        <v>1</v>
      </c>
    </row>
    <row r="512" spans="1:21" x14ac:dyDescent="0.25">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0.83351203501094095</v>
      </c>
      <c r="P512" s="72">
        <f t="shared" si="207"/>
        <v>0.125</v>
      </c>
      <c r="Q512" s="72">
        <f t="shared" si="208"/>
        <v>0</v>
      </c>
      <c r="R512" s="72">
        <f t="shared" si="209"/>
        <v>0</v>
      </c>
      <c r="S512" s="72">
        <f t="shared" si="210"/>
        <v>0.98060239413051875</v>
      </c>
      <c r="T512" s="72">
        <f t="shared" si="211"/>
        <v>0.98060239413051875</v>
      </c>
      <c r="U512" s="72">
        <f t="shared" si="212"/>
        <v>1</v>
      </c>
    </row>
    <row r="513" spans="1:21" x14ac:dyDescent="0.25">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0.8338347921225383</v>
      </c>
      <c r="P513" s="72">
        <f t="shared" si="207"/>
        <v>0.20833333333333337</v>
      </c>
      <c r="Q513" s="72">
        <f t="shared" si="208"/>
        <v>0</v>
      </c>
      <c r="R513" s="72">
        <f t="shared" si="209"/>
        <v>0</v>
      </c>
      <c r="S513" s="72">
        <f t="shared" si="210"/>
        <v>0.98098210837945687</v>
      </c>
      <c r="T513" s="72">
        <f t="shared" si="211"/>
        <v>0.98098210837945687</v>
      </c>
      <c r="U513" s="72">
        <f t="shared" si="212"/>
        <v>1</v>
      </c>
    </row>
    <row r="514" spans="1:21" x14ac:dyDescent="0.25">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0.83416849015317285</v>
      </c>
      <c r="P514" s="72">
        <f t="shared" si="207"/>
        <v>0.29166666666666663</v>
      </c>
      <c r="Q514" s="72">
        <f t="shared" si="208"/>
        <v>0</v>
      </c>
      <c r="R514" s="72">
        <f t="shared" si="209"/>
        <v>0</v>
      </c>
      <c r="S514" s="72">
        <f t="shared" si="210"/>
        <v>0.9813746942978504</v>
      </c>
      <c r="T514" s="72">
        <f t="shared" si="211"/>
        <v>0.9813746942978504</v>
      </c>
      <c r="U514" s="72">
        <f t="shared" si="212"/>
        <v>1</v>
      </c>
    </row>
    <row r="515" spans="1:21" x14ac:dyDescent="0.25">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0.83450218818380739</v>
      </c>
      <c r="P515" s="72">
        <f t="shared" si="207"/>
        <v>0.375</v>
      </c>
      <c r="Q515" s="72">
        <f t="shared" si="208"/>
        <v>0</v>
      </c>
      <c r="R515" s="72">
        <f t="shared" si="209"/>
        <v>0</v>
      </c>
      <c r="S515" s="72">
        <f t="shared" si="210"/>
        <v>0.98176728021624404</v>
      </c>
      <c r="T515" s="72">
        <f t="shared" si="211"/>
        <v>0.98176728021624404</v>
      </c>
      <c r="U515" s="72">
        <f t="shared" si="212"/>
        <v>1</v>
      </c>
    </row>
    <row r="516" spans="1:21" x14ac:dyDescent="0.25">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0.83483588621444205</v>
      </c>
      <c r="P516" s="72">
        <f t="shared" si="207"/>
        <v>0.45833333333333337</v>
      </c>
      <c r="Q516" s="72">
        <f t="shared" si="208"/>
        <v>0</v>
      </c>
      <c r="R516" s="72">
        <f t="shared" si="209"/>
        <v>0</v>
      </c>
      <c r="S516" s="72">
        <f t="shared" si="210"/>
        <v>0.98215986613463768</v>
      </c>
      <c r="T516" s="72">
        <f t="shared" si="211"/>
        <v>0.98215986613463768</v>
      </c>
      <c r="U516" s="72">
        <f t="shared" si="212"/>
        <v>1</v>
      </c>
    </row>
    <row r="517" spans="1:21" x14ac:dyDescent="0.25">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0.83516958424507659</v>
      </c>
      <c r="P517" s="72">
        <f t="shared" si="207"/>
        <v>0.54166666666666674</v>
      </c>
      <c r="Q517" s="72">
        <f t="shared" si="208"/>
        <v>0</v>
      </c>
      <c r="R517" s="72">
        <f t="shared" si="209"/>
        <v>0</v>
      </c>
      <c r="S517" s="72">
        <f t="shared" si="210"/>
        <v>0.98255245205303132</v>
      </c>
      <c r="T517" s="72">
        <f t="shared" si="211"/>
        <v>0.98255245205303132</v>
      </c>
      <c r="U517" s="72">
        <f t="shared" si="212"/>
        <v>1</v>
      </c>
    </row>
    <row r="518" spans="1:21" x14ac:dyDescent="0.25">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0.83550875273522973</v>
      </c>
      <c r="P518" s="72">
        <f t="shared" si="207"/>
        <v>0.625</v>
      </c>
      <c r="Q518" s="72">
        <f t="shared" si="208"/>
        <v>0</v>
      </c>
      <c r="R518" s="72">
        <f t="shared" si="209"/>
        <v>0</v>
      </c>
      <c r="S518" s="72">
        <f t="shared" si="210"/>
        <v>0.98295147380615266</v>
      </c>
      <c r="T518" s="72">
        <f t="shared" si="211"/>
        <v>0.98295147380615266</v>
      </c>
      <c r="U518" s="72">
        <f t="shared" si="212"/>
        <v>1</v>
      </c>
    </row>
    <row r="519" spans="1:21" x14ac:dyDescent="0.25">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0.83584245076586428</v>
      </c>
      <c r="P519" s="72">
        <f t="shared" si="207"/>
        <v>0.70833333333333326</v>
      </c>
      <c r="Q519" s="72">
        <f t="shared" si="208"/>
        <v>0</v>
      </c>
      <c r="R519" s="72">
        <f t="shared" si="209"/>
        <v>0</v>
      </c>
      <c r="S519" s="72">
        <f t="shared" si="210"/>
        <v>0.98334405972454619</v>
      </c>
      <c r="T519" s="72">
        <f t="shared" si="211"/>
        <v>0.98334405972454619</v>
      </c>
      <c r="U519" s="72">
        <f t="shared" si="212"/>
        <v>1</v>
      </c>
    </row>
    <row r="520" spans="1:21" x14ac:dyDescent="0.25">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0.83617614879649893</v>
      </c>
      <c r="P520" s="72">
        <f t="shared" si="207"/>
        <v>0.79166666666666663</v>
      </c>
      <c r="Q520" s="72">
        <f t="shared" si="208"/>
        <v>0</v>
      </c>
      <c r="R520" s="72">
        <f t="shared" si="209"/>
        <v>0</v>
      </c>
      <c r="S520" s="72">
        <f t="shared" si="210"/>
        <v>0.98373664564293994</v>
      </c>
      <c r="T520" s="72">
        <f t="shared" si="211"/>
        <v>0.98373664564293994</v>
      </c>
      <c r="U520" s="72">
        <f t="shared" si="212"/>
        <v>1</v>
      </c>
    </row>
    <row r="521" spans="1:21" x14ac:dyDescent="0.25">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0.83650984682713347</v>
      </c>
      <c r="P521" s="72">
        <f t="shared" si="207"/>
        <v>0.875</v>
      </c>
      <c r="Q521" s="72">
        <f t="shared" si="208"/>
        <v>0</v>
      </c>
      <c r="R521" s="72">
        <f t="shared" si="209"/>
        <v>0</v>
      </c>
      <c r="S521" s="72">
        <f t="shared" si="210"/>
        <v>0.98412923156133347</v>
      </c>
      <c r="T521" s="72">
        <f t="shared" si="211"/>
        <v>0.98412923156133347</v>
      </c>
      <c r="U521" s="72">
        <f t="shared" si="212"/>
        <v>1</v>
      </c>
    </row>
    <row r="522" spans="1:21" x14ac:dyDescent="0.25">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0.83684354485776802</v>
      </c>
      <c r="P522" s="72">
        <f t="shared" si="207"/>
        <v>0.95833333333333337</v>
      </c>
      <c r="Q522" s="72">
        <f t="shared" si="208"/>
        <v>0</v>
      </c>
      <c r="R522" s="72">
        <f t="shared" si="209"/>
        <v>0</v>
      </c>
      <c r="S522" s="72">
        <f t="shared" si="210"/>
        <v>0.98452181747972711</v>
      </c>
      <c r="T522" s="72">
        <f t="shared" si="211"/>
        <v>0.98452181747972711</v>
      </c>
      <c r="U522" s="72">
        <f t="shared" si="212"/>
        <v>1</v>
      </c>
    </row>
    <row r="523" spans="1:21" x14ac:dyDescent="0.25">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0.83718271334792116</v>
      </c>
      <c r="P523" s="72">
        <f t="shared" si="207"/>
        <v>0.95833333333333337</v>
      </c>
      <c r="Q523" s="72">
        <f t="shared" si="208"/>
        <v>4.166666666666663E-2</v>
      </c>
      <c r="R523" s="72">
        <f t="shared" si="209"/>
        <v>0</v>
      </c>
      <c r="S523" s="72">
        <f t="shared" si="210"/>
        <v>0.98492083923284846</v>
      </c>
      <c r="T523" s="72">
        <f t="shared" si="211"/>
        <v>0.98492083923284846</v>
      </c>
      <c r="U523" s="72">
        <f t="shared" si="212"/>
        <v>1</v>
      </c>
    </row>
    <row r="524" spans="1:21" x14ac:dyDescent="0.25">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0.83750547045951862</v>
      </c>
      <c r="P524" s="72">
        <f t="shared" si="207"/>
        <v>0.875</v>
      </c>
      <c r="Q524" s="72">
        <f t="shared" si="208"/>
        <v>0.125</v>
      </c>
      <c r="R524" s="72">
        <f t="shared" si="209"/>
        <v>0</v>
      </c>
      <c r="S524" s="72">
        <f t="shared" si="210"/>
        <v>0.98530055348178669</v>
      </c>
      <c r="T524" s="72">
        <f t="shared" si="211"/>
        <v>0.98530055348178669</v>
      </c>
      <c r="U524" s="72">
        <f t="shared" si="212"/>
        <v>1</v>
      </c>
    </row>
    <row r="525" spans="1:21" x14ac:dyDescent="0.25">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0.83782822757111597</v>
      </c>
      <c r="P525" s="72">
        <f t="shared" si="207"/>
        <v>0.79166666666666663</v>
      </c>
      <c r="Q525" s="72">
        <f t="shared" si="208"/>
        <v>0.20833333333333337</v>
      </c>
      <c r="R525" s="72">
        <f t="shared" si="209"/>
        <v>0</v>
      </c>
      <c r="S525" s="72">
        <f t="shared" si="210"/>
        <v>0.9856802677307247</v>
      </c>
      <c r="T525" s="72">
        <f t="shared" si="211"/>
        <v>0.9856802677307247</v>
      </c>
      <c r="U525" s="72">
        <f t="shared" si="212"/>
        <v>1</v>
      </c>
    </row>
    <row r="526" spans="1:21" x14ac:dyDescent="0.25">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0.83816192560175051</v>
      </c>
      <c r="P526" s="72">
        <f t="shared" si="207"/>
        <v>0.70833333333333337</v>
      </c>
      <c r="Q526" s="72">
        <f t="shared" si="208"/>
        <v>0.29166666666666663</v>
      </c>
      <c r="R526" s="72">
        <f t="shared" si="209"/>
        <v>0</v>
      </c>
      <c r="S526" s="72">
        <f t="shared" si="210"/>
        <v>0.98607285364911823</v>
      </c>
      <c r="T526" s="72">
        <f t="shared" si="211"/>
        <v>0.98607285364911823</v>
      </c>
      <c r="U526" s="72">
        <f t="shared" si="212"/>
        <v>1</v>
      </c>
    </row>
    <row r="527" spans="1:21" x14ac:dyDescent="0.25">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0.83849562363238506</v>
      </c>
      <c r="P527" s="72">
        <f t="shared" si="207"/>
        <v>0.625</v>
      </c>
      <c r="Q527" s="72">
        <f t="shared" si="208"/>
        <v>0.375</v>
      </c>
      <c r="R527" s="72">
        <f t="shared" si="209"/>
        <v>0</v>
      </c>
      <c r="S527" s="72">
        <f t="shared" si="210"/>
        <v>0.98646543956751187</v>
      </c>
      <c r="T527" s="72">
        <f t="shared" si="211"/>
        <v>0.98646543956751187</v>
      </c>
      <c r="U527" s="72">
        <f t="shared" si="212"/>
        <v>1</v>
      </c>
    </row>
    <row r="528" spans="1:21" x14ac:dyDescent="0.25">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0.83882932166301971</v>
      </c>
      <c r="P528" s="72">
        <f t="shared" si="207"/>
        <v>0.54166666666666663</v>
      </c>
      <c r="Q528" s="72">
        <f t="shared" si="208"/>
        <v>0.45833333333333337</v>
      </c>
      <c r="R528" s="72">
        <f t="shared" si="209"/>
        <v>0</v>
      </c>
      <c r="S528" s="72">
        <f t="shared" si="210"/>
        <v>0.98685802548590562</v>
      </c>
      <c r="T528" s="72">
        <f t="shared" si="211"/>
        <v>0.98685802548590562</v>
      </c>
      <c r="U528" s="72">
        <f t="shared" si="212"/>
        <v>1</v>
      </c>
    </row>
    <row r="529" spans="1:21" x14ac:dyDescent="0.25">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0.83916301969365426</v>
      </c>
      <c r="P529" s="72">
        <f t="shared" si="207"/>
        <v>0.45833333333333331</v>
      </c>
      <c r="Q529" s="72">
        <f t="shared" si="208"/>
        <v>0.54166666666666674</v>
      </c>
      <c r="R529" s="72">
        <f t="shared" si="209"/>
        <v>0</v>
      </c>
      <c r="S529" s="72">
        <f t="shared" si="210"/>
        <v>0.98725061140429915</v>
      </c>
      <c r="T529" s="72">
        <f t="shared" si="211"/>
        <v>0.98725061140429915</v>
      </c>
      <c r="U529" s="72">
        <f t="shared" si="212"/>
        <v>1</v>
      </c>
    </row>
    <row r="530" spans="1:21" x14ac:dyDescent="0.25">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0.8395021881838074</v>
      </c>
      <c r="P530" s="72">
        <f t="shared" si="207"/>
        <v>0.375</v>
      </c>
      <c r="Q530" s="72">
        <f t="shared" si="208"/>
        <v>0.625</v>
      </c>
      <c r="R530" s="72">
        <f t="shared" si="209"/>
        <v>0</v>
      </c>
      <c r="S530" s="72">
        <f t="shared" si="210"/>
        <v>0.98764963315742049</v>
      </c>
      <c r="T530" s="72">
        <f t="shared" si="211"/>
        <v>0.98764963315742049</v>
      </c>
      <c r="U530" s="72">
        <f t="shared" si="212"/>
        <v>1</v>
      </c>
    </row>
    <row r="531" spans="1:21" x14ac:dyDescent="0.25">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0.83983588621444194</v>
      </c>
      <c r="P531" s="72">
        <f t="shared" si="207"/>
        <v>0.29166666666666669</v>
      </c>
      <c r="Q531" s="72">
        <f t="shared" si="208"/>
        <v>0.70833333333333326</v>
      </c>
      <c r="R531" s="72">
        <f t="shared" si="209"/>
        <v>0</v>
      </c>
      <c r="S531" s="72">
        <f t="shared" si="210"/>
        <v>0.98804221907581402</v>
      </c>
      <c r="T531" s="72">
        <f t="shared" si="211"/>
        <v>0.98804221907581402</v>
      </c>
      <c r="U531" s="72">
        <f t="shared" si="212"/>
        <v>1</v>
      </c>
    </row>
    <row r="532" spans="1:21" x14ac:dyDescent="0.25">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0.84016958424507659</v>
      </c>
      <c r="P532" s="72">
        <f t="shared" si="207"/>
        <v>0.20833333333333334</v>
      </c>
      <c r="Q532" s="72">
        <f t="shared" si="208"/>
        <v>0.79166666666666663</v>
      </c>
      <c r="R532" s="72">
        <f t="shared" si="209"/>
        <v>0</v>
      </c>
      <c r="S532" s="72">
        <f t="shared" si="210"/>
        <v>0.98843480499420777</v>
      </c>
      <c r="T532" s="72">
        <f t="shared" si="211"/>
        <v>0.98843480499420777</v>
      </c>
      <c r="U532" s="72">
        <f t="shared" si="212"/>
        <v>1</v>
      </c>
    </row>
    <row r="533" spans="1:21" x14ac:dyDescent="0.25">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0.84050328227571114</v>
      </c>
      <c r="P533" s="72">
        <f t="shared" si="207"/>
        <v>0.125</v>
      </c>
      <c r="Q533" s="72">
        <f t="shared" si="208"/>
        <v>0.875</v>
      </c>
      <c r="R533" s="72">
        <f t="shared" si="209"/>
        <v>0</v>
      </c>
      <c r="S533" s="72">
        <f t="shared" si="210"/>
        <v>0.98882739091260141</v>
      </c>
      <c r="T533" s="72">
        <f t="shared" si="211"/>
        <v>0.98882739091260141</v>
      </c>
      <c r="U533" s="72">
        <f t="shared" si="212"/>
        <v>1</v>
      </c>
    </row>
    <row r="534" spans="1:21" x14ac:dyDescent="0.25">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0.84083698030634568</v>
      </c>
      <c r="P534" s="72">
        <f t="shared" si="207"/>
        <v>4.1666666666666664E-2</v>
      </c>
      <c r="Q534" s="72">
        <f t="shared" si="208"/>
        <v>0.95833333333333337</v>
      </c>
      <c r="R534" s="72">
        <f t="shared" si="209"/>
        <v>0</v>
      </c>
      <c r="S534" s="72">
        <f t="shared" si="210"/>
        <v>0.98921997683099494</v>
      </c>
      <c r="T534" s="72">
        <f t="shared" si="211"/>
        <v>0.98921997683099494</v>
      </c>
      <c r="U534" s="72">
        <f t="shared" si="212"/>
        <v>1</v>
      </c>
    </row>
    <row r="535" spans="1:21" x14ac:dyDescent="0.25">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0.84117614879649882</v>
      </c>
      <c r="P535" s="72">
        <f t="shared" si="207"/>
        <v>0</v>
      </c>
      <c r="Q535" s="72">
        <f t="shared" si="208"/>
        <v>0.95833333333333337</v>
      </c>
      <c r="R535" s="72">
        <f t="shared" si="209"/>
        <v>4.166666666666663E-2</v>
      </c>
      <c r="S535" s="72">
        <f t="shared" si="210"/>
        <v>0.98961899858411628</v>
      </c>
      <c r="T535" s="72">
        <f t="shared" si="211"/>
        <v>0.98492083923284846</v>
      </c>
      <c r="U535" s="72">
        <f t="shared" si="212"/>
        <v>1</v>
      </c>
    </row>
    <row r="536" spans="1:21" x14ac:dyDescent="0.25">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0.84149890590809628</v>
      </c>
      <c r="P536" s="72">
        <f t="shared" si="207"/>
        <v>0</v>
      </c>
      <c r="Q536" s="72">
        <f t="shared" si="208"/>
        <v>0.875</v>
      </c>
      <c r="R536" s="72">
        <f t="shared" si="209"/>
        <v>0.125</v>
      </c>
      <c r="S536" s="72">
        <f t="shared" si="210"/>
        <v>0.98999871283305452</v>
      </c>
      <c r="T536" s="72">
        <f t="shared" si="211"/>
        <v>0.98530055348178669</v>
      </c>
      <c r="U536" s="72">
        <f t="shared" si="212"/>
        <v>1</v>
      </c>
    </row>
    <row r="537" spans="1:21" x14ac:dyDescent="0.25">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0.84182166301969363</v>
      </c>
      <c r="P537" s="72">
        <f t="shared" si="207"/>
        <v>0</v>
      </c>
      <c r="Q537" s="72">
        <f t="shared" si="208"/>
        <v>0.79166666666666663</v>
      </c>
      <c r="R537" s="72">
        <f t="shared" si="209"/>
        <v>0.20833333333333337</v>
      </c>
      <c r="S537" s="72">
        <f t="shared" si="210"/>
        <v>0.99037842708199253</v>
      </c>
      <c r="T537" s="72">
        <f t="shared" si="211"/>
        <v>0.9856802677307247</v>
      </c>
      <c r="U537" s="72">
        <f t="shared" si="212"/>
        <v>1</v>
      </c>
    </row>
    <row r="538" spans="1:21" x14ac:dyDescent="0.25">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0.84215536105032818</v>
      </c>
      <c r="P538" s="72">
        <f t="shared" si="207"/>
        <v>0</v>
      </c>
      <c r="Q538" s="72">
        <f t="shared" si="208"/>
        <v>0.70833333333333337</v>
      </c>
      <c r="R538" s="72">
        <f t="shared" si="209"/>
        <v>0.29166666666666663</v>
      </c>
      <c r="S538" s="72">
        <f t="shared" si="210"/>
        <v>0.99077101300038617</v>
      </c>
      <c r="T538" s="72">
        <f t="shared" si="211"/>
        <v>0.98607285364911823</v>
      </c>
      <c r="U538" s="72">
        <f t="shared" si="212"/>
        <v>1</v>
      </c>
    </row>
    <row r="539" spans="1:21" x14ac:dyDescent="0.25">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0.84248905908096272</v>
      </c>
      <c r="P539" s="72">
        <f t="shared" si="207"/>
        <v>0</v>
      </c>
      <c r="Q539" s="72">
        <f t="shared" si="208"/>
        <v>0.625</v>
      </c>
      <c r="R539" s="72">
        <f t="shared" si="209"/>
        <v>0.375</v>
      </c>
      <c r="S539" s="72">
        <f t="shared" si="210"/>
        <v>0.9911635989187797</v>
      </c>
      <c r="T539" s="72">
        <f t="shared" si="211"/>
        <v>0.98646543956751187</v>
      </c>
      <c r="U539" s="72">
        <f t="shared" si="212"/>
        <v>1</v>
      </c>
    </row>
    <row r="540" spans="1:21" x14ac:dyDescent="0.25">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0.84282275711159738</v>
      </c>
      <c r="P540" s="72">
        <f t="shared" si="207"/>
        <v>0</v>
      </c>
      <c r="Q540" s="72">
        <f t="shared" si="208"/>
        <v>0.54166666666666663</v>
      </c>
      <c r="R540" s="72">
        <f t="shared" si="209"/>
        <v>0.45833333333333337</v>
      </c>
      <c r="S540" s="72">
        <f t="shared" si="210"/>
        <v>0.99155618483717345</v>
      </c>
      <c r="T540" s="72">
        <f t="shared" si="211"/>
        <v>0.98685802548590562</v>
      </c>
      <c r="U540" s="72">
        <f t="shared" si="212"/>
        <v>1</v>
      </c>
    </row>
    <row r="541" spans="1:21" x14ac:dyDescent="0.25">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0.84315645514223192</v>
      </c>
      <c r="P541" s="72">
        <f t="shared" si="207"/>
        <v>0</v>
      </c>
      <c r="Q541" s="72">
        <f t="shared" si="208"/>
        <v>0.45833333333333331</v>
      </c>
      <c r="R541" s="72">
        <f t="shared" si="209"/>
        <v>0.54166666666666674</v>
      </c>
      <c r="S541" s="72">
        <f t="shared" si="210"/>
        <v>0.99194877075556698</v>
      </c>
      <c r="T541" s="72">
        <f t="shared" si="211"/>
        <v>0.98725061140429915</v>
      </c>
      <c r="U541" s="72">
        <f t="shared" si="212"/>
        <v>1</v>
      </c>
    </row>
    <row r="542" spans="1:21" x14ac:dyDescent="0.25">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0.84349562363238506</v>
      </c>
      <c r="P542" s="72">
        <f t="shared" si="207"/>
        <v>0</v>
      </c>
      <c r="Q542" s="72">
        <f t="shared" si="208"/>
        <v>0.375</v>
      </c>
      <c r="R542" s="72">
        <f t="shared" si="209"/>
        <v>0.625</v>
      </c>
      <c r="S542" s="72">
        <f t="shared" si="210"/>
        <v>0.99234779250868832</v>
      </c>
      <c r="T542" s="72">
        <f t="shared" si="211"/>
        <v>0.98764963315742049</v>
      </c>
      <c r="U542" s="72">
        <f t="shared" si="212"/>
        <v>1</v>
      </c>
    </row>
    <row r="543" spans="1:21" x14ac:dyDescent="0.25">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0.84382932166301972</v>
      </c>
      <c r="P543" s="72">
        <f t="shared" si="207"/>
        <v>0</v>
      </c>
      <c r="Q543" s="72">
        <f t="shared" si="208"/>
        <v>0.29166666666666669</v>
      </c>
      <c r="R543" s="72">
        <f t="shared" si="209"/>
        <v>0.70833333333333326</v>
      </c>
      <c r="S543" s="72">
        <f t="shared" si="210"/>
        <v>0.99274037842708207</v>
      </c>
      <c r="T543" s="72">
        <f t="shared" si="211"/>
        <v>0.98804221907581402</v>
      </c>
      <c r="U543" s="72">
        <f t="shared" si="212"/>
        <v>1</v>
      </c>
    </row>
    <row r="544" spans="1:21" x14ac:dyDescent="0.25">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0.84416301969365426</v>
      </c>
      <c r="P544" s="72">
        <f t="shared" si="207"/>
        <v>0</v>
      </c>
      <c r="Q544" s="72">
        <f t="shared" si="208"/>
        <v>0.20833333333333334</v>
      </c>
      <c r="R544" s="72">
        <f t="shared" si="209"/>
        <v>0.79166666666666663</v>
      </c>
      <c r="S544" s="72">
        <f t="shared" si="210"/>
        <v>0.9931329643454756</v>
      </c>
      <c r="T544" s="72">
        <f t="shared" si="211"/>
        <v>0.98843480499420777</v>
      </c>
      <c r="U544" s="72">
        <f t="shared" si="212"/>
        <v>1</v>
      </c>
    </row>
    <row r="545" spans="1:21" x14ac:dyDescent="0.25">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0.8444967177242888</v>
      </c>
      <c r="P545" s="72">
        <f t="shared" si="207"/>
        <v>0</v>
      </c>
      <c r="Q545" s="72">
        <f t="shared" si="208"/>
        <v>0.125</v>
      </c>
      <c r="R545" s="72">
        <f t="shared" si="209"/>
        <v>0.875</v>
      </c>
      <c r="S545" s="72">
        <f t="shared" si="210"/>
        <v>0.99352555026386924</v>
      </c>
      <c r="T545" s="72">
        <f t="shared" si="211"/>
        <v>0.98882739091260141</v>
      </c>
      <c r="U545" s="72">
        <f t="shared" si="212"/>
        <v>1</v>
      </c>
    </row>
    <row r="546" spans="1:21" x14ac:dyDescent="0.25">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0.84483041575492335</v>
      </c>
      <c r="P546" s="72">
        <f t="shared" si="207"/>
        <v>0</v>
      </c>
      <c r="Q546" s="72">
        <f t="shared" si="208"/>
        <v>4.1666666666666664E-2</v>
      </c>
      <c r="R546" s="72">
        <f t="shared" si="209"/>
        <v>0.95833333333333337</v>
      </c>
      <c r="S546" s="72">
        <f t="shared" si="210"/>
        <v>0.99391813618226277</v>
      </c>
      <c r="T546" s="72">
        <f t="shared" si="211"/>
        <v>0.98921997683099494</v>
      </c>
      <c r="U546" s="72">
        <f t="shared" si="212"/>
        <v>1</v>
      </c>
    </row>
    <row r="547" spans="1:21" x14ac:dyDescent="0.25">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0.84499999999999997</v>
      </c>
      <c r="P547" s="72">
        <f t="shared" si="207"/>
        <v>0</v>
      </c>
      <c r="Q547" s="72">
        <f t="shared" si="208"/>
        <v>0</v>
      </c>
      <c r="R547" s="72">
        <f t="shared" si="209"/>
        <v>0.95833333333333337</v>
      </c>
      <c r="S547" s="72">
        <f t="shared" si="210"/>
        <v>0.99411764705882355</v>
      </c>
      <c r="T547" s="72">
        <f t="shared" si="211"/>
        <v>0.98492083923284846</v>
      </c>
      <c r="U547" s="72">
        <f t="shared" si="212"/>
        <v>1</v>
      </c>
    </row>
    <row r="548" spans="1:21" x14ac:dyDescent="0.25">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0.84499999999999997</v>
      </c>
      <c r="P548" s="72">
        <f t="shared" si="207"/>
        <v>0</v>
      </c>
      <c r="Q548" s="72">
        <f t="shared" si="208"/>
        <v>0</v>
      </c>
      <c r="R548" s="72">
        <f t="shared" si="209"/>
        <v>0.875</v>
      </c>
      <c r="S548" s="72">
        <f t="shared" si="210"/>
        <v>0.99411764705882355</v>
      </c>
      <c r="T548" s="72">
        <f t="shared" si="211"/>
        <v>0.98530055348178669</v>
      </c>
      <c r="U548" s="72">
        <f t="shared" si="212"/>
        <v>1</v>
      </c>
    </row>
    <row r="549" spans="1:21" x14ac:dyDescent="0.25">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0.84499999999999997</v>
      </c>
      <c r="P549" s="72">
        <f t="shared" si="207"/>
        <v>0</v>
      </c>
      <c r="Q549" s="72">
        <f t="shared" si="208"/>
        <v>0</v>
      </c>
      <c r="R549" s="72">
        <f t="shared" si="209"/>
        <v>0.79166666666666663</v>
      </c>
      <c r="S549" s="72">
        <f t="shared" si="210"/>
        <v>0.99411764705882355</v>
      </c>
      <c r="T549" s="72">
        <f t="shared" si="211"/>
        <v>0.9856802677307247</v>
      </c>
      <c r="U549" s="72">
        <f t="shared" si="212"/>
        <v>1</v>
      </c>
    </row>
    <row r="550" spans="1:21" x14ac:dyDescent="0.25">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0.84499999999999997</v>
      </c>
      <c r="P550" s="72">
        <f t="shared" si="207"/>
        <v>0</v>
      </c>
      <c r="Q550" s="72">
        <f t="shared" si="208"/>
        <v>0</v>
      </c>
      <c r="R550" s="72">
        <f t="shared" si="209"/>
        <v>0.70833333333333337</v>
      </c>
      <c r="S550" s="72">
        <f t="shared" si="210"/>
        <v>0.99411764705882355</v>
      </c>
      <c r="T550" s="72">
        <f t="shared" si="211"/>
        <v>0.98607285364911823</v>
      </c>
      <c r="U550" s="72">
        <f t="shared" si="212"/>
        <v>1</v>
      </c>
    </row>
    <row r="551" spans="1:21" x14ac:dyDescent="0.25">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0.84499999999999997</v>
      </c>
      <c r="P551" s="72">
        <f t="shared" si="207"/>
        <v>0</v>
      </c>
      <c r="Q551" s="72">
        <f t="shared" si="208"/>
        <v>0</v>
      </c>
      <c r="R551" s="72">
        <f t="shared" si="209"/>
        <v>0.625</v>
      </c>
      <c r="S551" s="72">
        <f t="shared" si="210"/>
        <v>0.99411764705882355</v>
      </c>
      <c r="T551" s="72">
        <f t="shared" si="211"/>
        <v>0.98646543956751187</v>
      </c>
      <c r="U551" s="72">
        <f t="shared" si="212"/>
        <v>1</v>
      </c>
    </row>
    <row r="552" spans="1:21" x14ac:dyDescent="0.25">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0.84499999999999997</v>
      </c>
      <c r="P552" s="72">
        <f t="shared" si="207"/>
        <v>0</v>
      </c>
      <c r="Q552" s="72">
        <f t="shared" si="208"/>
        <v>0</v>
      </c>
      <c r="R552" s="72">
        <f t="shared" si="209"/>
        <v>0.54166666666666663</v>
      </c>
      <c r="S552" s="72">
        <f t="shared" si="210"/>
        <v>0.99411764705882355</v>
      </c>
      <c r="T552" s="72">
        <f t="shared" si="211"/>
        <v>0.98685802548590562</v>
      </c>
      <c r="U552" s="72">
        <f t="shared" si="212"/>
        <v>1</v>
      </c>
    </row>
    <row r="553" spans="1:21" x14ac:dyDescent="0.25">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0.84499999999999997</v>
      </c>
      <c r="P553" s="72">
        <f t="shared" si="207"/>
        <v>0</v>
      </c>
      <c r="Q553" s="72">
        <f t="shared" si="208"/>
        <v>0</v>
      </c>
      <c r="R553" s="72">
        <f t="shared" si="209"/>
        <v>0.45833333333333331</v>
      </c>
      <c r="S553" s="72">
        <f t="shared" si="210"/>
        <v>0.99411764705882355</v>
      </c>
      <c r="T553" s="72">
        <f t="shared" si="211"/>
        <v>0.98725061140429915</v>
      </c>
      <c r="U553" s="72">
        <f t="shared" si="212"/>
        <v>1</v>
      </c>
    </row>
    <row r="554" spans="1:21" x14ac:dyDescent="0.25">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0.84499999999999997</v>
      </c>
      <c r="P554" s="72">
        <f t="shared" si="207"/>
        <v>0</v>
      </c>
      <c r="Q554" s="72">
        <f t="shared" si="208"/>
        <v>0</v>
      </c>
      <c r="R554" s="72">
        <f t="shared" si="209"/>
        <v>0.375</v>
      </c>
      <c r="S554" s="72">
        <f t="shared" si="210"/>
        <v>0.99411764705882355</v>
      </c>
      <c r="T554" s="72">
        <f t="shared" si="211"/>
        <v>0.98764963315742049</v>
      </c>
      <c r="U554" s="72">
        <f t="shared" si="212"/>
        <v>1</v>
      </c>
    </row>
    <row r="555" spans="1:21" x14ac:dyDescent="0.25">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0.84499999999999997</v>
      </c>
      <c r="P555" s="72">
        <f t="shared" si="207"/>
        <v>0</v>
      </c>
      <c r="Q555" s="72">
        <f t="shared" si="208"/>
        <v>0</v>
      </c>
      <c r="R555" s="72">
        <f t="shared" si="209"/>
        <v>0.29166666666666669</v>
      </c>
      <c r="S555" s="72">
        <f t="shared" si="210"/>
        <v>0.99411764705882355</v>
      </c>
      <c r="T555" s="72">
        <f t="shared" si="211"/>
        <v>0.98804221907581402</v>
      </c>
      <c r="U555" s="72">
        <f t="shared" si="212"/>
        <v>1</v>
      </c>
    </row>
    <row r="556" spans="1:21" x14ac:dyDescent="0.25">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0.84499999999999997</v>
      </c>
      <c r="P556" s="72">
        <f t="shared" si="207"/>
        <v>0</v>
      </c>
      <c r="Q556" s="72">
        <f t="shared" si="208"/>
        <v>0</v>
      </c>
      <c r="R556" s="72">
        <f t="shared" si="209"/>
        <v>0.20833333333333334</v>
      </c>
      <c r="S556" s="72">
        <f t="shared" si="210"/>
        <v>0.99411764705882355</v>
      </c>
      <c r="T556" s="72">
        <f t="shared" si="211"/>
        <v>0.98843480499420777</v>
      </c>
      <c r="U556" s="72">
        <f t="shared" si="212"/>
        <v>1</v>
      </c>
    </row>
    <row r="557" spans="1:21" x14ac:dyDescent="0.25">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0.84499999999999997</v>
      </c>
      <c r="P557" s="72">
        <f t="shared" si="207"/>
        <v>0</v>
      </c>
      <c r="Q557" s="72">
        <f t="shared" si="208"/>
        <v>0</v>
      </c>
      <c r="R557" s="72">
        <f t="shared" si="209"/>
        <v>0.125</v>
      </c>
      <c r="S557" s="72">
        <f t="shared" si="210"/>
        <v>0.99411764705882355</v>
      </c>
      <c r="T557" s="72">
        <f t="shared" si="211"/>
        <v>0.98882739091260141</v>
      </c>
      <c r="U557" s="72">
        <f t="shared" si="212"/>
        <v>1</v>
      </c>
    </row>
    <row r="558" spans="1:21" x14ac:dyDescent="0.25">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0.84499999999999997</v>
      </c>
      <c r="P558" s="72">
        <f t="shared" si="207"/>
        <v>0</v>
      </c>
      <c r="Q558" s="72">
        <f t="shared" si="208"/>
        <v>0</v>
      </c>
      <c r="R558" s="72">
        <f t="shared" si="209"/>
        <v>4.1666666666666664E-2</v>
      </c>
      <c r="S558" s="72">
        <f t="shared" si="210"/>
        <v>0.99411764705882355</v>
      </c>
      <c r="T558" s="72">
        <f t="shared" si="211"/>
        <v>0.98921997683099494</v>
      </c>
      <c r="U558" s="72">
        <f t="shared" si="212"/>
        <v>1</v>
      </c>
    </row>
    <row r="559" spans="1:21" x14ac:dyDescent="0.25">
      <c r="A559" s="77" t="s">
        <v>1209</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0.84099790299051769</v>
      </c>
      <c r="G559" s="169">
        <f>SUMPRODUCT($H$511:$H$558,$R$511:$R$558,$O$511:$O$558)/SUMPRODUCT($H$511:$H$558,$R$511:$R$558)</f>
        <v>0.84432817818502282</v>
      </c>
    </row>
    <row r="562" spans="1:21" x14ac:dyDescent="0.25">
      <c r="A562" s="77" t="str">
        <f>INDEX(lr_key,10)</f>
        <v>BU-A|KY</v>
      </c>
      <c r="B562" s="77" t="str">
        <f>INDEX(lr_state,10)</f>
        <v>KY</v>
      </c>
      <c r="C562" s="52">
        <f>nr_TermMonths</f>
        <v>12</v>
      </c>
      <c r="D562" s="52">
        <f>IF(COUNTIF(se_state,$B562)=0,0,MATCH($B562,se_state,0))</f>
        <v>0</v>
      </c>
      <c r="E562" s="54">
        <f>IF($D562=0,0,INDEX(se_sum,$D562))</f>
        <v>0</v>
      </c>
      <c r="F562" s="169">
        <f>IF(N(INDEX(lr_mind,10))=0,1,INDEX(lr_mind,10))</f>
        <v>0.85</v>
      </c>
      <c r="G562" s="169">
        <f>IF(N(INDEX(lr_m0,10))=0,1,INDEX(lr_m0,10))</f>
        <v>0.84</v>
      </c>
      <c r="H562" s="51">
        <f>IF(N(INDEX(lr_m0asof,10))=0,DATE(nr_PlanYear-1,10,1),INDEX(lr_m0asof,10))</f>
        <v>46295</v>
      </c>
      <c r="I562" s="169">
        <f>IF(N(INDEX(lr_m1,10))=0,1,INDEX(lr_m1,10))</f>
        <v>0.86</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25">
      <c r="A563" s="77">
        <f>EDATE($H$562,-12)+1</f>
        <v>45931</v>
      </c>
      <c r="B563" s="77">
        <f>$H$562+1</f>
        <v>46296</v>
      </c>
      <c r="C563" s="77">
        <f>DATE(nr_PlanYear,12,31)+1</f>
        <v>46753</v>
      </c>
      <c r="D563" s="77">
        <f>DATE(nr_PlanYear+1,12,31)+1</f>
        <v>47119</v>
      </c>
      <c r="E563" s="77">
        <f>IF(N($J$562)=0,$F$563-($G$563-$F$563)/($C$563-$B$563)*($B$563-$A$563),$J$562)</f>
        <v>0.8240262582056892</v>
      </c>
      <c r="F563" s="77">
        <f>$G$562</f>
        <v>0.84</v>
      </c>
      <c r="G563" s="77">
        <f>$I$562</f>
        <v>0.86</v>
      </c>
      <c r="H563" s="77">
        <f>IF(N($K$562)=0,$I$562,$K$562)</f>
        <v>0.86</v>
      </c>
      <c r="I563" s="77">
        <f>($F$563-$E$563)/($B$563-$A$563)</f>
        <v>4.3763676148796628E-5</v>
      </c>
      <c r="J563" s="77">
        <f>($G$563-$F$563)/($C$563-$B$563)</f>
        <v>4.376367614879654E-5</v>
      </c>
      <c r="K563" s="77">
        <f>($H$563-$G$563)/($D$563-$C$563)</f>
        <v>0</v>
      </c>
    </row>
    <row r="564" spans="1:21" ht="24" x14ac:dyDescent="0.25">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25">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0.81275711159737407</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0.95618483717338132</v>
      </c>
      <c r="T565" s="72">
        <f t="shared" ref="T565:T612" si="231">IF($G565&lt;nr_MStartP,$S565,$T553*(1+IF($G565&lt;nr_MStartP1,$M$562,$N$562)))</f>
        <v>0.95618483717338132</v>
      </c>
      <c r="U565" s="72">
        <f t="shared" ref="U565:U612" si="232">IF($L$562,$T565,$N565)</f>
        <v>1</v>
      </c>
    </row>
    <row r="566" spans="1:21" x14ac:dyDescent="0.25">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0.81404814004376358</v>
      </c>
      <c r="P566" s="72">
        <f t="shared" si="227"/>
        <v>0.125</v>
      </c>
      <c r="Q566" s="72">
        <f t="shared" si="228"/>
        <v>0</v>
      </c>
      <c r="R566" s="72">
        <f t="shared" si="229"/>
        <v>0</v>
      </c>
      <c r="S566" s="72">
        <f t="shared" si="230"/>
        <v>0.9577036941691337</v>
      </c>
      <c r="T566" s="72">
        <f t="shared" si="231"/>
        <v>0.9577036941691337</v>
      </c>
      <c r="U566" s="72">
        <f t="shared" si="232"/>
        <v>1</v>
      </c>
    </row>
    <row r="567" spans="1:21" x14ac:dyDescent="0.25">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0.81533916849015309</v>
      </c>
      <c r="P567" s="72">
        <f t="shared" si="227"/>
        <v>0.20833333333333337</v>
      </c>
      <c r="Q567" s="72">
        <f t="shared" si="228"/>
        <v>0</v>
      </c>
      <c r="R567" s="72">
        <f t="shared" si="229"/>
        <v>0</v>
      </c>
      <c r="S567" s="72">
        <f t="shared" si="230"/>
        <v>0.95922255116488597</v>
      </c>
      <c r="T567" s="72">
        <f t="shared" si="231"/>
        <v>0.95922255116488597</v>
      </c>
      <c r="U567" s="72">
        <f t="shared" si="232"/>
        <v>1</v>
      </c>
    </row>
    <row r="568" spans="1:21" x14ac:dyDescent="0.25">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0.81667396061269137</v>
      </c>
      <c r="P568" s="72">
        <f t="shared" si="227"/>
        <v>0.29166666666666663</v>
      </c>
      <c r="Q568" s="72">
        <f t="shared" si="228"/>
        <v>0</v>
      </c>
      <c r="R568" s="72">
        <f t="shared" si="229"/>
        <v>0</v>
      </c>
      <c r="S568" s="72">
        <f t="shared" si="230"/>
        <v>0.96079289483846042</v>
      </c>
      <c r="T568" s="72">
        <f t="shared" si="231"/>
        <v>0.96079289483846042</v>
      </c>
      <c r="U568" s="72">
        <f t="shared" si="232"/>
        <v>1</v>
      </c>
    </row>
    <row r="569" spans="1:21" x14ac:dyDescent="0.25">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0.81800875273522966</v>
      </c>
      <c r="P569" s="72">
        <f t="shared" si="227"/>
        <v>0.375</v>
      </c>
      <c r="Q569" s="72">
        <f t="shared" si="228"/>
        <v>0</v>
      </c>
      <c r="R569" s="72">
        <f t="shared" si="229"/>
        <v>0</v>
      </c>
      <c r="S569" s="72">
        <f t="shared" si="230"/>
        <v>0.96236323851203487</v>
      </c>
      <c r="T569" s="72">
        <f t="shared" si="231"/>
        <v>0.96236323851203487</v>
      </c>
      <c r="U569" s="72">
        <f t="shared" si="232"/>
        <v>1</v>
      </c>
    </row>
    <row r="570" spans="1:21" x14ac:dyDescent="0.25">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0.81934354485776795</v>
      </c>
      <c r="P570" s="72">
        <f t="shared" si="227"/>
        <v>0.45833333333333337</v>
      </c>
      <c r="Q570" s="72">
        <f t="shared" si="228"/>
        <v>0</v>
      </c>
      <c r="R570" s="72">
        <f t="shared" si="229"/>
        <v>0</v>
      </c>
      <c r="S570" s="72">
        <f t="shared" si="230"/>
        <v>0.96393358218560943</v>
      </c>
      <c r="T570" s="72">
        <f t="shared" si="231"/>
        <v>0.96393358218560943</v>
      </c>
      <c r="U570" s="72">
        <f t="shared" si="232"/>
        <v>1</v>
      </c>
    </row>
    <row r="571" spans="1:21" x14ac:dyDescent="0.25">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0.82067833698030623</v>
      </c>
      <c r="P571" s="72">
        <f t="shared" si="227"/>
        <v>0.54166666666666674</v>
      </c>
      <c r="Q571" s="72">
        <f t="shared" si="228"/>
        <v>0</v>
      </c>
      <c r="R571" s="72">
        <f t="shared" si="229"/>
        <v>0</v>
      </c>
      <c r="S571" s="72">
        <f t="shared" si="230"/>
        <v>0.96550392585918388</v>
      </c>
      <c r="T571" s="72">
        <f t="shared" si="231"/>
        <v>0.96550392585918388</v>
      </c>
      <c r="U571" s="72">
        <f t="shared" si="232"/>
        <v>1</v>
      </c>
    </row>
    <row r="572" spans="1:21" x14ac:dyDescent="0.25">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0.82203501094091891</v>
      </c>
      <c r="P572" s="72">
        <f t="shared" si="227"/>
        <v>0.625</v>
      </c>
      <c r="Q572" s="72">
        <f t="shared" si="228"/>
        <v>0</v>
      </c>
      <c r="R572" s="72">
        <f t="shared" si="229"/>
        <v>0</v>
      </c>
      <c r="S572" s="72">
        <f t="shared" si="230"/>
        <v>0.96710001287166936</v>
      </c>
      <c r="T572" s="72">
        <f t="shared" si="231"/>
        <v>0.96710001287166936</v>
      </c>
      <c r="U572" s="72">
        <f t="shared" si="232"/>
        <v>1</v>
      </c>
    </row>
    <row r="573" spans="1:21" x14ac:dyDescent="0.25">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0.8233698030634572</v>
      </c>
      <c r="P573" s="72">
        <f t="shared" si="227"/>
        <v>0.70833333333333326</v>
      </c>
      <c r="Q573" s="72">
        <f t="shared" si="228"/>
        <v>0</v>
      </c>
      <c r="R573" s="72">
        <f t="shared" si="229"/>
        <v>0</v>
      </c>
      <c r="S573" s="72">
        <f t="shared" si="230"/>
        <v>0.9686703565452438</v>
      </c>
      <c r="T573" s="72">
        <f t="shared" si="231"/>
        <v>0.9686703565452438</v>
      </c>
      <c r="U573" s="72">
        <f t="shared" si="232"/>
        <v>1</v>
      </c>
    </row>
    <row r="574" spans="1:21" x14ac:dyDescent="0.25">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0.82470459518599559</v>
      </c>
      <c r="P574" s="72">
        <f t="shared" si="227"/>
        <v>0.79166666666666663</v>
      </c>
      <c r="Q574" s="72">
        <f t="shared" si="228"/>
        <v>0</v>
      </c>
      <c r="R574" s="72">
        <f t="shared" si="229"/>
        <v>0</v>
      </c>
      <c r="S574" s="72">
        <f t="shared" si="230"/>
        <v>0.97024070021881836</v>
      </c>
      <c r="T574" s="72">
        <f t="shared" si="231"/>
        <v>0.97024070021881836</v>
      </c>
      <c r="U574" s="72">
        <f t="shared" si="232"/>
        <v>1</v>
      </c>
    </row>
    <row r="575" spans="1:21" x14ac:dyDescent="0.25">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0.82603938730853388</v>
      </c>
      <c r="P575" s="72">
        <f t="shared" si="227"/>
        <v>0.875</v>
      </c>
      <c r="Q575" s="72">
        <f t="shared" si="228"/>
        <v>0</v>
      </c>
      <c r="R575" s="72">
        <f t="shared" si="229"/>
        <v>0</v>
      </c>
      <c r="S575" s="72">
        <f t="shared" si="230"/>
        <v>0.97181104389239281</v>
      </c>
      <c r="T575" s="72">
        <f t="shared" si="231"/>
        <v>0.97181104389239281</v>
      </c>
      <c r="U575" s="72">
        <f t="shared" si="232"/>
        <v>1</v>
      </c>
    </row>
    <row r="576" spans="1:21" x14ac:dyDescent="0.25">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0.82737417943107217</v>
      </c>
      <c r="P576" s="72">
        <f t="shared" si="227"/>
        <v>0.95833333333333337</v>
      </c>
      <c r="Q576" s="72">
        <f t="shared" si="228"/>
        <v>0</v>
      </c>
      <c r="R576" s="72">
        <f t="shared" si="229"/>
        <v>0</v>
      </c>
      <c r="S576" s="72">
        <f t="shared" si="230"/>
        <v>0.97338138756596726</v>
      </c>
      <c r="T576" s="72">
        <f t="shared" si="231"/>
        <v>0.97338138756596726</v>
      </c>
      <c r="U576" s="72">
        <f t="shared" si="232"/>
        <v>1</v>
      </c>
    </row>
    <row r="577" spans="1:21" x14ac:dyDescent="0.25">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0.82873085339168484</v>
      </c>
      <c r="P577" s="72">
        <f t="shared" si="227"/>
        <v>0.95833333333333337</v>
      </c>
      <c r="Q577" s="72">
        <f t="shared" si="228"/>
        <v>4.166666666666663E-2</v>
      </c>
      <c r="R577" s="72">
        <f t="shared" si="229"/>
        <v>0</v>
      </c>
      <c r="S577" s="72">
        <f t="shared" si="230"/>
        <v>0.97497747457845274</v>
      </c>
      <c r="T577" s="72">
        <f t="shared" si="231"/>
        <v>0.97497747457845274</v>
      </c>
      <c r="U577" s="72">
        <f t="shared" si="232"/>
        <v>1</v>
      </c>
    </row>
    <row r="578" spans="1:21" x14ac:dyDescent="0.25">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0.83002188183807435</v>
      </c>
      <c r="P578" s="72">
        <f t="shared" si="227"/>
        <v>0.875</v>
      </c>
      <c r="Q578" s="72">
        <f t="shared" si="228"/>
        <v>0.125</v>
      </c>
      <c r="R578" s="72">
        <f t="shared" si="229"/>
        <v>0</v>
      </c>
      <c r="S578" s="72">
        <f t="shared" si="230"/>
        <v>0.97649633157420512</v>
      </c>
      <c r="T578" s="72">
        <f t="shared" si="231"/>
        <v>0.97649633157420512</v>
      </c>
      <c r="U578" s="72">
        <f t="shared" si="232"/>
        <v>1</v>
      </c>
    </row>
    <row r="579" spans="1:21" x14ac:dyDescent="0.25">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0.83131291028446386</v>
      </c>
      <c r="P579" s="72">
        <f t="shared" si="227"/>
        <v>0.79166666666666663</v>
      </c>
      <c r="Q579" s="72">
        <f t="shared" si="228"/>
        <v>0.20833333333333337</v>
      </c>
      <c r="R579" s="72">
        <f t="shared" si="229"/>
        <v>0</v>
      </c>
      <c r="S579" s="72">
        <f t="shared" si="230"/>
        <v>0.97801518856995751</v>
      </c>
      <c r="T579" s="72">
        <f t="shared" si="231"/>
        <v>0.97801518856995751</v>
      </c>
      <c r="U579" s="72">
        <f t="shared" si="232"/>
        <v>1</v>
      </c>
    </row>
    <row r="580" spans="1:21" x14ac:dyDescent="0.25">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0.83264770240700214</v>
      </c>
      <c r="P580" s="72">
        <f t="shared" si="227"/>
        <v>0.70833333333333337</v>
      </c>
      <c r="Q580" s="72">
        <f t="shared" si="228"/>
        <v>0.29166666666666663</v>
      </c>
      <c r="R580" s="72">
        <f t="shared" si="229"/>
        <v>0</v>
      </c>
      <c r="S580" s="72">
        <f t="shared" si="230"/>
        <v>0.97958553224353195</v>
      </c>
      <c r="T580" s="72">
        <f t="shared" si="231"/>
        <v>0.97958553224353195</v>
      </c>
      <c r="U580" s="72">
        <f t="shared" si="232"/>
        <v>1</v>
      </c>
    </row>
    <row r="581" spans="1:21" x14ac:dyDescent="0.25">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0.83398249452954043</v>
      </c>
      <c r="P581" s="72">
        <f t="shared" si="227"/>
        <v>0.625</v>
      </c>
      <c r="Q581" s="72">
        <f t="shared" si="228"/>
        <v>0.375</v>
      </c>
      <c r="R581" s="72">
        <f t="shared" si="229"/>
        <v>0</v>
      </c>
      <c r="S581" s="72">
        <f t="shared" si="230"/>
        <v>0.9811558759171064</v>
      </c>
      <c r="T581" s="72">
        <f t="shared" si="231"/>
        <v>0.9811558759171064</v>
      </c>
      <c r="U581" s="72">
        <f t="shared" si="232"/>
        <v>1</v>
      </c>
    </row>
    <row r="582" spans="1:21" x14ac:dyDescent="0.25">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0.83531728665207872</v>
      </c>
      <c r="P582" s="72">
        <f t="shared" si="227"/>
        <v>0.54166666666666663</v>
      </c>
      <c r="Q582" s="72">
        <f t="shared" si="228"/>
        <v>0.45833333333333337</v>
      </c>
      <c r="R582" s="72">
        <f t="shared" si="229"/>
        <v>0</v>
      </c>
      <c r="S582" s="72">
        <f t="shared" si="230"/>
        <v>0.98272621959068085</v>
      </c>
      <c r="T582" s="72">
        <f t="shared" si="231"/>
        <v>0.98272621959068085</v>
      </c>
      <c r="U582" s="72">
        <f t="shared" si="232"/>
        <v>1</v>
      </c>
    </row>
    <row r="583" spans="1:21" x14ac:dyDescent="0.25">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0.836652078774617</v>
      </c>
      <c r="P583" s="72">
        <f t="shared" si="227"/>
        <v>0.45833333333333331</v>
      </c>
      <c r="Q583" s="72">
        <f t="shared" si="228"/>
        <v>0.54166666666666674</v>
      </c>
      <c r="R583" s="72">
        <f t="shared" si="229"/>
        <v>0</v>
      </c>
      <c r="S583" s="72">
        <f t="shared" si="230"/>
        <v>0.9842965632642553</v>
      </c>
      <c r="T583" s="72">
        <f t="shared" si="231"/>
        <v>0.9842965632642553</v>
      </c>
      <c r="U583" s="72">
        <f t="shared" si="232"/>
        <v>1</v>
      </c>
    </row>
    <row r="584" spans="1:21" x14ac:dyDescent="0.25">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0.83800875273522968</v>
      </c>
      <c r="P584" s="72">
        <f t="shared" si="227"/>
        <v>0.375</v>
      </c>
      <c r="Q584" s="72">
        <f t="shared" si="228"/>
        <v>0.625</v>
      </c>
      <c r="R584" s="72">
        <f t="shared" si="229"/>
        <v>0</v>
      </c>
      <c r="S584" s="72">
        <f t="shared" si="230"/>
        <v>0.98589265027674078</v>
      </c>
      <c r="T584" s="72">
        <f t="shared" si="231"/>
        <v>0.98589265027674078</v>
      </c>
      <c r="U584" s="72">
        <f t="shared" si="232"/>
        <v>1</v>
      </c>
    </row>
    <row r="585" spans="1:21" x14ac:dyDescent="0.25">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0.83934354485776796</v>
      </c>
      <c r="P585" s="72">
        <f t="shared" si="227"/>
        <v>0.29166666666666669</v>
      </c>
      <c r="Q585" s="72">
        <f t="shared" si="228"/>
        <v>0.70833333333333326</v>
      </c>
      <c r="R585" s="72">
        <f t="shared" si="229"/>
        <v>0</v>
      </c>
      <c r="S585" s="72">
        <f t="shared" si="230"/>
        <v>0.98746299395031523</v>
      </c>
      <c r="T585" s="72">
        <f t="shared" si="231"/>
        <v>0.98746299395031523</v>
      </c>
      <c r="U585" s="72">
        <f t="shared" si="232"/>
        <v>1</v>
      </c>
    </row>
    <row r="586" spans="1:21" x14ac:dyDescent="0.25">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0.84067833698030636</v>
      </c>
      <c r="P586" s="72">
        <f t="shared" si="227"/>
        <v>0.20833333333333334</v>
      </c>
      <c r="Q586" s="72">
        <f t="shared" si="228"/>
        <v>0.79166666666666663</v>
      </c>
      <c r="R586" s="72">
        <f t="shared" si="229"/>
        <v>0</v>
      </c>
      <c r="S586" s="72">
        <f t="shared" si="230"/>
        <v>1.0483753378813234</v>
      </c>
      <c r="T586" s="72">
        <f t="shared" si="231"/>
        <v>1.0483753378813234</v>
      </c>
      <c r="U586" s="72">
        <f t="shared" si="232"/>
        <v>1.06</v>
      </c>
    </row>
    <row r="587" spans="1:21" x14ac:dyDescent="0.25">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0.84201312910284465</v>
      </c>
      <c r="P587" s="72">
        <f t="shared" si="227"/>
        <v>0.125</v>
      </c>
      <c r="Q587" s="72">
        <f t="shared" si="228"/>
        <v>0.875</v>
      </c>
      <c r="R587" s="72">
        <f t="shared" si="229"/>
        <v>0</v>
      </c>
      <c r="S587" s="72">
        <f t="shared" si="230"/>
        <v>1.0500399021753122</v>
      </c>
      <c r="T587" s="72">
        <f t="shared" si="231"/>
        <v>1.0500399021753122</v>
      </c>
      <c r="U587" s="72">
        <f t="shared" si="232"/>
        <v>1.06</v>
      </c>
    </row>
    <row r="588" spans="1:21" x14ac:dyDescent="0.25">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0.84334792122538293</v>
      </c>
      <c r="P588" s="72">
        <f t="shared" si="227"/>
        <v>4.1666666666666664E-2</v>
      </c>
      <c r="Q588" s="72">
        <f t="shared" si="228"/>
        <v>0.95833333333333337</v>
      </c>
      <c r="R588" s="72">
        <f t="shared" si="229"/>
        <v>0</v>
      </c>
      <c r="S588" s="72">
        <f t="shared" si="230"/>
        <v>1.0517044664693012</v>
      </c>
      <c r="T588" s="72">
        <f t="shared" si="231"/>
        <v>1.0517044664693012</v>
      </c>
      <c r="U588" s="72">
        <f t="shared" si="232"/>
        <v>1.06</v>
      </c>
    </row>
    <row r="589" spans="1:21" x14ac:dyDescent="0.25">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0.84470459518599561</v>
      </c>
      <c r="P589" s="72">
        <f t="shared" si="227"/>
        <v>0</v>
      </c>
      <c r="Q589" s="72">
        <f t="shared" si="228"/>
        <v>0.95833333333333337</v>
      </c>
      <c r="R589" s="72">
        <f t="shared" si="229"/>
        <v>4.166666666666663E-2</v>
      </c>
      <c r="S589" s="72">
        <f t="shared" si="230"/>
        <v>1.0533963187025357</v>
      </c>
      <c r="T589" s="72">
        <f t="shared" si="231"/>
        <v>0.97497747457845274</v>
      </c>
      <c r="U589" s="72">
        <f t="shared" si="232"/>
        <v>1.06</v>
      </c>
    </row>
    <row r="590" spans="1:21" x14ac:dyDescent="0.25">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0.84599562363238512</v>
      </c>
      <c r="P590" s="72">
        <f t="shared" si="227"/>
        <v>0</v>
      </c>
      <c r="Q590" s="72">
        <f t="shared" si="228"/>
        <v>0.875</v>
      </c>
      <c r="R590" s="72">
        <f t="shared" si="229"/>
        <v>0.125</v>
      </c>
      <c r="S590" s="72">
        <f t="shared" si="230"/>
        <v>1.0550063071180333</v>
      </c>
      <c r="T590" s="72">
        <f t="shared" si="231"/>
        <v>0.97649633157420512</v>
      </c>
      <c r="U590" s="72">
        <f t="shared" si="232"/>
        <v>1.06</v>
      </c>
    </row>
    <row r="591" spans="1:21" x14ac:dyDescent="0.25">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0.84728665207877463</v>
      </c>
      <c r="P591" s="72">
        <f t="shared" si="227"/>
        <v>0</v>
      </c>
      <c r="Q591" s="72">
        <f t="shared" si="228"/>
        <v>0.79166666666666663</v>
      </c>
      <c r="R591" s="72">
        <f t="shared" si="229"/>
        <v>0.20833333333333337</v>
      </c>
      <c r="S591" s="72">
        <f t="shared" si="230"/>
        <v>1.0566162955335308</v>
      </c>
      <c r="T591" s="72">
        <f t="shared" si="231"/>
        <v>0.97801518856995751</v>
      </c>
      <c r="U591" s="72">
        <f t="shared" si="232"/>
        <v>1.06</v>
      </c>
    </row>
    <row r="592" spans="1:21" x14ac:dyDescent="0.25">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0.84862144420131291</v>
      </c>
      <c r="P592" s="72">
        <f t="shared" si="227"/>
        <v>0</v>
      </c>
      <c r="Q592" s="72">
        <f t="shared" si="228"/>
        <v>0.70833333333333337</v>
      </c>
      <c r="R592" s="72">
        <f t="shared" si="229"/>
        <v>0.29166666666666663</v>
      </c>
      <c r="S592" s="72">
        <f t="shared" si="230"/>
        <v>1.0582808598275197</v>
      </c>
      <c r="T592" s="72">
        <f t="shared" si="231"/>
        <v>0.97958553224353195</v>
      </c>
      <c r="U592" s="72">
        <f t="shared" si="232"/>
        <v>1.06</v>
      </c>
    </row>
    <row r="593" spans="1:21" x14ac:dyDescent="0.25">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0.8499562363238512</v>
      </c>
      <c r="P593" s="72">
        <f t="shared" si="227"/>
        <v>0</v>
      </c>
      <c r="Q593" s="72">
        <f t="shared" si="228"/>
        <v>0.625</v>
      </c>
      <c r="R593" s="72">
        <f t="shared" si="229"/>
        <v>0.375</v>
      </c>
      <c r="S593" s="72">
        <f t="shared" si="230"/>
        <v>1.0599454241215087</v>
      </c>
      <c r="T593" s="72">
        <f t="shared" si="231"/>
        <v>0.9811558759171064</v>
      </c>
      <c r="U593" s="72">
        <f t="shared" si="232"/>
        <v>1.06</v>
      </c>
    </row>
    <row r="594" spans="1:21" x14ac:dyDescent="0.25">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0.85129102844638949</v>
      </c>
      <c r="P594" s="72">
        <f t="shared" si="227"/>
        <v>0</v>
      </c>
      <c r="Q594" s="72">
        <f t="shared" si="228"/>
        <v>0.54166666666666663</v>
      </c>
      <c r="R594" s="72">
        <f t="shared" si="229"/>
        <v>0.45833333333333337</v>
      </c>
      <c r="S594" s="72">
        <f t="shared" si="230"/>
        <v>1.0616099884154975</v>
      </c>
      <c r="T594" s="72">
        <f t="shared" si="231"/>
        <v>0.98272621959068085</v>
      </c>
      <c r="U594" s="72">
        <f t="shared" si="232"/>
        <v>1.06</v>
      </c>
    </row>
    <row r="595" spans="1:21" x14ac:dyDescent="0.25">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0.85262582056892777</v>
      </c>
      <c r="P595" s="72">
        <f t="shared" si="227"/>
        <v>0</v>
      </c>
      <c r="Q595" s="72">
        <f t="shared" si="228"/>
        <v>0.45833333333333331</v>
      </c>
      <c r="R595" s="72">
        <f t="shared" si="229"/>
        <v>0.54166666666666674</v>
      </c>
      <c r="S595" s="72">
        <f t="shared" si="230"/>
        <v>1.0632745527094865</v>
      </c>
      <c r="T595" s="72">
        <f t="shared" si="231"/>
        <v>0.9842965632642553</v>
      </c>
      <c r="U595" s="72">
        <f t="shared" si="232"/>
        <v>1.06</v>
      </c>
    </row>
    <row r="596" spans="1:21" x14ac:dyDescent="0.25">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0.85398249452954045</v>
      </c>
      <c r="P596" s="72">
        <f t="shared" si="227"/>
        <v>0</v>
      </c>
      <c r="Q596" s="72">
        <f t="shared" si="228"/>
        <v>0.375</v>
      </c>
      <c r="R596" s="72">
        <f t="shared" si="229"/>
        <v>0.625</v>
      </c>
      <c r="S596" s="72">
        <f t="shared" si="230"/>
        <v>1.0649664049427212</v>
      </c>
      <c r="T596" s="72">
        <f t="shared" si="231"/>
        <v>0.98589265027674078</v>
      </c>
      <c r="U596" s="72">
        <f t="shared" si="232"/>
        <v>1.06</v>
      </c>
    </row>
    <row r="597" spans="1:21" x14ac:dyDescent="0.25">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0.85531728665207873</v>
      </c>
      <c r="P597" s="72">
        <f t="shared" si="227"/>
        <v>0</v>
      </c>
      <c r="Q597" s="72">
        <f t="shared" si="228"/>
        <v>0.29166666666666669</v>
      </c>
      <c r="R597" s="72">
        <f t="shared" si="229"/>
        <v>0.70833333333333326</v>
      </c>
      <c r="S597" s="72">
        <f t="shared" si="230"/>
        <v>1.06663096923671</v>
      </c>
      <c r="T597" s="72">
        <f t="shared" si="231"/>
        <v>0.98746299395031523</v>
      </c>
      <c r="U597" s="72">
        <f t="shared" si="232"/>
        <v>1.06</v>
      </c>
    </row>
    <row r="598" spans="1:21" x14ac:dyDescent="0.25">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0.85665207877461702</v>
      </c>
      <c r="P598" s="72">
        <f t="shared" si="227"/>
        <v>0</v>
      </c>
      <c r="Q598" s="72">
        <f t="shared" si="228"/>
        <v>0.20833333333333334</v>
      </c>
      <c r="R598" s="72">
        <f t="shared" si="229"/>
        <v>0.79166666666666663</v>
      </c>
      <c r="S598" s="72">
        <f t="shared" si="230"/>
        <v>1.1110273548719269</v>
      </c>
      <c r="T598" s="72">
        <f t="shared" si="231"/>
        <v>1.0483753378813234</v>
      </c>
      <c r="U598" s="72">
        <f t="shared" si="232"/>
        <v>1.1024</v>
      </c>
    </row>
    <row r="599" spans="1:21" x14ac:dyDescent="0.25">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0.85798687089715531</v>
      </c>
      <c r="P599" s="72">
        <f t="shared" si="227"/>
        <v>0</v>
      </c>
      <c r="Q599" s="72">
        <f t="shared" si="228"/>
        <v>0.125</v>
      </c>
      <c r="R599" s="72">
        <f t="shared" si="229"/>
        <v>0.875</v>
      </c>
      <c r="S599" s="72">
        <f t="shared" si="230"/>
        <v>1.1127585017376753</v>
      </c>
      <c r="T599" s="72">
        <f t="shared" si="231"/>
        <v>1.0500399021753122</v>
      </c>
      <c r="U599" s="72">
        <f t="shared" si="232"/>
        <v>1.1024</v>
      </c>
    </row>
    <row r="600" spans="1:21" x14ac:dyDescent="0.25">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0.85932166301969359</v>
      </c>
      <c r="P600" s="72">
        <f t="shared" si="227"/>
        <v>0</v>
      </c>
      <c r="Q600" s="72">
        <f t="shared" si="228"/>
        <v>4.1666666666666664E-2</v>
      </c>
      <c r="R600" s="72">
        <f t="shared" si="229"/>
        <v>0.95833333333333337</v>
      </c>
      <c r="S600" s="72">
        <f t="shared" si="230"/>
        <v>1.1144896486034239</v>
      </c>
      <c r="T600" s="72">
        <f t="shared" si="231"/>
        <v>1.0517044664693012</v>
      </c>
      <c r="U600" s="72">
        <f t="shared" si="232"/>
        <v>1.1024</v>
      </c>
    </row>
    <row r="601" spans="1:21" x14ac:dyDescent="0.25">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0.86</v>
      </c>
      <c r="P601" s="72">
        <f t="shared" si="227"/>
        <v>0</v>
      </c>
      <c r="Q601" s="72">
        <f t="shared" si="228"/>
        <v>0</v>
      </c>
      <c r="R601" s="72">
        <f t="shared" si="229"/>
        <v>0.95833333333333337</v>
      </c>
      <c r="S601" s="72">
        <f t="shared" si="230"/>
        <v>1.1153694117647059</v>
      </c>
      <c r="T601" s="72">
        <f t="shared" si="231"/>
        <v>0.97497747457845274</v>
      </c>
      <c r="U601" s="72">
        <f t="shared" si="232"/>
        <v>1.1024</v>
      </c>
    </row>
    <row r="602" spans="1:21" x14ac:dyDescent="0.25">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0.86</v>
      </c>
      <c r="P602" s="72">
        <f t="shared" si="227"/>
        <v>0</v>
      </c>
      <c r="Q602" s="72">
        <f t="shared" si="228"/>
        <v>0</v>
      </c>
      <c r="R602" s="72">
        <f t="shared" si="229"/>
        <v>0.875</v>
      </c>
      <c r="S602" s="72">
        <f t="shared" si="230"/>
        <v>1.1153694117647059</v>
      </c>
      <c r="T602" s="72">
        <f t="shared" si="231"/>
        <v>0.97649633157420512</v>
      </c>
      <c r="U602" s="72">
        <f t="shared" si="232"/>
        <v>1.1024</v>
      </c>
    </row>
    <row r="603" spans="1:21" x14ac:dyDescent="0.25">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0.86</v>
      </c>
      <c r="P603" s="72">
        <f t="shared" si="227"/>
        <v>0</v>
      </c>
      <c r="Q603" s="72">
        <f t="shared" si="228"/>
        <v>0</v>
      </c>
      <c r="R603" s="72">
        <f t="shared" si="229"/>
        <v>0.79166666666666663</v>
      </c>
      <c r="S603" s="72">
        <f t="shared" si="230"/>
        <v>1.1153694117647059</v>
      </c>
      <c r="T603" s="72">
        <f t="shared" si="231"/>
        <v>0.97801518856995751</v>
      </c>
      <c r="U603" s="72">
        <f t="shared" si="232"/>
        <v>1.1024</v>
      </c>
    </row>
    <row r="604" spans="1:21" x14ac:dyDescent="0.25">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0.86</v>
      </c>
      <c r="P604" s="72">
        <f t="shared" si="227"/>
        <v>0</v>
      </c>
      <c r="Q604" s="72">
        <f t="shared" si="228"/>
        <v>0</v>
      </c>
      <c r="R604" s="72">
        <f t="shared" si="229"/>
        <v>0.70833333333333337</v>
      </c>
      <c r="S604" s="72">
        <f t="shared" si="230"/>
        <v>1.1153694117647059</v>
      </c>
      <c r="T604" s="72">
        <f t="shared" si="231"/>
        <v>0.97958553224353195</v>
      </c>
      <c r="U604" s="72">
        <f t="shared" si="232"/>
        <v>1.1024</v>
      </c>
    </row>
    <row r="605" spans="1:21" x14ac:dyDescent="0.25">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0.86</v>
      </c>
      <c r="P605" s="72">
        <f t="shared" si="227"/>
        <v>0</v>
      </c>
      <c r="Q605" s="72">
        <f t="shared" si="228"/>
        <v>0</v>
      </c>
      <c r="R605" s="72">
        <f t="shared" si="229"/>
        <v>0.625</v>
      </c>
      <c r="S605" s="72">
        <f t="shared" si="230"/>
        <v>1.1153694117647059</v>
      </c>
      <c r="T605" s="72">
        <f t="shared" si="231"/>
        <v>0.9811558759171064</v>
      </c>
      <c r="U605" s="72">
        <f t="shared" si="232"/>
        <v>1.1024</v>
      </c>
    </row>
    <row r="606" spans="1:21" x14ac:dyDescent="0.25">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0.86</v>
      </c>
      <c r="P606" s="72">
        <f t="shared" si="227"/>
        <v>0</v>
      </c>
      <c r="Q606" s="72">
        <f t="shared" si="228"/>
        <v>0</v>
      </c>
      <c r="R606" s="72">
        <f t="shared" si="229"/>
        <v>0.54166666666666663</v>
      </c>
      <c r="S606" s="72">
        <f t="shared" si="230"/>
        <v>1.1153694117647059</v>
      </c>
      <c r="T606" s="72">
        <f t="shared" si="231"/>
        <v>0.98272621959068085</v>
      </c>
      <c r="U606" s="72">
        <f t="shared" si="232"/>
        <v>1.1024</v>
      </c>
    </row>
    <row r="607" spans="1:21" x14ac:dyDescent="0.25">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0.86</v>
      </c>
      <c r="P607" s="72">
        <f t="shared" si="227"/>
        <v>0</v>
      </c>
      <c r="Q607" s="72">
        <f t="shared" si="228"/>
        <v>0</v>
      </c>
      <c r="R607" s="72">
        <f t="shared" si="229"/>
        <v>0.45833333333333331</v>
      </c>
      <c r="S607" s="72">
        <f t="shared" si="230"/>
        <v>1.1153694117647059</v>
      </c>
      <c r="T607" s="72">
        <f t="shared" si="231"/>
        <v>0.9842965632642553</v>
      </c>
      <c r="U607" s="72">
        <f t="shared" si="232"/>
        <v>1.1024</v>
      </c>
    </row>
    <row r="608" spans="1:21" x14ac:dyDescent="0.25">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0.86</v>
      </c>
      <c r="P608" s="72">
        <f t="shared" si="227"/>
        <v>0</v>
      </c>
      <c r="Q608" s="72">
        <f t="shared" si="228"/>
        <v>0</v>
      </c>
      <c r="R608" s="72">
        <f t="shared" si="229"/>
        <v>0.375</v>
      </c>
      <c r="S608" s="72">
        <f t="shared" si="230"/>
        <v>1.1153694117647059</v>
      </c>
      <c r="T608" s="72">
        <f t="shared" si="231"/>
        <v>0.98589265027674078</v>
      </c>
      <c r="U608" s="72">
        <f t="shared" si="232"/>
        <v>1.1024</v>
      </c>
    </row>
    <row r="609" spans="1:21" x14ac:dyDescent="0.25">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0.86</v>
      </c>
      <c r="P609" s="72">
        <f t="shared" si="227"/>
        <v>0</v>
      </c>
      <c r="Q609" s="72">
        <f t="shared" si="228"/>
        <v>0</v>
      </c>
      <c r="R609" s="72">
        <f t="shared" si="229"/>
        <v>0.29166666666666669</v>
      </c>
      <c r="S609" s="72">
        <f t="shared" si="230"/>
        <v>1.1153694117647059</v>
      </c>
      <c r="T609" s="72">
        <f t="shared" si="231"/>
        <v>0.98746299395031523</v>
      </c>
      <c r="U609" s="72">
        <f t="shared" si="232"/>
        <v>1.1024</v>
      </c>
    </row>
    <row r="610" spans="1:21" x14ac:dyDescent="0.25">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0.86</v>
      </c>
      <c r="P610" s="72">
        <f t="shared" si="227"/>
        <v>0</v>
      </c>
      <c r="Q610" s="72">
        <f t="shared" si="228"/>
        <v>0</v>
      </c>
      <c r="R610" s="72">
        <f t="shared" si="229"/>
        <v>0.20833333333333334</v>
      </c>
      <c r="S610" s="72">
        <f t="shared" si="230"/>
        <v>1.1153694117647059</v>
      </c>
      <c r="T610" s="72">
        <f t="shared" si="231"/>
        <v>1.0483753378813234</v>
      </c>
      <c r="U610" s="72">
        <f t="shared" si="232"/>
        <v>1.1024</v>
      </c>
    </row>
    <row r="611" spans="1:21" x14ac:dyDescent="0.25">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0.86</v>
      </c>
      <c r="P611" s="72">
        <f t="shared" si="227"/>
        <v>0</v>
      </c>
      <c r="Q611" s="72">
        <f t="shared" si="228"/>
        <v>0</v>
      </c>
      <c r="R611" s="72">
        <f t="shared" si="229"/>
        <v>0.125</v>
      </c>
      <c r="S611" s="72">
        <f t="shared" si="230"/>
        <v>1.1153694117647059</v>
      </c>
      <c r="T611" s="72">
        <f t="shared" si="231"/>
        <v>1.0500399021753122</v>
      </c>
      <c r="U611" s="72">
        <f t="shared" si="232"/>
        <v>1.1024</v>
      </c>
    </row>
    <row r="612" spans="1:21" x14ac:dyDescent="0.25">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0.86</v>
      </c>
      <c r="P612" s="72">
        <f t="shared" si="227"/>
        <v>0</v>
      </c>
      <c r="Q612" s="72">
        <f t="shared" si="228"/>
        <v>0</v>
      </c>
      <c r="R612" s="72">
        <f t="shared" si="229"/>
        <v>4.1666666666666664E-2</v>
      </c>
      <c r="S612" s="72">
        <f t="shared" si="230"/>
        <v>1.1153694117647059</v>
      </c>
      <c r="T612" s="72">
        <f t="shared" si="231"/>
        <v>1.0517044664693012</v>
      </c>
      <c r="U612" s="72">
        <f t="shared" si="232"/>
        <v>1.1024</v>
      </c>
    </row>
    <row r="613" spans="1:21" x14ac:dyDescent="0.25">
      <c r="A613" s="77" t="s">
        <v>1209</v>
      </c>
      <c r="B613" s="50">
        <f>EXP(SUMPRODUCT((rl_key=$A$562)*(rl_cons="Y")*rl_ln1p))</f>
        <v>1.06</v>
      </c>
      <c r="C613" s="50">
        <f>SUMPRODUCT($H$565:$H$612,$P$565:$P$612,$U$565:$U$612)/SUMPRODUCT($H$565:$H$612,$P$565:$P$612)</f>
        <v>1.0018750000000001</v>
      </c>
      <c r="D613" s="50">
        <f>SUMPRODUCT($H$565:$H$612,$Q$565:$Q$612,$U$565:$U$612)/SUMPRODUCT($H$565:$H$612,$Q$565:$Q$612)</f>
        <v>1.0444500000000001</v>
      </c>
      <c r="E613" s="50">
        <f>SUMPRODUCT($H$565:$H$612,$R$565:$R$612,$U$565:$U$612)/SUMPRODUCT($H$565:$H$612,$R$565:$R$612)</f>
        <v>1.0904750000000003</v>
      </c>
      <c r="F613" s="169">
        <f>SUMPRODUCT($H$565:$H$612,$Q$565:$Q$612,$O$565:$O$612)/SUMPRODUCT($H$565:$H$612,$Q$565:$Q$612)</f>
        <v>0.84399161196207151</v>
      </c>
      <c r="G613" s="169">
        <f>SUMPRODUCT($H$565:$H$612,$R$565:$R$612,$O$565:$O$612)/SUMPRODUCT($H$565:$H$612,$R$565:$R$612)</f>
        <v>0.85731271274009246</v>
      </c>
    </row>
    <row r="616" spans="1:21" x14ac:dyDescent="0.25">
      <c r="A616" s="77" t="str">
        <f>INDEX(lr_key,11)</f>
        <v>BU-A|MD</v>
      </c>
      <c r="B616" s="77" t="str">
        <f>INDEX(lr_state,11)</f>
        <v>MD</v>
      </c>
      <c r="C616" s="52">
        <f>nr_TermMonths</f>
        <v>12</v>
      </c>
      <c r="D616" s="52">
        <f>IF(COUNTIF(se_state,$B616)=0,0,MATCH($B616,se_state,0))</f>
        <v>0</v>
      </c>
      <c r="E616" s="54">
        <f>IF($D616=0,0,INDEX(se_sum,$D616))</f>
        <v>0</v>
      </c>
      <c r="F616" s="169">
        <f>IF(N(INDEX(lr_mind,11))=0,1,INDEX(lr_mind,11))</f>
        <v>0.85</v>
      </c>
      <c r="G616" s="169">
        <f>IF(N(INDEX(lr_m0,11))=0,1,INDEX(lr_m0,11))</f>
        <v>0.84</v>
      </c>
      <c r="H616" s="51">
        <f>IF(N(INDEX(lr_m0asof,11))=0,DATE(nr_PlanYear-1,10,1),INDEX(lr_m0asof,11))</f>
        <v>46295</v>
      </c>
      <c r="I616" s="169">
        <f>IF(N(INDEX(lr_m1,11))=0,1,INDEX(lr_m1,11))</f>
        <v>0.84</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25">
      <c r="A617" s="77">
        <f>EDATE($H$616,-12)+1</f>
        <v>45931</v>
      </c>
      <c r="B617" s="77">
        <f>$H$616+1</f>
        <v>46296</v>
      </c>
      <c r="C617" s="77">
        <f>DATE(nr_PlanYear,12,31)+1</f>
        <v>46753</v>
      </c>
      <c r="D617" s="77">
        <f>DATE(nr_PlanYear+1,12,31)+1</f>
        <v>47119</v>
      </c>
      <c r="E617" s="77">
        <f>IF(N($J$616)=0,$F$617-($G$617-$F$617)/($C$617-$B$617)*($B$617-$A$617),$J$616)</f>
        <v>0.84</v>
      </c>
      <c r="F617" s="77">
        <f>$G$616</f>
        <v>0.84</v>
      </c>
      <c r="G617" s="77">
        <f>$I$616</f>
        <v>0.84</v>
      </c>
      <c r="H617" s="77">
        <f>IF(N($K$616)=0,$I$616,$K$616)</f>
        <v>0.84</v>
      </c>
      <c r="I617" s="77">
        <f>($F$617-$E$617)/($B$617-$A$617)</f>
        <v>0</v>
      </c>
      <c r="J617" s="77">
        <f>($G$617-$F$617)/($C$617-$B$617)</f>
        <v>0</v>
      </c>
      <c r="K617" s="77">
        <f>($H$617-$G$617)/($D$617-$C$617)</f>
        <v>0</v>
      </c>
    </row>
    <row r="618" spans="1:21" ht="24" x14ac:dyDescent="0.25">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25">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0.84</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0.9882352941176471</v>
      </c>
      <c r="T619" s="72">
        <f t="shared" ref="T619:T666" si="251">IF($G619&lt;nr_MStartP,$S619,$T607*(1+IF($G619&lt;nr_MStartP1,$M$616,$N$616)))</f>
        <v>0.9882352941176471</v>
      </c>
      <c r="U619" s="72">
        <f t="shared" ref="U619:U666" si="252">IF($L$616,$T619,$N619)</f>
        <v>1</v>
      </c>
    </row>
    <row r="620" spans="1:21" x14ac:dyDescent="0.25">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0.84</v>
      </c>
      <c r="P620" s="72">
        <f t="shared" si="247"/>
        <v>0.125</v>
      </c>
      <c r="Q620" s="72">
        <f t="shared" si="248"/>
        <v>0</v>
      </c>
      <c r="R620" s="72">
        <f t="shared" si="249"/>
        <v>0</v>
      </c>
      <c r="S620" s="72">
        <f t="shared" si="250"/>
        <v>0.9882352941176471</v>
      </c>
      <c r="T620" s="72">
        <f t="shared" si="251"/>
        <v>0.9882352941176471</v>
      </c>
      <c r="U620" s="72">
        <f t="shared" si="252"/>
        <v>1</v>
      </c>
    </row>
    <row r="621" spans="1:21" x14ac:dyDescent="0.25">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0.84</v>
      </c>
      <c r="P621" s="72">
        <f t="shared" si="247"/>
        <v>0.20833333333333337</v>
      </c>
      <c r="Q621" s="72">
        <f t="shared" si="248"/>
        <v>0</v>
      </c>
      <c r="R621" s="72">
        <f t="shared" si="249"/>
        <v>0</v>
      </c>
      <c r="S621" s="72">
        <f t="shared" si="250"/>
        <v>0.9882352941176471</v>
      </c>
      <c r="T621" s="72">
        <f t="shared" si="251"/>
        <v>0.9882352941176471</v>
      </c>
      <c r="U621" s="72">
        <f t="shared" si="252"/>
        <v>1</v>
      </c>
    </row>
    <row r="622" spans="1:21" x14ac:dyDescent="0.25">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0.84</v>
      </c>
      <c r="P622" s="72">
        <f t="shared" si="247"/>
        <v>0.29166666666666663</v>
      </c>
      <c r="Q622" s="72">
        <f t="shared" si="248"/>
        <v>0</v>
      </c>
      <c r="R622" s="72">
        <f t="shared" si="249"/>
        <v>0</v>
      </c>
      <c r="S622" s="72">
        <f t="shared" si="250"/>
        <v>0.9882352941176471</v>
      </c>
      <c r="T622" s="72">
        <f t="shared" si="251"/>
        <v>0.9882352941176471</v>
      </c>
      <c r="U622" s="72">
        <f t="shared" si="252"/>
        <v>1</v>
      </c>
    </row>
    <row r="623" spans="1:21" x14ac:dyDescent="0.25">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0.84</v>
      </c>
      <c r="P623" s="72">
        <f t="shared" si="247"/>
        <v>0.375</v>
      </c>
      <c r="Q623" s="72">
        <f t="shared" si="248"/>
        <v>0</v>
      </c>
      <c r="R623" s="72">
        <f t="shared" si="249"/>
        <v>0</v>
      </c>
      <c r="S623" s="72">
        <f t="shared" si="250"/>
        <v>0.9882352941176471</v>
      </c>
      <c r="T623" s="72">
        <f t="shared" si="251"/>
        <v>0.9882352941176471</v>
      </c>
      <c r="U623" s="72">
        <f t="shared" si="252"/>
        <v>1</v>
      </c>
    </row>
    <row r="624" spans="1:21" x14ac:dyDescent="0.25">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0.84</v>
      </c>
      <c r="P624" s="72">
        <f t="shared" si="247"/>
        <v>0.45833333333333337</v>
      </c>
      <c r="Q624" s="72">
        <f t="shared" si="248"/>
        <v>0</v>
      </c>
      <c r="R624" s="72">
        <f t="shared" si="249"/>
        <v>0</v>
      </c>
      <c r="S624" s="72">
        <f t="shared" si="250"/>
        <v>0.9882352941176471</v>
      </c>
      <c r="T624" s="72">
        <f t="shared" si="251"/>
        <v>0.9882352941176471</v>
      </c>
      <c r="U624" s="72">
        <f t="shared" si="252"/>
        <v>1</v>
      </c>
    </row>
    <row r="625" spans="1:21" x14ac:dyDescent="0.25">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0.84</v>
      </c>
      <c r="P625" s="72">
        <f t="shared" si="247"/>
        <v>0.54166666666666674</v>
      </c>
      <c r="Q625" s="72">
        <f t="shared" si="248"/>
        <v>0</v>
      </c>
      <c r="R625" s="72">
        <f t="shared" si="249"/>
        <v>0</v>
      </c>
      <c r="S625" s="72">
        <f t="shared" si="250"/>
        <v>0.9882352941176471</v>
      </c>
      <c r="T625" s="72">
        <f t="shared" si="251"/>
        <v>0.9882352941176471</v>
      </c>
      <c r="U625" s="72">
        <f t="shared" si="252"/>
        <v>1</v>
      </c>
    </row>
    <row r="626" spans="1:21" x14ac:dyDescent="0.25">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0.84</v>
      </c>
      <c r="P626" s="72">
        <f t="shared" si="247"/>
        <v>0.625</v>
      </c>
      <c r="Q626" s="72">
        <f t="shared" si="248"/>
        <v>0</v>
      </c>
      <c r="R626" s="72">
        <f t="shared" si="249"/>
        <v>0</v>
      </c>
      <c r="S626" s="72">
        <f t="shared" si="250"/>
        <v>0.9882352941176471</v>
      </c>
      <c r="T626" s="72">
        <f t="shared" si="251"/>
        <v>0.9882352941176471</v>
      </c>
      <c r="U626" s="72">
        <f t="shared" si="252"/>
        <v>1</v>
      </c>
    </row>
    <row r="627" spans="1:21" x14ac:dyDescent="0.25">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0.84</v>
      </c>
      <c r="P627" s="72">
        <f t="shared" si="247"/>
        <v>0.70833333333333326</v>
      </c>
      <c r="Q627" s="72">
        <f t="shared" si="248"/>
        <v>0</v>
      </c>
      <c r="R627" s="72">
        <f t="shared" si="249"/>
        <v>0</v>
      </c>
      <c r="S627" s="72">
        <f t="shared" si="250"/>
        <v>0.9882352941176471</v>
      </c>
      <c r="T627" s="72">
        <f t="shared" si="251"/>
        <v>0.9882352941176471</v>
      </c>
      <c r="U627" s="72">
        <f t="shared" si="252"/>
        <v>1</v>
      </c>
    </row>
    <row r="628" spans="1:21" x14ac:dyDescent="0.25">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0.84</v>
      </c>
      <c r="P628" s="72">
        <f t="shared" si="247"/>
        <v>0.79166666666666663</v>
      </c>
      <c r="Q628" s="72">
        <f t="shared" si="248"/>
        <v>0</v>
      </c>
      <c r="R628" s="72">
        <f t="shared" si="249"/>
        <v>0</v>
      </c>
      <c r="S628" s="72">
        <f t="shared" si="250"/>
        <v>0.9882352941176471</v>
      </c>
      <c r="T628" s="72">
        <f t="shared" si="251"/>
        <v>0.9882352941176471</v>
      </c>
      <c r="U628" s="72">
        <f t="shared" si="252"/>
        <v>1</v>
      </c>
    </row>
    <row r="629" spans="1:21" x14ac:dyDescent="0.25">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0.84</v>
      </c>
      <c r="P629" s="72">
        <f t="shared" si="247"/>
        <v>0.875</v>
      </c>
      <c r="Q629" s="72">
        <f t="shared" si="248"/>
        <v>0</v>
      </c>
      <c r="R629" s="72">
        <f t="shared" si="249"/>
        <v>0</v>
      </c>
      <c r="S629" s="72">
        <f t="shared" si="250"/>
        <v>0.9882352941176471</v>
      </c>
      <c r="T629" s="72">
        <f t="shared" si="251"/>
        <v>0.9882352941176471</v>
      </c>
      <c r="U629" s="72">
        <f t="shared" si="252"/>
        <v>1</v>
      </c>
    </row>
    <row r="630" spans="1:21" x14ac:dyDescent="0.25">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0.84</v>
      </c>
      <c r="P630" s="72">
        <f t="shared" si="247"/>
        <v>0.95833333333333337</v>
      </c>
      <c r="Q630" s="72">
        <f t="shared" si="248"/>
        <v>0</v>
      </c>
      <c r="R630" s="72">
        <f t="shared" si="249"/>
        <v>0</v>
      </c>
      <c r="S630" s="72">
        <f t="shared" si="250"/>
        <v>0.9882352941176471</v>
      </c>
      <c r="T630" s="72">
        <f t="shared" si="251"/>
        <v>0.9882352941176471</v>
      </c>
      <c r="U630" s="72">
        <f t="shared" si="252"/>
        <v>1</v>
      </c>
    </row>
    <row r="631" spans="1:21" x14ac:dyDescent="0.25">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0.84</v>
      </c>
      <c r="P631" s="72">
        <f t="shared" si="247"/>
        <v>0.95833333333333337</v>
      </c>
      <c r="Q631" s="72">
        <f t="shared" si="248"/>
        <v>4.166666666666663E-2</v>
      </c>
      <c r="R631" s="72">
        <f t="shared" si="249"/>
        <v>0</v>
      </c>
      <c r="S631" s="72">
        <f t="shared" si="250"/>
        <v>0.9882352941176471</v>
      </c>
      <c r="T631" s="72">
        <f t="shared" si="251"/>
        <v>0.9882352941176471</v>
      </c>
      <c r="U631" s="72">
        <f t="shared" si="252"/>
        <v>1</v>
      </c>
    </row>
    <row r="632" spans="1:21" x14ac:dyDescent="0.25">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0.84</v>
      </c>
      <c r="P632" s="72">
        <f t="shared" si="247"/>
        <v>0.875</v>
      </c>
      <c r="Q632" s="72">
        <f t="shared" si="248"/>
        <v>0.125</v>
      </c>
      <c r="R632" s="72">
        <f t="shared" si="249"/>
        <v>0</v>
      </c>
      <c r="S632" s="72">
        <f t="shared" si="250"/>
        <v>0.9882352941176471</v>
      </c>
      <c r="T632" s="72">
        <f t="shared" si="251"/>
        <v>0.9882352941176471</v>
      </c>
      <c r="U632" s="72">
        <f t="shared" si="252"/>
        <v>1</v>
      </c>
    </row>
    <row r="633" spans="1:21" x14ac:dyDescent="0.25">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0.84</v>
      </c>
      <c r="P633" s="72">
        <f t="shared" si="247"/>
        <v>0.79166666666666663</v>
      </c>
      <c r="Q633" s="72">
        <f t="shared" si="248"/>
        <v>0.20833333333333337</v>
      </c>
      <c r="R633" s="72">
        <f t="shared" si="249"/>
        <v>0</v>
      </c>
      <c r="S633" s="72">
        <f t="shared" si="250"/>
        <v>0.9882352941176471</v>
      </c>
      <c r="T633" s="72">
        <f t="shared" si="251"/>
        <v>0.9882352941176471</v>
      </c>
      <c r="U633" s="72">
        <f t="shared" si="252"/>
        <v>1</v>
      </c>
    </row>
    <row r="634" spans="1:21" x14ac:dyDescent="0.25">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0.84</v>
      </c>
      <c r="P634" s="72">
        <f t="shared" si="247"/>
        <v>0.70833333333333337</v>
      </c>
      <c r="Q634" s="72">
        <f t="shared" si="248"/>
        <v>0.29166666666666663</v>
      </c>
      <c r="R634" s="72">
        <f t="shared" si="249"/>
        <v>0</v>
      </c>
      <c r="S634" s="72">
        <f t="shared" si="250"/>
        <v>0.9882352941176471</v>
      </c>
      <c r="T634" s="72">
        <f t="shared" si="251"/>
        <v>0.9882352941176471</v>
      </c>
      <c r="U634" s="72">
        <f t="shared" si="252"/>
        <v>1</v>
      </c>
    </row>
    <row r="635" spans="1:21" x14ac:dyDescent="0.25">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0.84</v>
      </c>
      <c r="P635" s="72">
        <f t="shared" si="247"/>
        <v>0.625</v>
      </c>
      <c r="Q635" s="72">
        <f t="shared" si="248"/>
        <v>0.375</v>
      </c>
      <c r="R635" s="72">
        <f t="shared" si="249"/>
        <v>0</v>
      </c>
      <c r="S635" s="72">
        <f t="shared" si="250"/>
        <v>0.9882352941176471</v>
      </c>
      <c r="T635" s="72">
        <f t="shared" si="251"/>
        <v>0.9882352941176471</v>
      </c>
      <c r="U635" s="72">
        <f t="shared" si="252"/>
        <v>1</v>
      </c>
    </row>
    <row r="636" spans="1:21" x14ac:dyDescent="0.25">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0.84</v>
      </c>
      <c r="P636" s="72">
        <f t="shared" si="247"/>
        <v>0.54166666666666663</v>
      </c>
      <c r="Q636" s="72">
        <f t="shared" si="248"/>
        <v>0.45833333333333337</v>
      </c>
      <c r="R636" s="72">
        <f t="shared" si="249"/>
        <v>0</v>
      </c>
      <c r="S636" s="72">
        <f t="shared" si="250"/>
        <v>0.9882352941176471</v>
      </c>
      <c r="T636" s="72">
        <f t="shared" si="251"/>
        <v>0.9882352941176471</v>
      </c>
      <c r="U636" s="72">
        <f t="shared" si="252"/>
        <v>1</v>
      </c>
    </row>
    <row r="637" spans="1:21" x14ac:dyDescent="0.25">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0.84</v>
      </c>
      <c r="P637" s="72">
        <f t="shared" si="247"/>
        <v>0.45833333333333331</v>
      </c>
      <c r="Q637" s="72">
        <f t="shared" si="248"/>
        <v>0.54166666666666674</v>
      </c>
      <c r="R637" s="72">
        <f t="shared" si="249"/>
        <v>0</v>
      </c>
      <c r="S637" s="72">
        <f t="shared" si="250"/>
        <v>0.9882352941176471</v>
      </c>
      <c r="T637" s="72">
        <f t="shared" si="251"/>
        <v>0.9882352941176471</v>
      </c>
      <c r="U637" s="72">
        <f t="shared" si="252"/>
        <v>1</v>
      </c>
    </row>
    <row r="638" spans="1:21" x14ac:dyDescent="0.25">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0.84</v>
      </c>
      <c r="P638" s="72">
        <f t="shared" si="247"/>
        <v>0.375</v>
      </c>
      <c r="Q638" s="72">
        <f t="shared" si="248"/>
        <v>0.625</v>
      </c>
      <c r="R638" s="72">
        <f t="shared" si="249"/>
        <v>0</v>
      </c>
      <c r="S638" s="72">
        <f t="shared" si="250"/>
        <v>0.9882352941176471</v>
      </c>
      <c r="T638" s="72">
        <f t="shared" si="251"/>
        <v>0.9882352941176471</v>
      </c>
      <c r="U638" s="72">
        <f t="shared" si="252"/>
        <v>1</v>
      </c>
    </row>
    <row r="639" spans="1:21" x14ac:dyDescent="0.25">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0.84</v>
      </c>
      <c r="P639" s="72">
        <f t="shared" si="247"/>
        <v>0.29166666666666669</v>
      </c>
      <c r="Q639" s="72">
        <f t="shared" si="248"/>
        <v>0.70833333333333326</v>
      </c>
      <c r="R639" s="72">
        <f t="shared" si="249"/>
        <v>0</v>
      </c>
      <c r="S639" s="72">
        <f t="shared" si="250"/>
        <v>0.9882352941176471</v>
      </c>
      <c r="T639" s="72">
        <f t="shared" si="251"/>
        <v>0.9882352941176471</v>
      </c>
      <c r="U639" s="72">
        <f t="shared" si="252"/>
        <v>1</v>
      </c>
    </row>
    <row r="640" spans="1:21" x14ac:dyDescent="0.25">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0.84</v>
      </c>
      <c r="P640" s="72">
        <f t="shared" si="247"/>
        <v>0.20833333333333334</v>
      </c>
      <c r="Q640" s="72">
        <f t="shared" si="248"/>
        <v>0.79166666666666663</v>
      </c>
      <c r="R640" s="72">
        <f t="shared" si="249"/>
        <v>0</v>
      </c>
      <c r="S640" s="72">
        <f t="shared" si="250"/>
        <v>0.9882352941176471</v>
      </c>
      <c r="T640" s="72">
        <f t="shared" si="251"/>
        <v>0.9882352941176471</v>
      </c>
      <c r="U640" s="72">
        <f t="shared" si="252"/>
        <v>1</v>
      </c>
    </row>
    <row r="641" spans="1:21" x14ac:dyDescent="0.25">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0.84</v>
      </c>
      <c r="P641" s="72">
        <f t="shared" si="247"/>
        <v>0.125</v>
      </c>
      <c r="Q641" s="72">
        <f t="shared" si="248"/>
        <v>0.875</v>
      </c>
      <c r="R641" s="72">
        <f t="shared" si="249"/>
        <v>0</v>
      </c>
      <c r="S641" s="72">
        <f t="shared" si="250"/>
        <v>1.008</v>
      </c>
      <c r="T641" s="72">
        <f t="shared" si="251"/>
        <v>1.008</v>
      </c>
      <c r="U641" s="72">
        <f t="shared" si="252"/>
        <v>1.02</v>
      </c>
    </row>
    <row r="642" spans="1:21" x14ac:dyDescent="0.25">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0.84</v>
      </c>
      <c r="P642" s="72">
        <f t="shared" si="247"/>
        <v>4.1666666666666664E-2</v>
      </c>
      <c r="Q642" s="72">
        <f t="shared" si="248"/>
        <v>0.95833333333333337</v>
      </c>
      <c r="R642" s="72">
        <f t="shared" si="249"/>
        <v>0</v>
      </c>
      <c r="S642" s="72">
        <f t="shared" si="250"/>
        <v>1.008</v>
      </c>
      <c r="T642" s="72">
        <f t="shared" si="251"/>
        <v>1.008</v>
      </c>
      <c r="U642" s="72">
        <f t="shared" si="252"/>
        <v>1.02</v>
      </c>
    </row>
    <row r="643" spans="1:21" x14ac:dyDescent="0.25">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0.84</v>
      </c>
      <c r="P643" s="72">
        <f t="shared" si="247"/>
        <v>0</v>
      </c>
      <c r="Q643" s="72">
        <f t="shared" si="248"/>
        <v>0.95833333333333337</v>
      </c>
      <c r="R643" s="72">
        <f t="shared" si="249"/>
        <v>4.166666666666663E-2</v>
      </c>
      <c r="S643" s="72">
        <f t="shared" si="250"/>
        <v>1.008</v>
      </c>
      <c r="T643" s="72">
        <f t="shared" si="251"/>
        <v>0.9882352941176471</v>
      </c>
      <c r="U643" s="72">
        <f t="shared" si="252"/>
        <v>1.02</v>
      </c>
    </row>
    <row r="644" spans="1:21" x14ac:dyDescent="0.25">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0.84</v>
      </c>
      <c r="P644" s="72">
        <f t="shared" si="247"/>
        <v>0</v>
      </c>
      <c r="Q644" s="72">
        <f t="shared" si="248"/>
        <v>0.875</v>
      </c>
      <c r="R644" s="72">
        <f t="shared" si="249"/>
        <v>0.125</v>
      </c>
      <c r="S644" s="72">
        <f t="shared" si="250"/>
        <v>1.008</v>
      </c>
      <c r="T644" s="72">
        <f t="shared" si="251"/>
        <v>0.9882352941176471</v>
      </c>
      <c r="U644" s="72">
        <f t="shared" si="252"/>
        <v>1.02</v>
      </c>
    </row>
    <row r="645" spans="1:21" x14ac:dyDescent="0.25">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0.84</v>
      </c>
      <c r="P645" s="72">
        <f t="shared" si="247"/>
        <v>0</v>
      </c>
      <c r="Q645" s="72">
        <f t="shared" si="248"/>
        <v>0.79166666666666663</v>
      </c>
      <c r="R645" s="72">
        <f t="shared" si="249"/>
        <v>0.20833333333333337</v>
      </c>
      <c r="S645" s="72">
        <f t="shared" si="250"/>
        <v>1.008</v>
      </c>
      <c r="T645" s="72">
        <f t="shared" si="251"/>
        <v>0.9882352941176471</v>
      </c>
      <c r="U645" s="72">
        <f t="shared" si="252"/>
        <v>1.02</v>
      </c>
    </row>
    <row r="646" spans="1:21" x14ac:dyDescent="0.25">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0.84</v>
      </c>
      <c r="P646" s="72">
        <f t="shared" si="247"/>
        <v>0</v>
      </c>
      <c r="Q646" s="72">
        <f t="shared" si="248"/>
        <v>0.70833333333333337</v>
      </c>
      <c r="R646" s="72">
        <f t="shared" si="249"/>
        <v>0.29166666666666663</v>
      </c>
      <c r="S646" s="72">
        <f t="shared" si="250"/>
        <v>1.008</v>
      </c>
      <c r="T646" s="72">
        <f t="shared" si="251"/>
        <v>0.9882352941176471</v>
      </c>
      <c r="U646" s="72">
        <f t="shared" si="252"/>
        <v>1.02</v>
      </c>
    </row>
    <row r="647" spans="1:21" x14ac:dyDescent="0.25">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0.84</v>
      </c>
      <c r="P647" s="72">
        <f t="shared" si="247"/>
        <v>0</v>
      </c>
      <c r="Q647" s="72">
        <f t="shared" si="248"/>
        <v>0.625</v>
      </c>
      <c r="R647" s="72">
        <f t="shared" si="249"/>
        <v>0.375</v>
      </c>
      <c r="S647" s="72">
        <f t="shared" si="250"/>
        <v>1.008</v>
      </c>
      <c r="T647" s="72">
        <f t="shared" si="251"/>
        <v>0.9882352941176471</v>
      </c>
      <c r="U647" s="72">
        <f t="shared" si="252"/>
        <v>1.02</v>
      </c>
    </row>
    <row r="648" spans="1:21" x14ac:dyDescent="0.25">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0.84</v>
      </c>
      <c r="P648" s="72">
        <f t="shared" si="247"/>
        <v>0</v>
      </c>
      <c r="Q648" s="72">
        <f t="shared" si="248"/>
        <v>0.54166666666666663</v>
      </c>
      <c r="R648" s="72">
        <f t="shared" si="249"/>
        <v>0.45833333333333337</v>
      </c>
      <c r="S648" s="72">
        <f t="shared" si="250"/>
        <v>1.008</v>
      </c>
      <c r="T648" s="72">
        <f t="shared" si="251"/>
        <v>0.9882352941176471</v>
      </c>
      <c r="U648" s="72">
        <f t="shared" si="252"/>
        <v>1.02</v>
      </c>
    </row>
    <row r="649" spans="1:21" x14ac:dyDescent="0.25">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0.84</v>
      </c>
      <c r="P649" s="72">
        <f t="shared" si="247"/>
        <v>0</v>
      </c>
      <c r="Q649" s="72">
        <f t="shared" si="248"/>
        <v>0.45833333333333331</v>
      </c>
      <c r="R649" s="72">
        <f t="shared" si="249"/>
        <v>0.54166666666666674</v>
      </c>
      <c r="S649" s="72">
        <f t="shared" si="250"/>
        <v>1.008</v>
      </c>
      <c r="T649" s="72">
        <f t="shared" si="251"/>
        <v>0.9882352941176471</v>
      </c>
      <c r="U649" s="72">
        <f t="shared" si="252"/>
        <v>1.02</v>
      </c>
    </row>
    <row r="650" spans="1:21" x14ac:dyDescent="0.25">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0.84</v>
      </c>
      <c r="P650" s="72">
        <f t="shared" si="247"/>
        <v>0</v>
      </c>
      <c r="Q650" s="72">
        <f t="shared" si="248"/>
        <v>0.375</v>
      </c>
      <c r="R650" s="72">
        <f t="shared" si="249"/>
        <v>0.625</v>
      </c>
      <c r="S650" s="72">
        <f t="shared" si="250"/>
        <v>1.008</v>
      </c>
      <c r="T650" s="72">
        <f t="shared" si="251"/>
        <v>0.9882352941176471</v>
      </c>
      <c r="U650" s="72">
        <f t="shared" si="252"/>
        <v>1.02</v>
      </c>
    </row>
    <row r="651" spans="1:21" x14ac:dyDescent="0.25">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0.84</v>
      </c>
      <c r="P651" s="72">
        <f t="shared" si="247"/>
        <v>0</v>
      </c>
      <c r="Q651" s="72">
        <f t="shared" si="248"/>
        <v>0.29166666666666669</v>
      </c>
      <c r="R651" s="72">
        <f t="shared" si="249"/>
        <v>0.70833333333333326</v>
      </c>
      <c r="S651" s="72">
        <f t="shared" si="250"/>
        <v>1.008</v>
      </c>
      <c r="T651" s="72">
        <f t="shared" si="251"/>
        <v>0.9882352941176471</v>
      </c>
      <c r="U651" s="72">
        <f t="shared" si="252"/>
        <v>1.02</v>
      </c>
    </row>
    <row r="652" spans="1:21" x14ac:dyDescent="0.25">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0.84</v>
      </c>
      <c r="P652" s="72">
        <f t="shared" si="247"/>
        <v>0</v>
      </c>
      <c r="Q652" s="72">
        <f t="shared" si="248"/>
        <v>0.20833333333333334</v>
      </c>
      <c r="R652" s="72">
        <f t="shared" si="249"/>
        <v>0.79166666666666663</v>
      </c>
      <c r="S652" s="72">
        <f t="shared" si="250"/>
        <v>1.008</v>
      </c>
      <c r="T652" s="72">
        <f t="shared" si="251"/>
        <v>0.9882352941176471</v>
      </c>
      <c r="U652" s="72">
        <f t="shared" si="252"/>
        <v>1.02</v>
      </c>
    </row>
    <row r="653" spans="1:21" x14ac:dyDescent="0.25">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0.84</v>
      </c>
      <c r="P653" s="72">
        <f t="shared" si="247"/>
        <v>0</v>
      </c>
      <c r="Q653" s="72">
        <f t="shared" si="248"/>
        <v>0.125</v>
      </c>
      <c r="R653" s="72">
        <f t="shared" si="249"/>
        <v>0.875</v>
      </c>
      <c r="S653" s="72">
        <f t="shared" si="250"/>
        <v>1.008</v>
      </c>
      <c r="T653" s="72">
        <f t="shared" si="251"/>
        <v>1.008</v>
      </c>
      <c r="U653" s="72">
        <f t="shared" si="252"/>
        <v>1.02</v>
      </c>
    </row>
    <row r="654" spans="1:21" x14ac:dyDescent="0.25">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0.84</v>
      </c>
      <c r="P654" s="72">
        <f t="shared" si="247"/>
        <v>0</v>
      </c>
      <c r="Q654" s="72">
        <f t="shared" si="248"/>
        <v>4.1666666666666664E-2</v>
      </c>
      <c r="R654" s="72">
        <f t="shared" si="249"/>
        <v>0.95833333333333337</v>
      </c>
      <c r="S654" s="72">
        <f t="shared" si="250"/>
        <v>1.008</v>
      </c>
      <c r="T654" s="72">
        <f t="shared" si="251"/>
        <v>1.008</v>
      </c>
      <c r="U654" s="72">
        <f t="shared" si="252"/>
        <v>1.02</v>
      </c>
    </row>
    <row r="655" spans="1:21" x14ac:dyDescent="0.25">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0.84</v>
      </c>
      <c r="P655" s="72">
        <f t="shared" si="247"/>
        <v>0</v>
      </c>
      <c r="Q655" s="72">
        <f t="shared" si="248"/>
        <v>0</v>
      </c>
      <c r="R655" s="72">
        <f t="shared" si="249"/>
        <v>0.95833333333333337</v>
      </c>
      <c r="S655" s="72">
        <f t="shared" si="250"/>
        <v>1.008</v>
      </c>
      <c r="T655" s="72">
        <f t="shared" si="251"/>
        <v>0.9882352941176471</v>
      </c>
      <c r="U655" s="72">
        <f t="shared" si="252"/>
        <v>1.02</v>
      </c>
    </row>
    <row r="656" spans="1:21" x14ac:dyDescent="0.25">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0.84</v>
      </c>
      <c r="P656" s="72">
        <f t="shared" si="247"/>
        <v>0</v>
      </c>
      <c r="Q656" s="72">
        <f t="shared" si="248"/>
        <v>0</v>
      </c>
      <c r="R656" s="72">
        <f t="shared" si="249"/>
        <v>0.875</v>
      </c>
      <c r="S656" s="72">
        <f t="shared" si="250"/>
        <v>1.008</v>
      </c>
      <c r="T656" s="72">
        <f t="shared" si="251"/>
        <v>0.9882352941176471</v>
      </c>
      <c r="U656" s="72">
        <f t="shared" si="252"/>
        <v>1.02</v>
      </c>
    </row>
    <row r="657" spans="1:21" x14ac:dyDescent="0.25">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0.84</v>
      </c>
      <c r="P657" s="72">
        <f t="shared" si="247"/>
        <v>0</v>
      </c>
      <c r="Q657" s="72">
        <f t="shared" si="248"/>
        <v>0</v>
      </c>
      <c r="R657" s="72">
        <f t="shared" si="249"/>
        <v>0.79166666666666663</v>
      </c>
      <c r="S657" s="72">
        <f t="shared" si="250"/>
        <v>1.008</v>
      </c>
      <c r="T657" s="72">
        <f t="shared" si="251"/>
        <v>0.9882352941176471</v>
      </c>
      <c r="U657" s="72">
        <f t="shared" si="252"/>
        <v>1.02</v>
      </c>
    </row>
    <row r="658" spans="1:21" x14ac:dyDescent="0.25">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0.84</v>
      </c>
      <c r="P658" s="72">
        <f t="shared" si="247"/>
        <v>0</v>
      </c>
      <c r="Q658" s="72">
        <f t="shared" si="248"/>
        <v>0</v>
      </c>
      <c r="R658" s="72">
        <f t="shared" si="249"/>
        <v>0.70833333333333337</v>
      </c>
      <c r="S658" s="72">
        <f t="shared" si="250"/>
        <v>1.008</v>
      </c>
      <c r="T658" s="72">
        <f t="shared" si="251"/>
        <v>0.9882352941176471</v>
      </c>
      <c r="U658" s="72">
        <f t="shared" si="252"/>
        <v>1.02</v>
      </c>
    </row>
    <row r="659" spans="1:21" x14ac:dyDescent="0.25">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0.84</v>
      </c>
      <c r="P659" s="72">
        <f t="shared" si="247"/>
        <v>0</v>
      </c>
      <c r="Q659" s="72">
        <f t="shared" si="248"/>
        <v>0</v>
      </c>
      <c r="R659" s="72">
        <f t="shared" si="249"/>
        <v>0.625</v>
      </c>
      <c r="S659" s="72">
        <f t="shared" si="250"/>
        <v>1.008</v>
      </c>
      <c r="T659" s="72">
        <f t="shared" si="251"/>
        <v>0.9882352941176471</v>
      </c>
      <c r="U659" s="72">
        <f t="shared" si="252"/>
        <v>1.02</v>
      </c>
    </row>
    <row r="660" spans="1:21" x14ac:dyDescent="0.25">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0.84</v>
      </c>
      <c r="P660" s="72">
        <f t="shared" si="247"/>
        <v>0</v>
      </c>
      <c r="Q660" s="72">
        <f t="shared" si="248"/>
        <v>0</v>
      </c>
      <c r="R660" s="72">
        <f t="shared" si="249"/>
        <v>0.54166666666666663</v>
      </c>
      <c r="S660" s="72">
        <f t="shared" si="250"/>
        <v>1.008</v>
      </c>
      <c r="T660" s="72">
        <f t="shared" si="251"/>
        <v>0.9882352941176471</v>
      </c>
      <c r="U660" s="72">
        <f t="shared" si="252"/>
        <v>1.02</v>
      </c>
    </row>
    <row r="661" spans="1:21" x14ac:dyDescent="0.25">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0.84</v>
      </c>
      <c r="P661" s="72">
        <f t="shared" si="247"/>
        <v>0</v>
      </c>
      <c r="Q661" s="72">
        <f t="shared" si="248"/>
        <v>0</v>
      </c>
      <c r="R661" s="72">
        <f t="shared" si="249"/>
        <v>0.45833333333333331</v>
      </c>
      <c r="S661" s="72">
        <f t="shared" si="250"/>
        <v>1.008</v>
      </c>
      <c r="T661" s="72">
        <f t="shared" si="251"/>
        <v>0.9882352941176471</v>
      </c>
      <c r="U661" s="72">
        <f t="shared" si="252"/>
        <v>1.02</v>
      </c>
    </row>
    <row r="662" spans="1:21" x14ac:dyDescent="0.25">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0.84</v>
      </c>
      <c r="P662" s="72">
        <f t="shared" si="247"/>
        <v>0</v>
      </c>
      <c r="Q662" s="72">
        <f t="shared" si="248"/>
        <v>0</v>
      </c>
      <c r="R662" s="72">
        <f t="shared" si="249"/>
        <v>0.375</v>
      </c>
      <c r="S662" s="72">
        <f t="shared" si="250"/>
        <v>1.008</v>
      </c>
      <c r="T662" s="72">
        <f t="shared" si="251"/>
        <v>0.9882352941176471</v>
      </c>
      <c r="U662" s="72">
        <f t="shared" si="252"/>
        <v>1.02</v>
      </c>
    </row>
    <row r="663" spans="1:21" x14ac:dyDescent="0.25">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0.84</v>
      </c>
      <c r="P663" s="72">
        <f t="shared" si="247"/>
        <v>0</v>
      </c>
      <c r="Q663" s="72">
        <f t="shared" si="248"/>
        <v>0</v>
      </c>
      <c r="R663" s="72">
        <f t="shared" si="249"/>
        <v>0.29166666666666669</v>
      </c>
      <c r="S663" s="72">
        <f t="shared" si="250"/>
        <v>1.008</v>
      </c>
      <c r="T663" s="72">
        <f t="shared" si="251"/>
        <v>0.9882352941176471</v>
      </c>
      <c r="U663" s="72">
        <f t="shared" si="252"/>
        <v>1.02</v>
      </c>
    </row>
    <row r="664" spans="1:21" x14ac:dyDescent="0.25">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0.84</v>
      </c>
      <c r="P664" s="72">
        <f t="shared" si="247"/>
        <v>0</v>
      </c>
      <c r="Q664" s="72">
        <f t="shared" si="248"/>
        <v>0</v>
      </c>
      <c r="R664" s="72">
        <f t="shared" si="249"/>
        <v>0.20833333333333334</v>
      </c>
      <c r="S664" s="72">
        <f t="shared" si="250"/>
        <v>1.008</v>
      </c>
      <c r="T664" s="72">
        <f t="shared" si="251"/>
        <v>0.9882352941176471</v>
      </c>
      <c r="U664" s="72">
        <f t="shared" si="252"/>
        <v>1.02</v>
      </c>
    </row>
    <row r="665" spans="1:21" x14ac:dyDescent="0.25">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0.84</v>
      </c>
      <c r="P665" s="72">
        <f t="shared" si="247"/>
        <v>0</v>
      </c>
      <c r="Q665" s="72">
        <f t="shared" si="248"/>
        <v>0</v>
      </c>
      <c r="R665" s="72">
        <f t="shared" si="249"/>
        <v>0.125</v>
      </c>
      <c r="S665" s="72">
        <f t="shared" si="250"/>
        <v>1.008</v>
      </c>
      <c r="T665" s="72">
        <f t="shared" si="251"/>
        <v>1.008</v>
      </c>
      <c r="U665" s="72">
        <f t="shared" si="252"/>
        <v>1.02</v>
      </c>
    </row>
    <row r="666" spans="1:21" x14ac:dyDescent="0.25">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0.84</v>
      </c>
      <c r="P666" s="72">
        <f t="shared" si="247"/>
        <v>0</v>
      </c>
      <c r="Q666" s="72">
        <f t="shared" si="248"/>
        <v>0</v>
      </c>
      <c r="R666" s="72">
        <f t="shared" si="249"/>
        <v>4.1666666666666664E-2</v>
      </c>
      <c r="S666" s="72">
        <f t="shared" si="250"/>
        <v>1.008</v>
      </c>
      <c r="T666" s="72">
        <f t="shared" si="251"/>
        <v>1.008</v>
      </c>
      <c r="U666" s="72">
        <f t="shared" si="252"/>
        <v>1.02</v>
      </c>
    </row>
    <row r="667" spans="1:21" x14ac:dyDescent="0.25">
      <c r="A667" s="77" t="s">
        <v>1209</v>
      </c>
      <c r="B667" s="50">
        <f>EXP(SUMPRODUCT((rl_key=$A$616)*(rl_cons="Y")*rl_ln1p))</f>
        <v>1.02</v>
      </c>
      <c r="C667" s="50">
        <f>SUMPRODUCT($H$619:$H$666,$P$619:$P$666,$U$619:$U$666)/SUMPRODUCT($H$619:$H$666,$P$619:$P$666)</f>
        <v>1.0002777777777778</v>
      </c>
      <c r="D667" s="50">
        <f>SUMPRODUCT($H$619:$H$666,$Q$619:$Q$666,$U$619:$U$666)/SUMPRODUCT($H$619:$H$666,$Q$619:$Q$666)</f>
        <v>1.0130555555555556</v>
      </c>
      <c r="E667" s="50">
        <f>SUMPRODUCT($H$619:$H$666,$R$619:$R$666,$U$619:$U$666)/SUMPRODUCT($H$619:$H$666,$R$619:$R$666)</f>
        <v>1.0199999999999998</v>
      </c>
      <c r="F667" s="169">
        <f>SUMPRODUCT($H$619:$H$666,$Q$619:$Q$666,$O$619:$O$666)/SUMPRODUCT($H$619:$H$666,$Q$619:$Q$666)</f>
        <v>0.84</v>
      </c>
      <c r="G667" s="169">
        <f>SUMPRODUCT($H$619:$H$666,$R$619:$R$666,$O$619:$O$666)/SUMPRODUCT($H$619:$H$666,$R$619:$R$666)</f>
        <v>0.84</v>
      </c>
    </row>
    <row r="670" spans="1:21" x14ac:dyDescent="0.25">
      <c r="A670" s="77" t="str">
        <f>INDEX(lr_key,12)</f>
        <v>BU-A|MI</v>
      </c>
      <c r="B670" s="77" t="str">
        <f>INDEX(lr_state,12)</f>
        <v>MI</v>
      </c>
      <c r="C670" s="52">
        <f>nr_TermMonths</f>
        <v>12</v>
      </c>
      <c r="D670" s="52">
        <f>IF(COUNTIF(se_state,$B670)=0,0,MATCH($B670,se_state,0))</f>
        <v>0</v>
      </c>
      <c r="E670" s="54">
        <f>IF($D670=0,0,INDEX(se_sum,$D670))</f>
        <v>0</v>
      </c>
      <c r="F670" s="169">
        <f>IF(N(INDEX(lr_mind,12))=0,1,INDEX(lr_mind,12))</f>
        <v>0.85</v>
      </c>
      <c r="G670" s="169">
        <f>IF(N(INDEX(lr_m0,12))=0,1,INDEX(lr_m0,12))</f>
        <v>0.84</v>
      </c>
      <c r="H670" s="51">
        <f>IF(N(INDEX(lr_m0asof,12))=0,DATE(nr_PlanYear-1,10,1),INDEX(lr_m0asof,12))</f>
        <v>46295</v>
      </c>
      <c r="I670" s="169">
        <f>IF(N(INDEX(lr_m1,12))=0,1,INDEX(lr_m1,12))</f>
        <v>0.85499999999999998</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25">
      <c r="A671" s="77">
        <f>EDATE($H$670,-12)+1</f>
        <v>45931</v>
      </c>
      <c r="B671" s="77">
        <f>$H$670+1</f>
        <v>46296</v>
      </c>
      <c r="C671" s="77">
        <f>DATE(nr_PlanYear,12,31)+1</f>
        <v>46753</v>
      </c>
      <c r="D671" s="77">
        <f>DATE(nr_PlanYear+1,12,31)+1</f>
        <v>47119</v>
      </c>
      <c r="E671" s="77">
        <f>IF(N($J$670)=0,$F$671-($G$671-$F$671)/($C$671-$B$671)*($B$671-$A$671),$J$670)</f>
        <v>0.82801969365426686</v>
      </c>
      <c r="F671" s="77">
        <f>$G$670</f>
        <v>0.84</v>
      </c>
      <c r="G671" s="77">
        <f>$I$670</f>
        <v>0.85499999999999998</v>
      </c>
      <c r="H671" s="77">
        <f>IF(N($K$670)=0,$I$670,$K$670)</f>
        <v>0.85499999999999998</v>
      </c>
      <c r="I671" s="77">
        <f>($F$671-$E$671)/($B$671-$A$671)</f>
        <v>3.2822757111597549E-5</v>
      </c>
      <c r="J671" s="77">
        <f>($G$671-$F$671)/($C$671-$B$671)</f>
        <v>3.2822757111597407E-5</v>
      </c>
      <c r="K671" s="77">
        <f>($H$671-$G$671)/($D$671-$C$671)</f>
        <v>0</v>
      </c>
    </row>
    <row r="672" spans="1:21" ht="24" x14ac:dyDescent="0.25">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25">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0.81956783369803055</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0.96419745140944768</v>
      </c>
      <c r="T673" s="72">
        <f t="shared" ref="T673:T720" si="271">IF($G673&lt;nr_MStartP,$S673,$T661*(1+IF($G673&lt;nr_MStartP1,$M$670,$N$670)))</f>
        <v>0.96419745140944768</v>
      </c>
      <c r="U673" s="72">
        <f t="shared" ref="U673:U720" si="272">IF($L$670,$T673,$N673)</f>
        <v>1</v>
      </c>
    </row>
    <row r="674" spans="1:21" x14ac:dyDescent="0.25">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0.82053610503282259</v>
      </c>
      <c r="P674" s="72">
        <f t="shared" si="267"/>
        <v>0.125</v>
      </c>
      <c r="Q674" s="72">
        <f t="shared" si="268"/>
        <v>0</v>
      </c>
      <c r="R674" s="72">
        <f t="shared" si="269"/>
        <v>0</v>
      </c>
      <c r="S674" s="72">
        <f t="shared" si="270"/>
        <v>0.96533659415626194</v>
      </c>
      <c r="T674" s="72">
        <f t="shared" si="271"/>
        <v>0.96533659415626194</v>
      </c>
      <c r="U674" s="72">
        <f t="shared" si="272"/>
        <v>1</v>
      </c>
    </row>
    <row r="675" spans="1:21" x14ac:dyDescent="0.25">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0.82150437636761475</v>
      </c>
      <c r="P675" s="72">
        <f t="shared" si="267"/>
        <v>0.20833333333333337</v>
      </c>
      <c r="Q675" s="72">
        <f t="shared" si="268"/>
        <v>0</v>
      </c>
      <c r="R675" s="72">
        <f t="shared" si="269"/>
        <v>0</v>
      </c>
      <c r="S675" s="72">
        <f t="shared" si="270"/>
        <v>0.9664757369030762</v>
      </c>
      <c r="T675" s="72">
        <f t="shared" si="271"/>
        <v>0.9664757369030762</v>
      </c>
      <c r="U675" s="72">
        <f t="shared" si="272"/>
        <v>1</v>
      </c>
    </row>
    <row r="676" spans="1:21" x14ac:dyDescent="0.25">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0.8225054704595185</v>
      </c>
      <c r="P676" s="72">
        <f t="shared" si="267"/>
        <v>0.29166666666666663</v>
      </c>
      <c r="Q676" s="72">
        <f t="shared" si="268"/>
        <v>0</v>
      </c>
      <c r="R676" s="72">
        <f t="shared" si="269"/>
        <v>0</v>
      </c>
      <c r="S676" s="72">
        <f t="shared" si="270"/>
        <v>0.96765349465825712</v>
      </c>
      <c r="T676" s="72">
        <f t="shared" si="271"/>
        <v>0.96765349465825712</v>
      </c>
      <c r="U676" s="72">
        <f t="shared" si="272"/>
        <v>1</v>
      </c>
    </row>
    <row r="677" spans="1:21" x14ac:dyDescent="0.25">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0.82350656455142224</v>
      </c>
      <c r="P677" s="72">
        <f t="shared" si="267"/>
        <v>0.375</v>
      </c>
      <c r="Q677" s="72">
        <f t="shared" si="268"/>
        <v>0</v>
      </c>
      <c r="R677" s="72">
        <f t="shared" si="269"/>
        <v>0</v>
      </c>
      <c r="S677" s="72">
        <f t="shared" si="270"/>
        <v>0.96883125241343793</v>
      </c>
      <c r="T677" s="72">
        <f t="shared" si="271"/>
        <v>0.96883125241343793</v>
      </c>
      <c r="U677" s="72">
        <f t="shared" si="272"/>
        <v>1</v>
      </c>
    </row>
    <row r="678" spans="1:21" x14ac:dyDescent="0.25">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0.82450765864332598</v>
      </c>
      <c r="P678" s="72">
        <f t="shared" si="267"/>
        <v>0.45833333333333337</v>
      </c>
      <c r="Q678" s="72">
        <f t="shared" si="268"/>
        <v>0</v>
      </c>
      <c r="R678" s="72">
        <f t="shared" si="269"/>
        <v>0</v>
      </c>
      <c r="S678" s="72">
        <f t="shared" si="270"/>
        <v>0.97000901016861885</v>
      </c>
      <c r="T678" s="72">
        <f t="shared" si="271"/>
        <v>0.97000901016861885</v>
      </c>
      <c r="U678" s="72">
        <f t="shared" si="272"/>
        <v>1</v>
      </c>
    </row>
    <row r="679" spans="1:21" x14ac:dyDescent="0.25">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0.82550875273522961</v>
      </c>
      <c r="P679" s="72">
        <f t="shared" si="267"/>
        <v>0.54166666666666674</v>
      </c>
      <c r="Q679" s="72">
        <f t="shared" si="268"/>
        <v>0</v>
      </c>
      <c r="R679" s="72">
        <f t="shared" si="269"/>
        <v>0</v>
      </c>
      <c r="S679" s="72">
        <f t="shared" si="270"/>
        <v>0.97118676792379954</v>
      </c>
      <c r="T679" s="72">
        <f t="shared" si="271"/>
        <v>0.97118676792379954</v>
      </c>
      <c r="U679" s="72">
        <f t="shared" si="272"/>
        <v>1</v>
      </c>
    </row>
    <row r="680" spans="1:21" x14ac:dyDescent="0.25">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0.82652625820568915</v>
      </c>
      <c r="P680" s="72">
        <f t="shared" si="267"/>
        <v>0.625</v>
      </c>
      <c r="Q680" s="72">
        <f t="shared" si="268"/>
        <v>0</v>
      </c>
      <c r="R680" s="72">
        <f t="shared" si="269"/>
        <v>0</v>
      </c>
      <c r="S680" s="72">
        <f t="shared" si="270"/>
        <v>0.97238383318316368</v>
      </c>
      <c r="T680" s="72">
        <f t="shared" si="271"/>
        <v>0.97238383318316368</v>
      </c>
      <c r="U680" s="72">
        <f t="shared" si="272"/>
        <v>1</v>
      </c>
    </row>
    <row r="681" spans="1:21" x14ac:dyDescent="0.25">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0.82752735229759289</v>
      </c>
      <c r="P681" s="72">
        <f t="shared" si="267"/>
        <v>0.70833333333333326</v>
      </c>
      <c r="Q681" s="72">
        <f t="shared" si="268"/>
        <v>0</v>
      </c>
      <c r="R681" s="72">
        <f t="shared" si="269"/>
        <v>0</v>
      </c>
      <c r="S681" s="72">
        <f t="shared" si="270"/>
        <v>0.9735615909383446</v>
      </c>
      <c r="T681" s="72">
        <f t="shared" si="271"/>
        <v>0.9735615909383446</v>
      </c>
      <c r="U681" s="72">
        <f t="shared" si="272"/>
        <v>1</v>
      </c>
    </row>
    <row r="682" spans="1:21" x14ac:dyDescent="0.25">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0.82852844638949663</v>
      </c>
      <c r="P682" s="72">
        <f t="shared" si="267"/>
        <v>0.79166666666666663</v>
      </c>
      <c r="Q682" s="72">
        <f t="shared" si="268"/>
        <v>0</v>
      </c>
      <c r="R682" s="72">
        <f t="shared" si="269"/>
        <v>0</v>
      </c>
      <c r="S682" s="72">
        <f t="shared" si="270"/>
        <v>0.97473934869352552</v>
      </c>
      <c r="T682" s="72">
        <f t="shared" si="271"/>
        <v>0.97473934869352552</v>
      </c>
      <c r="U682" s="72">
        <f t="shared" si="272"/>
        <v>1</v>
      </c>
    </row>
    <row r="683" spans="1:21" x14ac:dyDescent="0.25">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0.82952954048140037</v>
      </c>
      <c r="P683" s="72">
        <f t="shared" si="267"/>
        <v>0.875</v>
      </c>
      <c r="Q683" s="72">
        <f t="shared" si="268"/>
        <v>0</v>
      </c>
      <c r="R683" s="72">
        <f t="shared" si="269"/>
        <v>0</v>
      </c>
      <c r="S683" s="72">
        <f t="shared" si="270"/>
        <v>0.97591710644870633</v>
      </c>
      <c r="T683" s="72">
        <f t="shared" si="271"/>
        <v>0.97591710644870633</v>
      </c>
      <c r="U683" s="72">
        <f t="shared" si="272"/>
        <v>1</v>
      </c>
    </row>
    <row r="684" spans="1:21" x14ac:dyDescent="0.25">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0.83053063457330412</v>
      </c>
      <c r="P684" s="72">
        <f t="shared" si="267"/>
        <v>0.95833333333333337</v>
      </c>
      <c r="Q684" s="72">
        <f t="shared" si="268"/>
        <v>0</v>
      </c>
      <c r="R684" s="72">
        <f t="shared" si="269"/>
        <v>0</v>
      </c>
      <c r="S684" s="72">
        <f t="shared" si="270"/>
        <v>0.97709486420388725</v>
      </c>
      <c r="T684" s="72">
        <f t="shared" si="271"/>
        <v>0.97709486420388725</v>
      </c>
      <c r="U684" s="72">
        <f t="shared" si="272"/>
        <v>1</v>
      </c>
    </row>
    <row r="685" spans="1:21" x14ac:dyDescent="0.25">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0.83154814004376365</v>
      </c>
      <c r="P685" s="72">
        <f t="shared" si="267"/>
        <v>0.95833333333333337</v>
      </c>
      <c r="Q685" s="72">
        <f t="shared" si="268"/>
        <v>4.166666666666663E-2</v>
      </c>
      <c r="R685" s="72">
        <f t="shared" si="269"/>
        <v>0</v>
      </c>
      <c r="S685" s="72">
        <f t="shared" si="270"/>
        <v>0.97829192946325139</v>
      </c>
      <c r="T685" s="72">
        <f t="shared" si="271"/>
        <v>0.97829192946325139</v>
      </c>
      <c r="U685" s="72">
        <f t="shared" si="272"/>
        <v>1</v>
      </c>
    </row>
    <row r="686" spans="1:21" x14ac:dyDescent="0.25">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0.8325164113785557</v>
      </c>
      <c r="P686" s="72">
        <f t="shared" si="267"/>
        <v>0.875</v>
      </c>
      <c r="Q686" s="72">
        <f t="shared" si="268"/>
        <v>0.125</v>
      </c>
      <c r="R686" s="72">
        <f t="shared" si="269"/>
        <v>0</v>
      </c>
      <c r="S686" s="72">
        <f t="shared" si="270"/>
        <v>0.97943107221006553</v>
      </c>
      <c r="T686" s="72">
        <f t="shared" si="271"/>
        <v>0.97943107221006553</v>
      </c>
      <c r="U686" s="72">
        <f t="shared" si="272"/>
        <v>1</v>
      </c>
    </row>
    <row r="687" spans="1:21" x14ac:dyDescent="0.25">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0.83348468271334786</v>
      </c>
      <c r="P687" s="72">
        <f t="shared" si="267"/>
        <v>0.79166666666666663</v>
      </c>
      <c r="Q687" s="72">
        <f t="shared" si="268"/>
        <v>0.20833333333333337</v>
      </c>
      <c r="R687" s="72">
        <f t="shared" si="269"/>
        <v>0</v>
      </c>
      <c r="S687" s="72">
        <f t="shared" si="270"/>
        <v>0.9805702149568799</v>
      </c>
      <c r="T687" s="72">
        <f t="shared" si="271"/>
        <v>0.9805702149568799</v>
      </c>
      <c r="U687" s="72">
        <f t="shared" si="272"/>
        <v>1</v>
      </c>
    </row>
    <row r="688" spans="1:21" x14ac:dyDescent="0.25">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0.8344857768052516</v>
      </c>
      <c r="P688" s="72">
        <f t="shared" si="267"/>
        <v>0.70833333333333337</v>
      </c>
      <c r="Q688" s="72">
        <f t="shared" si="268"/>
        <v>0.29166666666666663</v>
      </c>
      <c r="R688" s="72">
        <f t="shared" si="269"/>
        <v>0</v>
      </c>
      <c r="S688" s="72">
        <f t="shared" si="270"/>
        <v>0.98174797271206071</v>
      </c>
      <c r="T688" s="72">
        <f t="shared" si="271"/>
        <v>0.98174797271206071</v>
      </c>
      <c r="U688" s="72">
        <f t="shared" si="272"/>
        <v>1</v>
      </c>
    </row>
    <row r="689" spans="1:21" x14ac:dyDescent="0.25">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0.83548687089715534</v>
      </c>
      <c r="P689" s="72">
        <f t="shared" si="267"/>
        <v>0.625</v>
      </c>
      <c r="Q689" s="72">
        <f t="shared" si="268"/>
        <v>0.375</v>
      </c>
      <c r="R689" s="72">
        <f t="shared" si="269"/>
        <v>0</v>
      </c>
      <c r="S689" s="72">
        <f t="shared" si="270"/>
        <v>0.98292573046724163</v>
      </c>
      <c r="T689" s="72">
        <f t="shared" si="271"/>
        <v>0.98292573046724163</v>
      </c>
      <c r="U689" s="72">
        <f t="shared" si="272"/>
        <v>1</v>
      </c>
    </row>
    <row r="690" spans="1:21" x14ac:dyDescent="0.25">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0.83648796498905909</v>
      </c>
      <c r="P690" s="72">
        <f t="shared" si="267"/>
        <v>0.54166666666666663</v>
      </c>
      <c r="Q690" s="72">
        <f t="shared" si="268"/>
        <v>0.45833333333333337</v>
      </c>
      <c r="R690" s="72">
        <f t="shared" si="269"/>
        <v>0</v>
      </c>
      <c r="S690" s="72">
        <f t="shared" si="270"/>
        <v>0.98410348822242244</v>
      </c>
      <c r="T690" s="72">
        <f t="shared" si="271"/>
        <v>0.98410348822242244</v>
      </c>
      <c r="U690" s="72">
        <f t="shared" si="272"/>
        <v>1</v>
      </c>
    </row>
    <row r="691" spans="1:21" x14ac:dyDescent="0.25">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0.83748905908096272</v>
      </c>
      <c r="P691" s="72">
        <f t="shared" si="267"/>
        <v>0.45833333333333331</v>
      </c>
      <c r="Q691" s="72">
        <f t="shared" si="268"/>
        <v>0.54166666666666674</v>
      </c>
      <c r="R691" s="72">
        <f t="shared" si="269"/>
        <v>0</v>
      </c>
      <c r="S691" s="72">
        <f t="shared" si="270"/>
        <v>0.98528124597760325</v>
      </c>
      <c r="T691" s="72">
        <f t="shared" si="271"/>
        <v>0.98528124597760325</v>
      </c>
      <c r="U691" s="72">
        <f t="shared" si="272"/>
        <v>1</v>
      </c>
    </row>
    <row r="692" spans="1:21" x14ac:dyDescent="0.25">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0.83850656455142225</v>
      </c>
      <c r="P692" s="72">
        <f t="shared" si="267"/>
        <v>0.375</v>
      </c>
      <c r="Q692" s="72">
        <f t="shared" si="268"/>
        <v>0.625</v>
      </c>
      <c r="R692" s="72">
        <f t="shared" si="269"/>
        <v>0</v>
      </c>
      <c r="S692" s="72">
        <f t="shared" si="270"/>
        <v>0.98647831123696739</v>
      </c>
      <c r="T692" s="72">
        <f t="shared" si="271"/>
        <v>0.98647831123696739</v>
      </c>
      <c r="U692" s="72">
        <f t="shared" si="272"/>
        <v>1</v>
      </c>
    </row>
    <row r="693" spans="1:21" x14ac:dyDescent="0.25">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0.83950765864332599</v>
      </c>
      <c r="P693" s="72">
        <f t="shared" si="267"/>
        <v>0.29166666666666669</v>
      </c>
      <c r="Q693" s="72">
        <f t="shared" si="268"/>
        <v>0.70833333333333326</v>
      </c>
      <c r="R693" s="72">
        <f t="shared" si="269"/>
        <v>0</v>
      </c>
      <c r="S693" s="72">
        <f t="shared" si="270"/>
        <v>0.98765606899214831</v>
      </c>
      <c r="T693" s="72">
        <f t="shared" si="271"/>
        <v>0.98765606899214831</v>
      </c>
      <c r="U693" s="72">
        <f t="shared" si="272"/>
        <v>1</v>
      </c>
    </row>
    <row r="694" spans="1:21" x14ac:dyDescent="0.25">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0.84050875273522974</v>
      </c>
      <c r="P694" s="72">
        <f t="shared" si="267"/>
        <v>0.20833333333333334</v>
      </c>
      <c r="Q694" s="72">
        <f t="shared" si="268"/>
        <v>0.79166666666666663</v>
      </c>
      <c r="R694" s="72">
        <f t="shared" si="269"/>
        <v>0</v>
      </c>
      <c r="S694" s="72">
        <f t="shared" si="270"/>
        <v>0.98883382674732911</v>
      </c>
      <c r="T694" s="72">
        <f t="shared" si="271"/>
        <v>0.98883382674732911</v>
      </c>
      <c r="U694" s="72">
        <f t="shared" si="272"/>
        <v>1</v>
      </c>
    </row>
    <row r="695" spans="1:21" x14ac:dyDescent="0.25">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0.84150984682713348</v>
      </c>
      <c r="P695" s="72">
        <f t="shared" si="267"/>
        <v>0.125</v>
      </c>
      <c r="Q695" s="72">
        <f t="shared" si="268"/>
        <v>0.875</v>
      </c>
      <c r="R695" s="72">
        <f t="shared" si="269"/>
        <v>0</v>
      </c>
      <c r="S695" s="72">
        <f t="shared" si="270"/>
        <v>0.99001158450251003</v>
      </c>
      <c r="T695" s="72">
        <f t="shared" si="271"/>
        <v>0.99001158450251003</v>
      </c>
      <c r="U695" s="72">
        <f t="shared" si="272"/>
        <v>1</v>
      </c>
    </row>
    <row r="696" spans="1:21" x14ac:dyDescent="0.25">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0.84251094091903722</v>
      </c>
      <c r="P696" s="72">
        <f t="shared" si="267"/>
        <v>4.1666666666666664E-2</v>
      </c>
      <c r="Q696" s="72">
        <f t="shared" si="268"/>
        <v>0.95833333333333337</v>
      </c>
      <c r="R696" s="72">
        <f t="shared" si="269"/>
        <v>0</v>
      </c>
      <c r="S696" s="72">
        <f t="shared" si="270"/>
        <v>0.99118934225769084</v>
      </c>
      <c r="T696" s="72">
        <f t="shared" si="271"/>
        <v>0.99118934225769084</v>
      </c>
      <c r="U696" s="72">
        <f t="shared" si="272"/>
        <v>1</v>
      </c>
    </row>
    <row r="697" spans="1:21" x14ac:dyDescent="0.25">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0.84352844638949664</v>
      </c>
      <c r="P697" s="72">
        <f t="shared" si="267"/>
        <v>0</v>
      </c>
      <c r="Q697" s="72">
        <f t="shared" si="268"/>
        <v>0.95833333333333337</v>
      </c>
      <c r="R697" s="72">
        <f t="shared" si="269"/>
        <v>4.166666666666663E-2</v>
      </c>
      <c r="S697" s="72">
        <f t="shared" si="270"/>
        <v>0.99238640751705487</v>
      </c>
      <c r="T697" s="72">
        <f t="shared" si="271"/>
        <v>0.97829192946325139</v>
      </c>
      <c r="U697" s="72">
        <f t="shared" si="272"/>
        <v>1</v>
      </c>
    </row>
    <row r="698" spans="1:21" x14ac:dyDescent="0.25">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0.8444967177242888</v>
      </c>
      <c r="P698" s="72">
        <f t="shared" si="267"/>
        <v>0</v>
      </c>
      <c r="Q698" s="72">
        <f t="shared" si="268"/>
        <v>0.875</v>
      </c>
      <c r="R698" s="72">
        <f t="shared" si="269"/>
        <v>0.125</v>
      </c>
      <c r="S698" s="72">
        <f t="shared" si="270"/>
        <v>0.99352555026386924</v>
      </c>
      <c r="T698" s="72">
        <f t="shared" si="271"/>
        <v>0.97943107221006553</v>
      </c>
      <c r="U698" s="72">
        <f t="shared" si="272"/>
        <v>1</v>
      </c>
    </row>
    <row r="699" spans="1:21" x14ac:dyDescent="0.25">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0.84546498905908096</v>
      </c>
      <c r="P699" s="72">
        <f t="shared" si="267"/>
        <v>0</v>
      </c>
      <c r="Q699" s="72">
        <f t="shared" si="268"/>
        <v>0.79166666666666663</v>
      </c>
      <c r="R699" s="72">
        <f t="shared" si="269"/>
        <v>0.20833333333333337</v>
      </c>
      <c r="S699" s="72">
        <f t="shared" si="270"/>
        <v>0.9946646930106835</v>
      </c>
      <c r="T699" s="72">
        <f t="shared" si="271"/>
        <v>0.9805702149568799</v>
      </c>
      <c r="U699" s="72">
        <f t="shared" si="272"/>
        <v>1</v>
      </c>
    </row>
    <row r="700" spans="1:21" x14ac:dyDescent="0.25">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0.8464660831509847</v>
      </c>
      <c r="P700" s="72">
        <f t="shared" si="267"/>
        <v>0</v>
      </c>
      <c r="Q700" s="72">
        <f t="shared" si="268"/>
        <v>0.70833333333333337</v>
      </c>
      <c r="R700" s="72">
        <f t="shared" si="269"/>
        <v>0.29166666666666663</v>
      </c>
      <c r="S700" s="72">
        <f t="shared" si="270"/>
        <v>0.99584245076586442</v>
      </c>
      <c r="T700" s="72">
        <f t="shared" si="271"/>
        <v>0.98174797271206071</v>
      </c>
      <c r="U700" s="72">
        <f t="shared" si="272"/>
        <v>1</v>
      </c>
    </row>
    <row r="701" spans="1:21" x14ac:dyDescent="0.25">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0.84746717724288834</v>
      </c>
      <c r="P701" s="72">
        <f t="shared" si="267"/>
        <v>0</v>
      </c>
      <c r="Q701" s="72">
        <f t="shared" si="268"/>
        <v>0.625</v>
      </c>
      <c r="R701" s="72">
        <f t="shared" si="269"/>
        <v>0.375</v>
      </c>
      <c r="S701" s="72">
        <f t="shared" si="270"/>
        <v>0.99702020852104511</v>
      </c>
      <c r="T701" s="72">
        <f t="shared" si="271"/>
        <v>0.98292573046724163</v>
      </c>
      <c r="U701" s="72">
        <f t="shared" si="272"/>
        <v>1</v>
      </c>
    </row>
    <row r="702" spans="1:21" x14ac:dyDescent="0.25">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0.84846827133479208</v>
      </c>
      <c r="P702" s="72">
        <f t="shared" si="267"/>
        <v>0</v>
      </c>
      <c r="Q702" s="72">
        <f t="shared" si="268"/>
        <v>0.54166666666666663</v>
      </c>
      <c r="R702" s="72">
        <f t="shared" si="269"/>
        <v>0.45833333333333337</v>
      </c>
      <c r="S702" s="72">
        <f t="shared" si="270"/>
        <v>0.99819796627622603</v>
      </c>
      <c r="T702" s="72">
        <f t="shared" si="271"/>
        <v>0.98410348822242244</v>
      </c>
      <c r="U702" s="72">
        <f t="shared" si="272"/>
        <v>1</v>
      </c>
    </row>
    <row r="703" spans="1:21" x14ac:dyDescent="0.25">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0.84946936542669582</v>
      </c>
      <c r="P703" s="72">
        <f t="shared" si="267"/>
        <v>0</v>
      </c>
      <c r="Q703" s="72">
        <f t="shared" si="268"/>
        <v>0.45833333333333331</v>
      </c>
      <c r="R703" s="72">
        <f t="shared" si="269"/>
        <v>0.54166666666666674</v>
      </c>
      <c r="S703" s="72">
        <f t="shared" si="270"/>
        <v>0.99937572403140684</v>
      </c>
      <c r="T703" s="72">
        <f t="shared" si="271"/>
        <v>0.98528124597760325</v>
      </c>
      <c r="U703" s="72">
        <f t="shared" si="272"/>
        <v>1</v>
      </c>
    </row>
    <row r="704" spans="1:21" x14ac:dyDescent="0.25">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0.85048687089715536</v>
      </c>
      <c r="P704" s="72">
        <f t="shared" si="267"/>
        <v>0</v>
      </c>
      <c r="Q704" s="72">
        <f t="shared" si="268"/>
        <v>0.375</v>
      </c>
      <c r="R704" s="72">
        <f t="shared" si="269"/>
        <v>0.625</v>
      </c>
      <c r="S704" s="72">
        <f t="shared" si="270"/>
        <v>1.000572789290771</v>
      </c>
      <c r="T704" s="72">
        <f t="shared" si="271"/>
        <v>0.98647831123696739</v>
      </c>
      <c r="U704" s="72">
        <f t="shared" si="272"/>
        <v>1</v>
      </c>
    </row>
    <row r="705" spans="1:21" x14ac:dyDescent="0.25">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0.8514879649890591</v>
      </c>
      <c r="P705" s="72">
        <f t="shared" si="267"/>
        <v>0</v>
      </c>
      <c r="Q705" s="72">
        <f t="shared" si="268"/>
        <v>0.29166666666666669</v>
      </c>
      <c r="R705" s="72">
        <f t="shared" si="269"/>
        <v>0.70833333333333326</v>
      </c>
      <c r="S705" s="72">
        <f t="shared" si="270"/>
        <v>1.001750547045952</v>
      </c>
      <c r="T705" s="72">
        <f t="shared" si="271"/>
        <v>0.98765606899214831</v>
      </c>
      <c r="U705" s="72">
        <f t="shared" si="272"/>
        <v>1</v>
      </c>
    </row>
    <row r="706" spans="1:21" x14ac:dyDescent="0.25">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0.85248905908096273</v>
      </c>
      <c r="P706" s="72">
        <f t="shared" si="267"/>
        <v>0</v>
      </c>
      <c r="Q706" s="72">
        <f t="shared" si="268"/>
        <v>0.20833333333333334</v>
      </c>
      <c r="R706" s="72">
        <f t="shared" si="269"/>
        <v>0.79166666666666663</v>
      </c>
      <c r="S706" s="72">
        <f t="shared" si="270"/>
        <v>1.0029283048011326</v>
      </c>
      <c r="T706" s="72">
        <f t="shared" si="271"/>
        <v>0.98883382674732911</v>
      </c>
      <c r="U706" s="72">
        <f t="shared" si="272"/>
        <v>1</v>
      </c>
    </row>
    <row r="707" spans="1:21" x14ac:dyDescent="0.25">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0.85349015317286647</v>
      </c>
      <c r="P707" s="72">
        <f t="shared" si="267"/>
        <v>0</v>
      </c>
      <c r="Q707" s="72">
        <f t="shared" si="268"/>
        <v>0.125</v>
      </c>
      <c r="R707" s="72">
        <f t="shared" si="269"/>
        <v>0.875</v>
      </c>
      <c r="S707" s="72">
        <f t="shared" si="270"/>
        <v>1.0041060625563136</v>
      </c>
      <c r="T707" s="72">
        <f t="shared" si="271"/>
        <v>0.99001158450251003</v>
      </c>
      <c r="U707" s="72">
        <f t="shared" si="272"/>
        <v>1</v>
      </c>
    </row>
    <row r="708" spans="1:21" x14ac:dyDescent="0.25">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0.85449124726477022</v>
      </c>
      <c r="P708" s="72">
        <f t="shared" si="267"/>
        <v>0</v>
      </c>
      <c r="Q708" s="72">
        <f t="shared" si="268"/>
        <v>4.1666666666666664E-2</v>
      </c>
      <c r="R708" s="72">
        <f t="shared" si="269"/>
        <v>0.95833333333333337</v>
      </c>
      <c r="S708" s="72">
        <f t="shared" si="270"/>
        <v>1.0052838203114944</v>
      </c>
      <c r="T708" s="72">
        <f t="shared" si="271"/>
        <v>0.99118934225769084</v>
      </c>
      <c r="U708" s="72">
        <f t="shared" si="272"/>
        <v>1</v>
      </c>
    </row>
    <row r="709" spans="1:21" x14ac:dyDescent="0.25">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0.85499999999999998</v>
      </c>
      <c r="P709" s="72">
        <f t="shared" si="267"/>
        <v>0</v>
      </c>
      <c r="Q709" s="72">
        <f t="shared" si="268"/>
        <v>0</v>
      </c>
      <c r="R709" s="72">
        <f t="shared" si="269"/>
        <v>0.95833333333333337</v>
      </c>
      <c r="S709" s="72">
        <f t="shared" si="270"/>
        <v>1.0058823529411764</v>
      </c>
      <c r="T709" s="72">
        <f t="shared" si="271"/>
        <v>0.97829192946325139</v>
      </c>
      <c r="U709" s="72">
        <f t="shared" si="272"/>
        <v>1</v>
      </c>
    </row>
    <row r="710" spans="1:21" x14ac:dyDescent="0.25">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0.85499999999999998</v>
      </c>
      <c r="P710" s="72">
        <f t="shared" si="267"/>
        <v>0</v>
      </c>
      <c r="Q710" s="72">
        <f t="shared" si="268"/>
        <v>0</v>
      </c>
      <c r="R710" s="72">
        <f t="shared" si="269"/>
        <v>0.875</v>
      </c>
      <c r="S710" s="72">
        <f t="shared" si="270"/>
        <v>1.0058823529411764</v>
      </c>
      <c r="T710" s="72">
        <f t="shared" si="271"/>
        <v>0.97943107221006553</v>
      </c>
      <c r="U710" s="72">
        <f t="shared" si="272"/>
        <v>1</v>
      </c>
    </row>
    <row r="711" spans="1:21" x14ac:dyDescent="0.25">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0.85499999999999998</v>
      </c>
      <c r="P711" s="72">
        <f t="shared" si="267"/>
        <v>0</v>
      </c>
      <c r="Q711" s="72">
        <f t="shared" si="268"/>
        <v>0</v>
      </c>
      <c r="R711" s="72">
        <f t="shared" si="269"/>
        <v>0.79166666666666663</v>
      </c>
      <c r="S711" s="72">
        <f t="shared" si="270"/>
        <v>1.0058823529411764</v>
      </c>
      <c r="T711" s="72">
        <f t="shared" si="271"/>
        <v>0.9805702149568799</v>
      </c>
      <c r="U711" s="72">
        <f t="shared" si="272"/>
        <v>1</v>
      </c>
    </row>
    <row r="712" spans="1:21" x14ac:dyDescent="0.25">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0.85499999999999998</v>
      </c>
      <c r="P712" s="72">
        <f t="shared" si="267"/>
        <v>0</v>
      </c>
      <c r="Q712" s="72">
        <f t="shared" si="268"/>
        <v>0</v>
      </c>
      <c r="R712" s="72">
        <f t="shared" si="269"/>
        <v>0.70833333333333337</v>
      </c>
      <c r="S712" s="72">
        <f t="shared" si="270"/>
        <v>1.0058823529411764</v>
      </c>
      <c r="T712" s="72">
        <f t="shared" si="271"/>
        <v>0.98174797271206071</v>
      </c>
      <c r="U712" s="72">
        <f t="shared" si="272"/>
        <v>1</v>
      </c>
    </row>
    <row r="713" spans="1:21" x14ac:dyDescent="0.25">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0.85499999999999998</v>
      </c>
      <c r="P713" s="72">
        <f t="shared" si="267"/>
        <v>0</v>
      </c>
      <c r="Q713" s="72">
        <f t="shared" si="268"/>
        <v>0</v>
      </c>
      <c r="R713" s="72">
        <f t="shared" si="269"/>
        <v>0.625</v>
      </c>
      <c r="S713" s="72">
        <f t="shared" si="270"/>
        <v>1.0058823529411764</v>
      </c>
      <c r="T713" s="72">
        <f t="shared" si="271"/>
        <v>0.98292573046724163</v>
      </c>
      <c r="U713" s="72">
        <f t="shared" si="272"/>
        <v>1</v>
      </c>
    </row>
    <row r="714" spans="1:21" x14ac:dyDescent="0.25">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0.85499999999999998</v>
      </c>
      <c r="P714" s="72">
        <f t="shared" si="267"/>
        <v>0</v>
      </c>
      <c r="Q714" s="72">
        <f t="shared" si="268"/>
        <v>0</v>
      </c>
      <c r="R714" s="72">
        <f t="shared" si="269"/>
        <v>0.54166666666666663</v>
      </c>
      <c r="S714" s="72">
        <f t="shared" si="270"/>
        <v>1.0058823529411764</v>
      </c>
      <c r="T714" s="72">
        <f t="shared" si="271"/>
        <v>0.98410348822242244</v>
      </c>
      <c r="U714" s="72">
        <f t="shared" si="272"/>
        <v>1</v>
      </c>
    </row>
    <row r="715" spans="1:21" x14ac:dyDescent="0.25">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0.85499999999999998</v>
      </c>
      <c r="P715" s="72">
        <f t="shared" si="267"/>
        <v>0</v>
      </c>
      <c r="Q715" s="72">
        <f t="shared" si="268"/>
        <v>0</v>
      </c>
      <c r="R715" s="72">
        <f t="shared" si="269"/>
        <v>0.45833333333333331</v>
      </c>
      <c r="S715" s="72">
        <f t="shared" si="270"/>
        <v>1.0058823529411764</v>
      </c>
      <c r="T715" s="72">
        <f t="shared" si="271"/>
        <v>0.98528124597760325</v>
      </c>
      <c r="U715" s="72">
        <f t="shared" si="272"/>
        <v>1</v>
      </c>
    </row>
    <row r="716" spans="1:21" x14ac:dyDescent="0.25">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0.85499999999999998</v>
      </c>
      <c r="P716" s="72">
        <f t="shared" si="267"/>
        <v>0</v>
      </c>
      <c r="Q716" s="72">
        <f t="shared" si="268"/>
        <v>0</v>
      </c>
      <c r="R716" s="72">
        <f t="shared" si="269"/>
        <v>0.375</v>
      </c>
      <c r="S716" s="72">
        <f t="shared" si="270"/>
        <v>1.0058823529411764</v>
      </c>
      <c r="T716" s="72">
        <f t="shared" si="271"/>
        <v>0.98647831123696739</v>
      </c>
      <c r="U716" s="72">
        <f t="shared" si="272"/>
        <v>1</v>
      </c>
    </row>
    <row r="717" spans="1:21" x14ac:dyDescent="0.25">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0.85499999999999998</v>
      </c>
      <c r="P717" s="72">
        <f t="shared" si="267"/>
        <v>0</v>
      </c>
      <c r="Q717" s="72">
        <f t="shared" si="268"/>
        <v>0</v>
      </c>
      <c r="R717" s="72">
        <f t="shared" si="269"/>
        <v>0.29166666666666669</v>
      </c>
      <c r="S717" s="72">
        <f t="shared" si="270"/>
        <v>1.0058823529411764</v>
      </c>
      <c r="T717" s="72">
        <f t="shared" si="271"/>
        <v>0.98765606899214831</v>
      </c>
      <c r="U717" s="72">
        <f t="shared" si="272"/>
        <v>1</v>
      </c>
    </row>
    <row r="718" spans="1:21" x14ac:dyDescent="0.25">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0.85499999999999998</v>
      </c>
      <c r="P718" s="72">
        <f t="shared" si="267"/>
        <v>0</v>
      </c>
      <c r="Q718" s="72">
        <f t="shared" si="268"/>
        <v>0</v>
      </c>
      <c r="R718" s="72">
        <f t="shared" si="269"/>
        <v>0.20833333333333334</v>
      </c>
      <c r="S718" s="72">
        <f t="shared" si="270"/>
        <v>1.0058823529411764</v>
      </c>
      <c r="T718" s="72">
        <f t="shared" si="271"/>
        <v>0.98883382674732911</v>
      </c>
      <c r="U718" s="72">
        <f t="shared" si="272"/>
        <v>1</v>
      </c>
    </row>
    <row r="719" spans="1:21" x14ac:dyDescent="0.25">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0.85499999999999998</v>
      </c>
      <c r="P719" s="72">
        <f t="shared" si="267"/>
        <v>0</v>
      </c>
      <c r="Q719" s="72">
        <f t="shared" si="268"/>
        <v>0</v>
      </c>
      <c r="R719" s="72">
        <f t="shared" si="269"/>
        <v>0.125</v>
      </c>
      <c r="S719" s="72">
        <f t="shared" si="270"/>
        <v>1.0058823529411764</v>
      </c>
      <c r="T719" s="72">
        <f t="shared" si="271"/>
        <v>0.99001158450251003</v>
      </c>
      <c r="U719" s="72">
        <f t="shared" si="272"/>
        <v>1</v>
      </c>
    </row>
    <row r="720" spans="1:21" x14ac:dyDescent="0.25">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0.85499999999999998</v>
      </c>
      <c r="P720" s="72">
        <f t="shared" si="267"/>
        <v>0</v>
      </c>
      <c r="Q720" s="72">
        <f t="shared" si="268"/>
        <v>0</v>
      </c>
      <c r="R720" s="72">
        <f t="shared" si="269"/>
        <v>4.1666666666666664E-2</v>
      </c>
      <c r="S720" s="72">
        <f t="shared" si="270"/>
        <v>1.0058823529411764</v>
      </c>
      <c r="T720" s="72">
        <f t="shared" si="271"/>
        <v>0.99118934225769084</v>
      </c>
      <c r="U720" s="72">
        <f t="shared" si="272"/>
        <v>1</v>
      </c>
    </row>
    <row r="721" spans="1:21" x14ac:dyDescent="0.25">
      <c r="A721" s="77" t="s">
        <v>1209</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0.84299370897155379</v>
      </c>
      <c r="G721" s="169">
        <f>SUMPRODUCT($H$673:$H$720,$R$673:$R$720,$O$673:$O$720)/SUMPRODUCT($H$673:$H$720,$R$673:$R$720)</f>
        <v>0.85298453455506928</v>
      </c>
    </row>
    <row r="724" spans="1:21" x14ac:dyDescent="0.25">
      <c r="A724" s="77" t="str">
        <f>INDEX(lr_key,13)</f>
        <v>BU-A|MN</v>
      </c>
      <c r="B724" s="77" t="str">
        <f>INDEX(lr_state,13)</f>
        <v>MN</v>
      </c>
      <c r="C724" s="52">
        <f>nr_TermMonths</f>
        <v>12</v>
      </c>
      <c r="D724" s="52">
        <f>IF(COUNTIF(se_state,$B724)=0,0,MATCH($B724,se_state,0))</f>
        <v>0</v>
      </c>
      <c r="E724" s="54">
        <f>IF($D724=0,0,INDEX(se_sum,$D724))</f>
        <v>0</v>
      </c>
      <c r="F724" s="169">
        <f>IF(N(INDEX(lr_mind,13))=0,1,INDEX(lr_mind,13))</f>
        <v>0.85</v>
      </c>
      <c r="G724" s="169">
        <f>IF(N(INDEX(lr_m0,13))=0,1,INDEX(lr_m0,13))</f>
        <v>0.84</v>
      </c>
      <c r="H724" s="51">
        <f>IF(N(INDEX(lr_m0asof,13))=0,DATE(nr_PlanYear-1,10,1),INDEX(lr_m0asof,13))</f>
        <v>46295</v>
      </c>
      <c r="I724" s="169">
        <f>IF(N(INDEX(lr_m1,13))=0,1,INDEX(lr_m1,13))</f>
        <v>0.83499999999999996</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25">
      <c r="A725" s="77">
        <f>EDATE($H$724,-12)+1</f>
        <v>45931</v>
      </c>
      <c r="B725" s="77">
        <f>$H$724+1</f>
        <v>46296</v>
      </c>
      <c r="C725" s="77">
        <f>DATE(nr_PlanYear,12,31)+1</f>
        <v>46753</v>
      </c>
      <c r="D725" s="77">
        <f>DATE(nr_PlanYear+1,12,31)+1</f>
        <v>47119</v>
      </c>
      <c r="E725" s="77">
        <f>IF(N($J$724)=0,$F$725-($G$725-$F$725)/($C$725-$B$725)*($B$725-$A$725),$J$724)</f>
        <v>0.84399343544857763</v>
      </c>
      <c r="F725" s="77">
        <f>$G$724</f>
        <v>0.84</v>
      </c>
      <c r="G725" s="77">
        <f>$I$724</f>
        <v>0.83499999999999996</v>
      </c>
      <c r="H725" s="77">
        <f>IF(N($K$724)=0,$I$724,$K$724)</f>
        <v>0.83499999999999996</v>
      </c>
      <c r="I725" s="77">
        <f>($F$725-$E$725)/($B$725-$A$725)</f>
        <v>-1.0940919037199081E-5</v>
      </c>
      <c r="J725" s="77">
        <f>($G$725-$F$725)/($C$725-$B$725)</f>
        <v>-1.0940919037199135E-5</v>
      </c>
      <c r="K725" s="77">
        <f>($H$725-$G$725)/($D$725-$C$725)</f>
        <v>0</v>
      </c>
    </row>
    <row r="726" spans="1:21" ht="24" x14ac:dyDescent="0.25">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25">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0.84681072210065644</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0.99624790835371346</v>
      </c>
      <c r="T727" s="72">
        <f t="shared" ref="T727:T774" si="291">IF($G727&lt;nr_MStartP,$S727,$T715*(1+IF($G727&lt;nr_MStartP1,$M$724,$N$724)))</f>
        <v>0.99624790835371346</v>
      </c>
      <c r="U727" s="72">
        <f t="shared" ref="U727:U774" si="292">IF($L$724,$T727,$N727)</f>
        <v>1</v>
      </c>
    </row>
    <row r="728" spans="1:21" x14ac:dyDescent="0.25">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0.84648796498905898</v>
      </c>
      <c r="P728" s="72">
        <f t="shared" si="287"/>
        <v>0.125</v>
      </c>
      <c r="Q728" s="72">
        <f t="shared" si="288"/>
        <v>0</v>
      </c>
      <c r="R728" s="72">
        <f t="shared" si="289"/>
        <v>0</v>
      </c>
      <c r="S728" s="72">
        <f t="shared" si="290"/>
        <v>0.99586819410477534</v>
      </c>
      <c r="T728" s="72">
        <f t="shared" si="291"/>
        <v>0.99586819410477534</v>
      </c>
      <c r="U728" s="72">
        <f t="shared" si="292"/>
        <v>1</v>
      </c>
    </row>
    <row r="729" spans="1:21" x14ac:dyDescent="0.25">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0.84616520787746163</v>
      </c>
      <c r="P729" s="72">
        <f t="shared" si="287"/>
        <v>0.20833333333333337</v>
      </c>
      <c r="Q729" s="72">
        <f t="shared" si="288"/>
        <v>0</v>
      </c>
      <c r="R729" s="72">
        <f t="shared" si="289"/>
        <v>0</v>
      </c>
      <c r="S729" s="72">
        <f t="shared" si="290"/>
        <v>0.99548847985583722</v>
      </c>
      <c r="T729" s="72">
        <f t="shared" si="291"/>
        <v>0.99548847985583722</v>
      </c>
      <c r="U729" s="72">
        <f t="shared" si="292"/>
        <v>1</v>
      </c>
    </row>
    <row r="730" spans="1:21" x14ac:dyDescent="0.25">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0.84583150984682709</v>
      </c>
      <c r="P730" s="72">
        <f t="shared" si="287"/>
        <v>0.29166666666666663</v>
      </c>
      <c r="Q730" s="72">
        <f t="shared" si="288"/>
        <v>0</v>
      </c>
      <c r="R730" s="72">
        <f t="shared" si="289"/>
        <v>0</v>
      </c>
      <c r="S730" s="72">
        <f t="shared" si="290"/>
        <v>0.99509589393744369</v>
      </c>
      <c r="T730" s="72">
        <f t="shared" si="291"/>
        <v>0.99509589393744369</v>
      </c>
      <c r="U730" s="72">
        <f t="shared" si="292"/>
        <v>1</v>
      </c>
    </row>
    <row r="731" spans="1:21" x14ac:dyDescent="0.25">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0.84549781181619255</v>
      </c>
      <c r="P731" s="72">
        <f t="shared" si="287"/>
        <v>0.375</v>
      </c>
      <c r="Q731" s="72">
        <f t="shared" si="288"/>
        <v>0</v>
      </c>
      <c r="R731" s="72">
        <f t="shared" si="289"/>
        <v>0</v>
      </c>
      <c r="S731" s="72">
        <f t="shared" si="290"/>
        <v>0.99470330801905005</v>
      </c>
      <c r="T731" s="72">
        <f t="shared" si="291"/>
        <v>0.99470330801905005</v>
      </c>
      <c r="U731" s="72">
        <f t="shared" si="292"/>
        <v>1</v>
      </c>
    </row>
    <row r="732" spans="1:21" x14ac:dyDescent="0.25">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0.84516411378555789</v>
      </c>
      <c r="P732" s="72">
        <f t="shared" si="287"/>
        <v>0.45833333333333337</v>
      </c>
      <c r="Q732" s="72">
        <f t="shared" si="288"/>
        <v>0</v>
      </c>
      <c r="R732" s="72">
        <f t="shared" si="289"/>
        <v>0</v>
      </c>
      <c r="S732" s="72">
        <f t="shared" si="290"/>
        <v>0.99431072210065641</v>
      </c>
      <c r="T732" s="72">
        <f t="shared" si="291"/>
        <v>0.99431072210065641</v>
      </c>
      <c r="U732" s="72">
        <f t="shared" si="292"/>
        <v>1</v>
      </c>
    </row>
    <row r="733" spans="1:21" x14ac:dyDescent="0.25">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0.84483041575492335</v>
      </c>
      <c r="P733" s="72">
        <f t="shared" si="287"/>
        <v>0.54166666666666674</v>
      </c>
      <c r="Q733" s="72">
        <f t="shared" si="288"/>
        <v>0</v>
      </c>
      <c r="R733" s="72">
        <f t="shared" si="289"/>
        <v>0</v>
      </c>
      <c r="S733" s="72">
        <f t="shared" si="290"/>
        <v>0.99391813618226277</v>
      </c>
      <c r="T733" s="72">
        <f t="shared" si="291"/>
        <v>0.99391813618226277</v>
      </c>
      <c r="U733" s="72">
        <f t="shared" si="292"/>
        <v>1</v>
      </c>
    </row>
    <row r="734" spans="1:21" x14ac:dyDescent="0.25">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0.84449124726477021</v>
      </c>
      <c r="P734" s="72">
        <f t="shared" si="287"/>
        <v>0.625</v>
      </c>
      <c r="Q734" s="72">
        <f t="shared" si="288"/>
        <v>0</v>
      </c>
      <c r="R734" s="72">
        <f t="shared" si="289"/>
        <v>0</v>
      </c>
      <c r="S734" s="72">
        <f t="shared" si="290"/>
        <v>0.99351911442914143</v>
      </c>
      <c r="T734" s="72">
        <f t="shared" si="291"/>
        <v>0.99351911442914143</v>
      </c>
      <c r="U734" s="72">
        <f t="shared" si="292"/>
        <v>1</v>
      </c>
    </row>
    <row r="735" spans="1:21" x14ac:dyDescent="0.25">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0.84415754923413566</v>
      </c>
      <c r="P735" s="72">
        <f t="shared" si="287"/>
        <v>0.70833333333333326</v>
      </c>
      <c r="Q735" s="72">
        <f t="shared" si="288"/>
        <v>0</v>
      </c>
      <c r="R735" s="72">
        <f t="shared" si="289"/>
        <v>0</v>
      </c>
      <c r="S735" s="72">
        <f t="shared" si="290"/>
        <v>0.9931265285107479</v>
      </c>
      <c r="T735" s="72">
        <f t="shared" si="291"/>
        <v>0.9931265285107479</v>
      </c>
      <c r="U735" s="72">
        <f t="shared" si="292"/>
        <v>1</v>
      </c>
    </row>
    <row r="736" spans="1:21" x14ac:dyDescent="0.25">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0.84382385120350101</v>
      </c>
      <c r="P736" s="72">
        <f t="shared" si="287"/>
        <v>0.79166666666666663</v>
      </c>
      <c r="Q736" s="72">
        <f t="shared" si="288"/>
        <v>0</v>
      </c>
      <c r="R736" s="72">
        <f t="shared" si="289"/>
        <v>0</v>
      </c>
      <c r="S736" s="72">
        <f t="shared" si="290"/>
        <v>0.99273394259235415</v>
      </c>
      <c r="T736" s="72">
        <f t="shared" si="291"/>
        <v>0.99273394259235415</v>
      </c>
      <c r="U736" s="72">
        <f t="shared" si="292"/>
        <v>1</v>
      </c>
    </row>
    <row r="737" spans="1:21" x14ac:dyDescent="0.25">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0.84349015317286646</v>
      </c>
      <c r="P737" s="72">
        <f t="shared" si="287"/>
        <v>0.875</v>
      </c>
      <c r="Q737" s="72">
        <f t="shared" si="288"/>
        <v>0</v>
      </c>
      <c r="R737" s="72">
        <f t="shared" si="289"/>
        <v>0</v>
      </c>
      <c r="S737" s="72">
        <f t="shared" si="290"/>
        <v>0.99234135667396062</v>
      </c>
      <c r="T737" s="72">
        <f t="shared" si="291"/>
        <v>0.99234135667396062</v>
      </c>
      <c r="U737" s="72">
        <f t="shared" si="292"/>
        <v>1</v>
      </c>
    </row>
    <row r="738" spans="1:21" x14ac:dyDescent="0.25">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0.84315645514223192</v>
      </c>
      <c r="P738" s="72">
        <f t="shared" si="287"/>
        <v>0.95833333333333337</v>
      </c>
      <c r="Q738" s="72">
        <f t="shared" si="288"/>
        <v>0</v>
      </c>
      <c r="R738" s="72">
        <f t="shared" si="289"/>
        <v>0</v>
      </c>
      <c r="S738" s="72">
        <f t="shared" si="290"/>
        <v>0.99194877075556698</v>
      </c>
      <c r="T738" s="72">
        <f t="shared" si="291"/>
        <v>0.99194877075556698</v>
      </c>
      <c r="U738" s="72">
        <f t="shared" si="292"/>
        <v>1</v>
      </c>
    </row>
    <row r="739" spans="1:21" x14ac:dyDescent="0.25">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0.84281728665207878</v>
      </c>
      <c r="P739" s="72">
        <f t="shared" si="287"/>
        <v>0.95833333333333337</v>
      </c>
      <c r="Q739" s="72">
        <f t="shared" si="288"/>
        <v>4.166666666666663E-2</v>
      </c>
      <c r="R739" s="72">
        <f t="shared" si="289"/>
        <v>0</v>
      </c>
      <c r="S739" s="72">
        <f t="shared" si="290"/>
        <v>1.0312117389625435</v>
      </c>
      <c r="T739" s="72">
        <f t="shared" si="291"/>
        <v>1.0312117389625435</v>
      </c>
      <c r="U739" s="72">
        <f t="shared" si="292"/>
        <v>1.04</v>
      </c>
    </row>
    <row r="740" spans="1:21" x14ac:dyDescent="0.25">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0.84249452954048132</v>
      </c>
      <c r="P740" s="72">
        <f t="shared" si="287"/>
        <v>0.875</v>
      </c>
      <c r="Q740" s="72">
        <f t="shared" si="288"/>
        <v>0.125</v>
      </c>
      <c r="R740" s="72">
        <f t="shared" si="289"/>
        <v>0</v>
      </c>
      <c r="S740" s="72">
        <f t="shared" si="290"/>
        <v>1.0308168361436478</v>
      </c>
      <c r="T740" s="72">
        <f t="shared" si="291"/>
        <v>1.0308168361436478</v>
      </c>
      <c r="U740" s="72">
        <f t="shared" si="292"/>
        <v>1.04</v>
      </c>
    </row>
    <row r="741" spans="1:21" x14ac:dyDescent="0.25">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0.84217177242888397</v>
      </c>
      <c r="P741" s="72">
        <f t="shared" si="287"/>
        <v>0.79166666666666663</v>
      </c>
      <c r="Q741" s="72">
        <f t="shared" si="288"/>
        <v>0.20833333333333337</v>
      </c>
      <c r="R741" s="72">
        <f t="shared" si="289"/>
        <v>0</v>
      </c>
      <c r="S741" s="72">
        <f t="shared" si="290"/>
        <v>1.0304219333247522</v>
      </c>
      <c r="T741" s="72">
        <f t="shared" si="291"/>
        <v>1.0304219333247522</v>
      </c>
      <c r="U741" s="72">
        <f t="shared" si="292"/>
        <v>1.04</v>
      </c>
    </row>
    <row r="742" spans="1:21" x14ac:dyDescent="0.25">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0.84183807439824943</v>
      </c>
      <c r="P742" s="72">
        <f t="shared" si="287"/>
        <v>0.70833333333333337</v>
      </c>
      <c r="Q742" s="72">
        <f t="shared" si="288"/>
        <v>0.29166666666666663</v>
      </c>
      <c r="R742" s="72">
        <f t="shared" si="289"/>
        <v>0</v>
      </c>
      <c r="S742" s="72">
        <f t="shared" si="290"/>
        <v>1.030013643969623</v>
      </c>
      <c r="T742" s="72">
        <f t="shared" si="291"/>
        <v>1.030013643969623</v>
      </c>
      <c r="U742" s="72">
        <f t="shared" si="292"/>
        <v>1.04</v>
      </c>
    </row>
    <row r="743" spans="1:21" x14ac:dyDescent="0.25">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0.84150437636761488</v>
      </c>
      <c r="P743" s="72">
        <f t="shared" si="287"/>
        <v>0.625</v>
      </c>
      <c r="Q743" s="72">
        <f t="shared" si="288"/>
        <v>0.375</v>
      </c>
      <c r="R743" s="72">
        <f t="shared" si="289"/>
        <v>0</v>
      </c>
      <c r="S743" s="72">
        <f t="shared" si="290"/>
        <v>1.0296053546144937</v>
      </c>
      <c r="T743" s="72">
        <f t="shared" si="291"/>
        <v>1.0296053546144937</v>
      </c>
      <c r="U743" s="72">
        <f t="shared" si="292"/>
        <v>1.04</v>
      </c>
    </row>
    <row r="744" spans="1:21" x14ac:dyDescent="0.25">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0.84117067833698023</v>
      </c>
      <c r="P744" s="72">
        <f t="shared" si="287"/>
        <v>0.54166666666666663</v>
      </c>
      <c r="Q744" s="72">
        <f t="shared" si="288"/>
        <v>0.45833333333333337</v>
      </c>
      <c r="R744" s="72">
        <f t="shared" si="289"/>
        <v>0</v>
      </c>
      <c r="S744" s="72">
        <f t="shared" si="290"/>
        <v>1.0291970652593641</v>
      </c>
      <c r="T744" s="72">
        <f t="shared" si="291"/>
        <v>1.0291970652593641</v>
      </c>
      <c r="U744" s="72">
        <f t="shared" si="292"/>
        <v>1.04</v>
      </c>
    </row>
    <row r="745" spans="1:21" x14ac:dyDescent="0.25">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0.84083698030634568</v>
      </c>
      <c r="P745" s="72">
        <f t="shared" si="287"/>
        <v>0.45833333333333331</v>
      </c>
      <c r="Q745" s="72">
        <f t="shared" si="288"/>
        <v>0.54166666666666674</v>
      </c>
      <c r="R745" s="72">
        <f t="shared" si="289"/>
        <v>0</v>
      </c>
      <c r="S745" s="72">
        <f t="shared" si="290"/>
        <v>1.0287887759042347</v>
      </c>
      <c r="T745" s="72">
        <f t="shared" si="291"/>
        <v>1.0287887759042347</v>
      </c>
      <c r="U745" s="72">
        <f t="shared" si="292"/>
        <v>1.04</v>
      </c>
    </row>
    <row r="746" spans="1:21" x14ac:dyDescent="0.25">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0.84049781181619254</v>
      </c>
      <c r="P746" s="72">
        <f t="shared" si="287"/>
        <v>0.375</v>
      </c>
      <c r="Q746" s="72">
        <f t="shared" si="288"/>
        <v>0.625</v>
      </c>
      <c r="R746" s="72">
        <f t="shared" si="289"/>
        <v>0</v>
      </c>
      <c r="S746" s="72">
        <f t="shared" si="290"/>
        <v>1.0283737932809887</v>
      </c>
      <c r="T746" s="72">
        <f t="shared" si="291"/>
        <v>1.0283737932809887</v>
      </c>
      <c r="U746" s="72">
        <f t="shared" si="292"/>
        <v>1.04</v>
      </c>
    </row>
    <row r="747" spans="1:21" x14ac:dyDescent="0.25">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0.840164113785558</v>
      </c>
      <c r="P747" s="72">
        <f t="shared" si="287"/>
        <v>0.29166666666666669</v>
      </c>
      <c r="Q747" s="72">
        <f t="shared" si="288"/>
        <v>0.70833333333333326</v>
      </c>
      <c r="R747" s="72">
        <f t="shared" si="289"/>
        <v>0</v>
      </c>
      <c r="S747" s="72">
        <f t="shared" si="290"/>
        <v>1.0279655039258593</v>
      </c>
      <c r="T747" s="72">
        <f t="shared" si="291"/>
        <v>1.0279655039258593</v>
      </c>
      <c r="U747" s="72">
        <f t="shared" si="292"/>
        <v>1.04</v>
      </c>
    </row>
    <row r="748" spans="1:21" x14ac:dyDescent="0.25">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0.83983041575492334</v>
      </c>
      <c r="P748" s="72">
        <f t="shared" si="287"/>
        <v>0.20833333333333334</v>
      </c>
      <c r="Q748" s="72">
        <f t="shared" si="288"/>
        <v>0.79166666666666663</v>
      </c>
      <c r="R748" s="72">
        <f t="shared" si="289"/>
        <v>0</v>
      </c>
      <c r="S748" s="72">
        <f t="shared" si="290"/>
        <v>1.0275572145707299</v>
      </c>
      <c r="T748" s="72">
        <f t="shared" si="291"/>
        <v>1.0275572145707299</v>
      </c>
      <c r="U748" s="72">
        <f t="shared" si="292"/>
        <v>1.04</v>
      </c>
    </row>
    <row r="749" spans="1:21" x14ac:dyDescent="0.25">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0.8394967177242888</v>
      </c>
      <c r="P749" s="72">
        <f t="shared" si="287"/>
        <v>0.125</v>
      </c>
      <c r="Q749" s="72">
        <f t="shared" si="288"/>
        <v>0.875</v>
      </c>
      <c r="R749" s="72">
        <f t="shared" si="289"/>
        <v>0</v>
      </c>
      <c r="S749" s="72">
        <f t="shared" si="290"/>
        <v>1.0271489252156005</v>
      </c>
      <c r="T749" s="72">
        <f t="shared" si="291"/>
        <v>1.0271489252156005</v>
      </c>
      <c r="U749" s="72">
        <f t="shared" si="292"/>
        <v>1.04</v>
      </c>
    </row>
    <row r="750" spans="1:21" x14ac:dyDescent="0.25">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0.83916301969365426</v>
      </c>
      <c r="P750" s="72">
        <f t="shared" si="287"/>
        <v>4.1666666666666664E-2</v>
      </c>
      <c r="Q750" s="72">
        <f t="shared" si="288"/>
        <v>0.95833333333333337</v>
      </c>
      <c r="R750" s="72">
        <f t="shared" si="289"/>
        <v>0</v>
      </c>
      <c r="S750" s="72">
        <f t="shared" si="290"/>
        <v>1.0267406358604712</v>
      </c>
      <c r="T750" s="72">
        <f t="shared" si="291"/>
        <v>1.0267406358604712</v>
      </c>
      <c r="U750" s="72">
        <f t="shared" si="292"/>
        <v>1.04</v>
      </c>
    </row>
    <row r="751" spans="1:21" x14ac:dyDescent="0.25">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0.83882385120350111</v>
      </c>
      <c r="P751" s="72">
        <f t="shared" si="287"/>
        <v>0</v>
      </c>
      <c r="Q751" s="72">
        <f t="shared" si="288"/>
        <v>0.95833333333333337</v>
      </c>
      <c r="R751" s="72">
        <f t="shared" si="289"/>
        <v>4.166666666666663E-2</v>
      </c>
      <c r="S751" s="72">
        <f t="shared" si="290"/>
        <v>1.0263256532372249</v>
      </c>
      <c r="T751" s="72">
        <f t="shared" si="291"/>
        <v>1.0312117389625435</v>
      </c>
      <c r="U751" s="72">
        <f t="shared" si="292"/>
        <v>1.04</v>
      </c>
    </row>
    <row r="752" spans="1:21" x14ac:dyDescent="0.25">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0.83850109409190365</v>
      </c>
      <c r="P752" s="72">
        <f t="shared" si="287"/>
        <v>0</v>
      </c>
      <c r="Q752" s="72">
        <f t="shared" si="288"/>
        <v>0.875</v>
      </c>
      <c r="R752" s="72">
        <f t="shared" si="289"/>
        <v>0.125</v>
      </c>
      <c r="S752" s="72">
        <f t="shared" si="290"/>
        <v>1.0259307504183293</v>
      </c>
      <c r="T752" s="72">
        <f t="shared" si="291"/>
        <v>1.0308168361436478</v>
      </c>
      <c r="U752" s="72">
        <f t="shared" si="292"/>
        <v>1.04</v>
      </c>
    </row>
    <row r="753" spans="1:21" x14ac:dyDescent="0.25">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0.8381783369803063</v>
      </c>
      <c r="P753" s="72">
        <f t="shared" si="287"/>
        <v>0</v>
      </c>
      <c r="Q753" s="72">
        <f t="shared" si="288"/>
        <v>0.79166666666666663</v>
      </c>
      <c r="R753" s="72">
        <f t="shared" si="289"/>
        <v>0.20833333333333337</v>
      </c>
      <c r="S753" s="72">
        <f t="shared" si="290"/>
        <v>1.0255358475994336</v>
      </c>
      <c r="T753" s="72">
        <f t="shared" si="291"/>
        <v>1.0304219333247522</v>
      </c>
      <c r="U753" s="72">
        <f t="shared" si="292"/>
        <v>1.04</v>
      </c>
    </row>
    <row r="754" spans="1:21" x14ac:dyDescent="0.25">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0.83784463894967176</v>
      </c>
      <c r="P754" s="72">
        <f t="shared" si="287"/>
        <v>0</v>
      </c>
      <c r="Q754" s="72">
        <f t="shared" si="288"/>
        <v>0.70833333333333337</v>
      </c>
      <c r="R754" s="72">
        <f t="shared" si="289"/>
        <v>0.29166666666666663</v>
      </c>
      <c r="S754" s="72">
        <f t="shared" si="290"/>
        <v>1.0251275582443045</v>
      </c>
      <c r="T754" s="72">
        <f t="shared" si="291"/>
        <v>1.030013643969623</v>
      </c>
      <c r="U754" s="72">
        <f t="shared" si="292"/>
        <v>1.04</v>
      </c>
    </row>
    <row r="755" spans="1:21" x14ac:dyDescent="0.25">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0.83751094091903722</v>
      </c>
      <c r="P755" s="72">
        <f t="shared" si="287"/>
        <v>0</v>
      </c>
      <c r="Q755" s="72">
        <f t="shared" si="288"/>
        <v>0.625</v>
      </c>
      <c r="R755" s="72">
        <f t="shared" si="289"/>
        <v>0.375</v>
      </c>
      <c r="S755" s="72">
        <f t="shared" si="290"/>
        <v>1.0247192688891751</v>
      </c>
      <c r="T755" s="72">
        <f t="shared" si="291"/>
        <v>1.0296053546144937</v>
      </c>
      <c r="U755" s="72">
        <f t="shared" si="292"/>
        <v>1.04</v>
      </c>
    </row>
    <row r="756" spans="1:21" x14ac:dyDescent="0.25">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0.83717724288840256</v>
      </c>
      <c r="P756" s="72">
        <f t="shared" si="287"/>
        <v>0</v>
      </c>
      <c r="Q756" s="72">
        <f t="shared" si="288"/>
        <v>0.54166666666666663</v>
      </c>
      <c r="R756" s="72">
        <f t="shared" si="289"/>
        <v>0.45833333333333337</v>
      </c>
      <c r="S756" s="72">
        <f t="shared" si="290"/>
        <v>1.0243109795340455</v>
      </c>
      <c r="T756" s="72">
        <f t="shared" si="291"/>
        <v>1.0291970652593641</v>
      </c>
      <c r="U756" s="72">
        <f t="shared" si="292"/>
        <v>1.04</v>
      </c>
    </row>
    <row r="757" spans="1:21" x14ac:dyDescent="0.25">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0.83684354485776802</v>
      </c>
      <c r="P757" s="72">
        <f t="shared" si="287"/>
        <v>0</v>
      </c>
      <c r="Q757" s="72">
        <f t="shared" si="288"/>
        <v>0.45833333333333331</v>
      </c>
      <c r="R757" s="72">
        <f t="shared" si="289"/>
        <v>0.54166666666666674</v>
      </c>
      <c r="S757" s="72">
        <f t="shared" si="290"/>
        <v>1.0239026901789163</v>
      </c>
      <c r="T757" s="72">
        <f t="shared" si="291"/>
        <v>1.0287887759042347</v>
      </c>
      <c r="U757" s="72">
        <f t="shared" si="292"/>
        <v>1.04</v>
      </c>
    </row>
    <row r="758" spans="1:21" x14ac:dyDescent="0.25">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0.83650437636761488</v>
      </c>
      <c r="P758" s="72">
        <f t="shared" si="287"/>
        <v>0</v>
      </c>
      <c r="Q758" s="72">
        <f t="shared" si="288"/>
        <v>0.375</v>
      </c>
      <c r="R758" s="72">
        <f t="shared" si="289"/>
        <v>0.625</v>
      </c>
      <c r="S758" s="72">
        <f t="shared" si="290"/>
        <v>1.0234877075556701</v>
      </c>
      <c r="T758" s="72">
        <f t="shared" si="291"/>
        <v>1.0283737932809887</v>
      </c>
      <c r="U758" s="72">
        <f t="shared" si="292"/>
        <v>1.04</v>
      </c>
    </row>
    <row r="759" spans="1:21" x14ac:dyDescent="0.25">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0.83617067833698022</v>
      </c>
      <c r="P759" s="72">
        <f t="shared" si="287"/>
        <v>0</v>
      </c>
      <c r="Q759" s="72">
        <f t="shared" si="288"/>
        <v>0.29166666666666669</v>
      </c>
      <c r="R759" s="72">
        <f t="shared" si="289"/>
        <v>0.70833333333333326</v>
      </c>
      <c r="S759" s="72">
        <f t="shared" si="290"/>
        <v>1.0230794182005405</v>
      </c>
      <c r="T759" s="72">
        <f t="shared" si="291"/>
        <v>1.0279655039258593</v>
      </c>
      <c r="U759" s="72">
        <f t="shared" si="292"/>
        <v>1.04</v>
      </c>
    </row>
    <row r="760" spans="1:21" x14ac:dyDescent="0.25">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0.83583698030634568</v>
      </c>
      <c r="P760" s="72">
        <f t="shared" si="287"/>
        <v>0</v>
      </c>
      <c r="Q760" s="72">
        <f t="shared" si="288"/>
        <v>0.20833333333333334</v>
      </c>
      <c r="R760" s="72">
        <f t="shared" si="289"/>
        <v>0.79166666666666663</v>
      </c>
      <c r="S760" s="72">
        <f t="shared" si="290"/>
        <v>1.0226711288454113</v>
      </c>
      <c r="T760" s="72">
        <f t="shared" si="291"/>
        <v>1.0275572145707299</v>
      </c>
      <c r="U760" s="72">
        <f t="shared" si="292"/>
        <v>1.04</v>
      </c>
    </row>
    <row r="761" spans="1:21" x14ac:dyDescent="0.25">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0.83550328227571113</v>
      </c>
      <c r="P761" s="72">
        <f t="shared" si="287"/>
        <v>0</v>
      </c>
      <c r="Q761" s="72">
        <f t="shared" si="288"/>
        <v>0.125</v>
      </c>
      <c r="R761" s="72">
        <f t="shared" si="289"/>
        <v>0.875</v>
      </c>
      <c r="S761" s="72">
        <f t="shared" si="290"/>
        <v>1.022262839490282</v>
      </c>
      <c r="T761" s="72">
        <f t="shared" si="291"/>
        <v>1.0271489252156005</v>
      </c>
      <c r="U761" s="72">
        <f t="shared" si="292"/>
        <v>1.04</v>
      </c>
    </row>
    <row r="762" spans="1:21" x14ac:dyDescent="0.25">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0.83516958424507659</v>
      </c>
      <c r="P762" s="72">
        <f t="shared" si="287"/>
        <v>0</v>
      </c>
      <c r="Q762" s="72">
        <f t="shared" si="288"/>
        <v>4.1666666666666664E-2</v>
      </c>
      <c r="R762" s="72">
        <f t="shared" si="289"/>
        <v>0.95833333333333337</v>
      </c>
      <c r="S762" s="72">
        <f t="shared" si="290"/>
        <v>1.0218545501351526</v>
      </c>
      <c r="T762" s="72">
        <f t="shared" si="291"/>
        <v>1.0267406358604712</v>
      </c>
      <c r="U762" s="72">
        <f t="shared" si="292"/>
        <v>1.04</v>
      </c>
    </row>
    <row r="763" spans="1:21" x14ac:dyDescent="0.25">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0.83499999999999996</v>
      </c>
      <c r="P763" s="72">
        <f t="shared" si="287"/>
        <v>0</v>
      </c>
      <c r="Q763" s="72">
        <f t="shared" si="288"/>
        <v>0</v>
      </c>
      <c r="R763" s="72">
        <f t="shared" si="289"/>
        <v>0.95833333333333337</v>
      </c>
      <c r="S763" s="72">
        <f t="shared" si="290"/>
        <v>1.0216470588235294</v>
      </c>
      <c r="T763" s="72">
        <f t="shared" si="291"/>
        <v>1.0312117389625435</v>
      </c>
      <c r="U763" s="72">
        <f t="shared" si="292"/>
        <v>1.04</v>
      </c>
    </row>
    <row r="764" spans="1:21" x14ac:dyDescent="0.25">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0.83499999999999996</v>
      </c>
      <c r="P764" s="72">
        <f t="shared" si="287"/>
        <v>0</v>
      </c>
      <c r="Q764" s="72">
        <f t="shared" si="288"/>
        <v>0</v>
      </c>
      <c r="R764" s="72">
        <f t="shared" si="289"/>
        <v>0.875</v>
      </c>
      <c r="S764" s="72">
        <f t="shared" si="290"/>
        <v>1.0216470588235294</v>
      </c>
      <c r="T764" s="72">
        <f t="shared" si="291"/>
        <v>1.0308168361436478</v>
      </c>
      <c r="U764" s="72">
        <f t="shared" si="292"/>
        <v>1.04</v>
      </c>
    </row>
    <row r="765" spans="1:21" x14ac:dyDescent="0.25">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0.83499999999999996</v>
      </c>
      <c r="P765" s="72">
        <f t="shared" si="287"/>
        <v>0</v>
      </c>
      <c r="Q765" s="72">
        <f t="shared" si="288"/>
        <v>0</v>
      </c>
      <c r="R765" s="72">
        <f t="shared" si="289"/>
        <v>0.79166666666666663</v>
      </c>
      <c r="S765" s="72">
        <f t="shared" si="290"/>
        <v>1.0216470588235294</v>
      </c>
      <c r="T765" s="72">
        <f t="shared" si="291"/>
        <v>1.0304219333247522</v>
      </c>
      <c r="U765" s="72">
        <f t="shared" si="292"/>
        <v>1.04</v>
      </c>
    </row>
    <row r="766" spans="1:21" x14ac:dyDescent="0.25">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0.83499999999999996</v>
      </c>
      <c r="P766" s="72">
        <f t="shared" si="287"/>
        <v>0</v>
      </c>
      <c r="Q766" s="72">
        <f t="shared" si="288"/>
        <v>0</v>
      </c>
      <c r="R766" s="72">
        <f t="shared" si="289"/>
        <v>0.70833333333333337</v>
      </c>
      <c r="S766" s="72">
        <f t="shared" si="290"/>
        <v>1.0216470588235294</v>
      </c>
      <c r="T766" s="72">
        <f t="shared" si="291"/>
        <v>1.030013643969623</v>
      </c>
      <c r="U766" s="72">
        <f t="shared" si="292"/>
        <v>1.04</v>
      </c>
    </row>
    <row r="767" spans="1:21" x14ac:dyDescent="0.25">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0.83499999999999996</v>
      </c>
      <c r="P767" s="72">
        <f t="shared" si="287"/>
        <v>0</v>
      </c>
      <c r="Q767" s="72">
        <f t="shared" si="288"/>
        <v>0</v>
      </c>
      <c r="R767" s="72">
        <f t="shared" si="289"/>
        <v>0.625</v>
      </c>
      <c r="S767" s="72">
        <f t="shared" si="290"/>
        <v>1.0216470588235294</v>
      </c>
      <c r="T767" s="72">
        <f t="shared" si="291"/>
        <v>1.0296053546144937</v>
      </c>
      <c r="U767" s="72">
        <f t="shared" si="292"/>
        <v>1.04</v>
      </c>
    </row>
    <row r="768" spans="1:21" x14ac:dyDescent="0.25">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0.83499999999999996</v>
      </c>
      <c r="P768" s="72">
        <f t="shared" si="287"/>
        <v>0</v>
      </c>
      <c r="Q768" s="72">
        <f t="shared" si="288"/>
        <v>0</v>
      </c>
      <c r="R768" s="72">
        <f t="shared" si="289"/>
        <v>0.54166666666666663</v>
      </c>
      <c r="S768" s="72">
        <f t="shared" si="290"/>
        <v>1.0216470588235294</v>
      </c>
      <c r="T768" s="72">
        <f t="shared" si="291"/>
        <v>1.0291970652593641</v>
      </c>
      <c r="U768" s="72">
        <f t="shared" si="292"/>
        <v>1.04</v>
      </c>
    </row>
    <row r="769" spans="1:21" x14ac:dyDescent="0.25">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0.83499999999999996</v>
      </c>
      <c r="P769" s="72">
        <f t="shared" si="287"/>
        <v>0</v>
      </c>
      <c r="Q769" s="72">
        <f t="shared" si="288"/>
        <v>0</v>
      </c>
      <c r="R769" s="72">
        <f t="shared" si="289"/>
        <v>0.45833333333333331</v>
      </c>
      <c r="S769" s="72">
        <f t="shared" si="290"/>
        <v>1.0216470588235294</v>
      </c>
      <c r="T769" s="72">
        <f t="shared" si="291"/>
        <v>1.0287887759042347</v>
      </c>
      <c r="U769" s="72">
        <f t="shared" si="292"/>
        <v>1.04</v>
      </c>
    </row>
    <row r="770" spans="1:21" x14ac:dyDescent="0.25">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0.83499999999999996</v>
      </c>
      <c r="P770" s="72">
        <f t="shared" si="287"/>
        <v>0</v>
      </c>
      <c r="Q770" s="72">
        <f t="shared" si="288"/>
        <v>0</v>
      </c>
      <c r="R770" s="72">
        <f t="shared" si="289"/>
        <v>0.375</v>
      </c>
      <c r="S770" s="72">
        <f t="shared" si="290"/>
        <v>1.0216470588235294</v>
      </c>
      <c r="T770" s="72">
        <f t="shared" si="291"/>
        <v>1.0283737932809887</v>
      </c>
      <c r="U770" s="72">
        <f t="shared" si="292"/>
        <v>1.04</v>
      </c>
    </row>
    <row r="771" spans="1:21" x14ac:dyDescent="0.25">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0.83499999999999996</v>
      </c>
      <c r="P771" s="72">
        <f t="shared" si="287"/>
        <v>0</v>
      </c>
      <c r="Q771" s="72">
        <f t="shared" si="288"/>
        <v>0</v>
      </c>
      <c r="R771" s="72">
        <f t="shared" si="289"/>
        <v>0.29166666666666669</v>
      </c>
      <c r="S771" s="72">
        <f t="shared" si="290"/>
        <v>1.0216470588235294</v>
      </c>
      <c r="T771" s="72">
        <f t="shared" si="291"/>
        <v>1.0279655039258593</v>
      </c>
      <c r="U771" s="72">
        <f t="shared" si="292"/>
        <v>1.04</v>
      </c>
    </row>
    <row r="772" spans="1:21" x14ac:dyDescent="0.25">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0.83499999999999996</v>
      </c>
      <c r="P772" s="72">
        <f t="shared" si="287"/>
        <v>0</v>
      </c>
      <c r="Q772" s="72">
        <f t="shared" si="288"/>
        <v>0</v>
      </c>
      <c r="R772" s="72">
        <f t="shared" si="289"/>
        <v>0.20833333333333334</v>
      </c>
      <c r="S772" s="72">
        <f t="shared" si="290"/>
        <v>1.0216470588235294</v>
      </c>
      <c r="T772" s="72">
        <f t="shared" si="291"/>
        <v>1.0275572145707299</v>
      </c>
      <c r="U772" s="72">
        <f t="shared" si="292"/>
        <v>1.04</v>
      </c>
    </row>
    <row r="773" spans="1:21" x14ac:dyDescent="0.25">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0.83499999999999996</v>
      </c>
      <c r="P773" s="72">
        <f t="shared" si="287"/>
        <v>0</v>
      </c>
      <c r="Q773" s="72">
        <f t="shared" si="288"/>
        <v>0</v>
      </c>
      <c r="R773" s="72">
        <f t="shared" si="289"/>
        <v>0.125</v>
      </c>
      <c r="S773" s="72">
        <f t="shared" si="290"/>
        <v>1.0216470588235294</v>
      </c>
      <c r="T773" s="72">
        <f t="shared" si="291"/>
        <v>1.0271489252156005</v>
      </c>
      <c r="U773" s="72">
        <f t="shared" si="292"/>
        <v>1.04</v>
      </c>
    </row>
    <row r="774" spans="1:21" x14ac:dyDescent="0.25">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0.83499999999999996</v>
      </c>
      <c r="P774" s="72">
        <f t="shared" si="287"/>
        <v>0</v>
      </c>
      <c r="Q774" s="72">
        <f t="shared" si="288"/>
        <v>0</v>
      </c>
      <c r="R774" s="72">
        <f t="shared" si="289"/>
        <v>4.1666666666666664E-2</v>
      </c>
      <c r="S774" s="72">
        <f t="shared" si="290"/>
        <v>1.0216470588235294</v>
      </c>
      <c r="T774" s="72">
        <f t="shared" si="291"/>
        <v>1.0267406358604712</v>
      </c>
      <c r="U774" s="72">
        <f t="shared" si="292"/>
        <v>1.04</v>
      </c>
    </row>
    <row r="775" spans="1:21" x14ac:dyDescent="0.25">
      <c r="A775" s="77" t="s">
        <v>1209</v>
      </c>
      <c r="B775" s="50">
        <f>EXP(SUMPRODUCT((rl_key=$A$724)*(rl_cons="Y")*rl_ln1p))</f>
        <v>1.04</v>
      </c>
      <c r="C775" s="50">
        <f>SUMPRODUCT($H$727:$H$774,$P$727:$P$774,$U$727:$U$774)/SUMPRODUCT($H$727:$H$774,$P$727:$P$774)</f>
        <v>1.02</v>
      </c>
      <c r="D775" s="50">
        <f>SUMPRODUCT($H$727:$H$774,$Q$727:$Q$774,$U$727:$U$774)/SUMPRODUCT($H$727:$H$774,$Q$727:$Q$774)</f>
        <v>1.0400000000000003</v>
      </c>
      <c r="E775" s="50">
        <f>SUMPRODUCT($H$727:$H$774,$R$727:$R$774,$U$727:$U$774)/SUMPRODUCT($H$727:$H$774,$R$727:$R$774)</f>
        <v>1.0400000000000003</v>
      </c>
      <c r="F775" s="169">
        <f>SUMPRODUCT($H$727:$H$774,$Q$727:$Q$774,$O$727:$O$774)/SUMPRODUCT($H$727:$H$774,$Q$727:$Q$774)</f>
        <v>0.83900209700948214</v>
      </c>
      <c r="G775" s="169">
        <f>SUMPRODUCT($H$727:$H$774,$R$727:$R$774,$O$727:$O$774)/SUMPRODUCT($H$727:$H$774,$R$727:$R$774)</f>
        <v>0.8356718218149769</v>
      </c>
    </row>
    <row r="778" spans="1:21" x14ac:dyDescent="0.25">
      <c r="A778" s="77" t="str">
        <f>INDEX(lr_key,14)</f>
        <v>BU-A|MO</v>
      </c>
      <c r="B778" s="77" t="str">
        <f>INDEX(lr_state,14)</f>
        <v>MO</v>
      </c>
      <c r="C778" s="52">
        <f>nr_TermMonths</f>
        <v>12</v>
      </c>
      <c r="D778" s="52">
        <f>IF(COUNTIF(se_state,$B778)=0,0,MATCH($B778,se_state,0))</f>
        <v>0</v>
      </c>
      <c r="E778" s="54">
        <f>IF($D778=0,0,INDEX(se_sum,$D778))</f>
        <v>0</v>
      </c>
      <c r="F778" s="169">
        <f>IF(N(INDEX(lr_mind,14))=0,1,INDEX(lr_mind,14))</f>
        <v>0.85</v>
      </c>
      <c r="G778" s="169">
        <f>IF(N(INDEX(lr_m0,14))=0,1,INDEX(lr_m0,14))</f>
        <v>0.84</v>
      </c>
      <c r="H778" s="51">
        <f>IF(N(INDEX(lr_m0asof,14))=0,DATE(nr_PlanYear-1,10,1),INDEX(lr_m0asof,14))</f>
        <v>46295</v>
      </c>
      <c r="I778" s="169">
        <f>IF(N(INDEX(lr_m1,14))=0,1,INDEX(lr_m1,14))</f>
        <v>0.85</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25">
      <c r="A779" s="77">
        <f>EDATE($H$778,-12)+1</f>
        <v>45931</v>
      </c>
      <c r="B779" s="77">
        <f>$H$778+1</f>
        <v>46296</v>
      </c>
      <c r="C779" s="77">
        <f>DATE(nr_PlanYear,12,31)+1</f>
        <v>46753</v>
      </c>
      <c r="D779" s="77">
        <f>DATE(nr_PlanYear+1,12,31)+1</f>
        <v>47119</v>
      </c>
      <c r="E779" s="77">
        <f>IF(N($J$778)=0,$F$779-($G$779-$F$779)/($C$779-$B$779)*($B$779-$A$779),$J$778)</f>
        <v>0.83201312910284464</v>
      </c>
      <c r="F779" s="77">
        <f>$G$778</f>
        <v>0.84</v>
      </c>
      <c r="G779" s="77">
        <f>$I$778</f>
        <v>0.85</v>
      </c>
      <c r="H779" s="77">
        <f>IF(N($K$778)=0,$I$778,$K$778)</f>
        <v>0.85</v>
      </c>
      <c r="I779" s="77">
        <f>($F$779-$E$779)/($B$779-$A$779)</f>
        <v>2.1881838074398162E-5</v>
      </c>
      <c r="J779" s="77">
        <f>($G$779-$F$779)/($C$779-$B$779)</f>
        <v>2.188183807439827E-5</v>
      </c>
      <c r="K779" s="77">
        <f>($H$779-$G$779)/($D$779-$C$779)</f>
        <v>0</v>
      </c>
    </row>
    <row r="780" spans="1:21" ht="24" x14ac:dyDescent="0.25">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25">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0.82637855579868713</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0.97221006564551427</v>
      </c>
      <c r="T781" s="72">
        <f t="shared" ref="T781:T828" si="311">IF($G781&lt;nr_MStartP,$S781,$T769*(1+IF($G781&lt;nr_MStartP1,$M$778,$N$778)))</f>
        <v>0.97221006564551427</v>
      </c>
      <c r="U781" s="72">
        <f t="shared" ref="U781:U828" si="312">IF($L$778,$T781,$N781)</f>
        <v>1</v>
      </c>
    </row>
    <row r="782" spans="1:21" x14ac:dyDescent="0.25">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0.82702407002188183</v>
      </c>
      <c r="P782" s="72">
        <f t="shared" si="307"/>
        <v>0.125</v>
      </c>
      <c r="Q782" s="72">
        <f t="shared" si="308"/>
        <v>0</v>
      </c>
      <c r="R782" s="72">
        <f t="shared" si="309"/>
        <v>0</v>
      </c>
      <c r="S782" s="72">
        <f t="shared" si="310"/>
        <v>0.9729694941433904</v>
      </c>
      <c r="T782" s="72">
        <f t="shared" si="311"/>
        <v>0.9729694941433904</v>
      </c>
      <c r="U782" s="72">
        <f t="shared" si="312"/>
        <v>1</v>
      </c>
    </row>
    <row r="783" spans="1:21" x14ac:dyDescent="0.25">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0.82766958424507664</v>
      </c>
      <c r="P783" s="72">
        <f t="shared" si="307"/>
        <v>0.20833333333333337</v>
      </c>
      <c r="Q783" s="72">
        <f t="shared" si="308"/>
        <v>0</v>
      </c>
      <c r="R783" s="72">
        <f t="shared" si="309"/>
        <v>0</v>
      </c>
      <c r="S783" s="72">
        <f t="shared" si="310"/>
        <v>0.97372892264126665</v>
      </c>
      <c r="T783" s="72">
        <f t="shared" si="311"/>
        <v>0.97372892264126665</v>
      </c>
      <c r="U783" s="72">
        <f t="shared" si="312"/>
        <v>1</v>
      </c>
    </row>
    <row r="784" spans="1:21" x14ac:dyDescent="0.25">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0.82833698030634573</v>
      </c>
      <c r="P784" s="72">
        <f t="shared" si="307"/>
        <v>0.29166666666666663</v>
      </c>
      <c r="Q784" s="72">
        <f t="shared" si="308"/>
        <v>0</v>
      </c>
      <c r="R784" s="72">
        <f t="shared" si="309"/>
        <v>0</v>
      </c>
      <c r="S784" s="72">
        <f t="shared" si="310"/>
        <v>0.97451409447805382</v>
      </c>
      <c r="T784" s="72">
        <f t="shared" si="311"/>
        <v>0.97451409447805382</v>
      </c>
      <c r="U784" s="72">
        <f t="shared" si="312"/>
        <v>1</v>
      </c>
    </row>
    <row r="785" spans="1:21" x14ac:dyDescent="0.25">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0.82900437636761493</v>
      </c>
      <c r="P785" s="72">
        <f t="shared" si="307"/>
        <v>0.375</v>
      </c>
      <c r="Q785" s="72">
        <f t="shared" si="308"/>
        <v>0</v>
      </c>
      <c r="R785" s="72">
        <f t="shared" si="309"/>
        <v>0</v>
      </c>
      <c r="S785" s="72">
        <f t="shared" si="310"/>
        <v>0.9752992663148411</v>
      </c>
      <c r="T785" s="72">
        <f t="shared" si="311"/>
        <v>0.9752992663148411</v>
      </c>
      <c r="U785" s="72">
        <f t="shared" si="312"/>
        <v>1</v>
      </c>
    </row>
    <row r="786" spans="1:21" x14ac:dyDescent="0.25">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0.82967177242888401</v>
      </c>
      <c r="P786" s="72">
        <f t="shared" si="307"/>
        <v>0.45833333333333337</v>
      </c>
      <c r="Q786" s="72">
        <f t="shared" si="308"/>
        <v>0</v>
      </c>
      <c r="R786" s="72">
        <f t="shared" si="309"/>
        <v>0</v>
      </c>
      <c r="S786" s="72">
        <f t="shared" si="310"/>
        <v>0.97608443815162826</v>
      </c>
      <c r="T786" s="72">
        <f t="shared" si="311"/>
        <v>0.97608443815162826</v>
      </c>
      <c r="U786" s="72">
        <f t="shared" si="312"/>
        <v>1</v>
      </c>
    </row>
    <row r="787" spans="1:21" x14ac:dyDescent="0.25">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0.83033916849015321</v>
      </c>
      <c r="P787" s="72">
        <f t="shared" si="307"/>
        <v>0.54166666666666674</v>
      </c>
      <c r="Q787" s="72">
        <f t="shared" si="308"/>
        <v>0</v>
      </c>
      <c r="R787" s="72">
        <f t="shared" si="309"/>
        <v>0</v>
      </c>
      <c r="S787" s="72">
        <f t="shared" si="310"/>
        <v>0.97686960998841554</v>
      </c>
      <c r="T787" s="72">
        <f t="shared" si="311"/>
        <v>0.97686960998841554</v>
      </c>
      <c r="U787" s="72">
        <f t="shared" si="312"/>
        <v>1</v>
      </c>
    </row>
    <row r="788" spans="1:21" x14ac:dyDescent="0.25">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0.83101750547045949</v>
      </c>
      <c r="P788" s="72">
        <f t="shared" si="307"/>
        <v>0.625</v>
      </c>
      <c r="Q788" s="72">
        <f t="shared" si="308"/>
        <v>0</v>
      </c>
      <c r="R788" s="72">
        <f t="shared" si="309"/>
        <v>0</v>
      </c>
      <c r="S788" s="72">
        <f t="shared" si="310"/>
        <v>0.97766765349465823</v>
      </c>
      <c r="T788" s="72">
        <f t="shared" si="311"/>
        <v>0.97766765349465823</v>
      </c>
      <c r="U788" s="72">
        <f t="shared" si="312"/>
        <v>1</v>
      </c>
    </row>
    <row r="789" spans="1:21" x14ac:dyDescent="0.25">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0.83168490153172869</v>
      </c>
      <c r="P789" s="72">
        <f t="shared" si="307"/>
        <v>0.70833333333333326</v>
      </c>
      <c r="Q789" s="72">
        <f t="shared" si="308"/>
        <v>0</v>
      </c>
      <c r="R789" s="72">
        <f t="shared" si="309"/>
        <v>0</v>
      </c>
      <c r="S789" s="72">
        <f t="shared" si="310"/>
        <v>0.97845282533144551</v>
      </c>
      <c r="T789" s="72">
        <f t="shared" si="311"/>
        <v>0.97845282533144551</v>
      </c>
      <c r="U789" s="72">
        <f t="shared" si="312"/>
        <v>1</v>
      </c>
    </row>
    <row r="790" spans="1:21" x14ac:dyDescent="0.25">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0.83235229759299778</v>
      </c>
      <c r="P790" s="72">
        <f t="shared" si="307"/>
        <v>0.79166666666666663</v>
      </c>
      <c r="Q790" s="72">
        <f t="shared" si="308"/>
        <v>0</v>
      </c>
      <c r="R790" s="72">
        <f t="shared" si="309"/>
        <v>0</v>
      </c>
      <c r="S790" s="72">
        <f t="shared" si="310"/>
        <v>0.97923799716823268</v>
      </c>
      <c r="T790" s="72">
        <f t="shared" si="311"/>
        <v>0.97923799716823268</v>
      </c>
      <c r="U790" s="72">
        <f t="shared" si="312"/>
        <v>1</v>
      </c>
    </row>
    <row r="791" spans="1:21" x14ac:dyDescent="0.25">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0.83301969365426698</v>
      </c>
      <c r="P791" s="72">
        <f t="shared" si="307"/>
        <v>0.875</v>
      </c>
      <c r="Q791" s="72">
        <f t="shared" si="308"/>
        <v>0</v>
      </c>
      <c r="R791" s="72">
        <f t="shared" si="309"/>
        <v>0</v>
      </c>
      <c r="S791" s="72">
        <f t="shared" si="310"/>
        <v>0.98002316900501996</v>
      </c>
      <c r="T791" s="72">
        <f t="shared" si="311"/>
        <v>0.98002316900501996</v>
      </c>
      <c r="U791" s="72">
        <f t="shared" si="312"/>
        <v>1</v>
      </c>
    </row>
    <row r="792" spans="1:21" x14ac:dyDescent="0.25">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0.83368708971553607</v>
      </c>
      <c r="P792" s="72">
        <f t="shared" si="307"/>
        <v>0.95833333333333337</v>
      </c>
      <c r="Q792" s="72">
        <f t="shared" si="308"/>
        <v>0</v>
      </c>
      <c r="R792" s="72">
        <f t="shared" si="309"/>
        <v>0</v>
      </c>
      <c r="S792" s="72">
        <f t="shared" si="310"/>
        <v>0.98080834084180712</v>
      </c>
      <c r="T792" s="72">
        <f t="shared" si="311"/>
        <v>0.98080834084180712</v>
      </c>
      <c r="U792" s="72">
        <f t="shared" si="312"/>
        <v>1</v>
      </c>
    </row>
    <row r="793" spans="1:21" x14ac:dyDescent="0.25">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0.83436542669584246</v>
      </c>
      <c r="P793" s="72">
        <f t="shared" si="307"/>
        <v>0.95833333333333337</v>
      </c>
      <c r="Q793" s="72">
        <f t="shared" si="308"/>
        <v>4.166666666666663E-2</v>
      </c>
      <c r="R793" s="72">
        <f t="shared" si="309"/>
        <v>0</v>
      </c>
      <c r="S793" s="72">
        <f t="shared" si="310"/>
        <v>0.98160638434805003</v>
      </c>
      <c r="T793" s="72">
        <f t="shared" si="311"/>
        <v>0.98160638434805003</v>
      </c>
      <c r="U793" s="72">
        <f t="shared" si="312"/>
        <v>1</v>
      </c>
    </row>
    <row r="794" spans="1:21" x14ac:dyDescent="0.25">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0.83501094091903716</v>
      </c>
      <c r="P794" s="72">
        <f t="shared" si="307"/>
        <v>0.875</v>
      </c>
      <c r="Q794" s="72">
        <f t="shared" si="308"/>
        <v>0.125</v>
      </c>
      <c r="R794" s="72">
        <f t="shared" si="309"/>
        <v>0</v>
      </c>
      <c r="S794" s="72">
        <f t="shared" si="310"/>
        <v>1.0314841034882225</v>
      </c>
      <c r="T794" s="72">
        <f t="shared" si="311"/>
        <v>1.0314841034882225</v>
      </c>
      <c r="U794" s="72">
        <f t="shared" si="312"/>
        <v>1.05</v>
      </c>
    </row>
    <row r="795" spans="1:21" x14ac:dyDescent="0.25">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0.83565645514223197</v>
      </c>
      <c r="P795" s="72">
        <f t="shared" si="307"/>
        <v>0.79166666666666663</v>
      </c>
      <c r="Q795" s="72">
        <f t="shared" si="308"/>
        <v>0.20833333333333337</v>
      </c>
      <c r="R795" s="72">
        <f t="shared" si="309"/>
        <v>0</v>
      </c>
      <c r="S795" s="72">
        <f t="shared" si="310"/>
        <v>1.0322815034109925</v>
      </c>
      <c r="T795" s="72">
        <f t="shared" si="311"/>
        <v>1.0322815034109925</v>
      </c>
      <c r="U795" s="72">
        <f t="shared" si="312"/>
        <v>1.05</v>
      </c>
    </row>
    <row r="796" spans="1:21" x14ac:dyDescent="0.25">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0.83632385120350106</v>
      </c>
      <c r="P796" s="72">
        <f t="shared" si="307"/>
        <v>0.70833333333333337</v>
      </c>
      <c r="Q796" s="72">
        <f t="shared" si="308"/>
        <v>0.29166666666666663</v>
      </c>
      <c r="R796" s="72">
        <f t="shared" si="309"/>
        <v>0</v>
      </c>
      <c r="S796" s="72">
        <f t="shared" si="310"/>
        <v>1.0331059338396189</v>
      </c>
      <c r="T796" s="72">
        <f t="shared" si="311"/>
        <v>1.0331059338396189</v>
      </c>
      <c r="U796" s="72">
        <f t="shared" si="312"/>
        <v>1.05</v>
      </c>
    </row>
    <row r="797" spans="1:21" x14ac:dyDescent="0.25">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0.83699124726477026</v>
      </c>
      <c r="P797" s="72">
        <f t="shared" si="307"/>
        <v>0.625</v>
      </c>
      <c r="Q797" s="72">
        <f t="shared" si="308"/>
        <v>0.375</v>
      </c>
      <c r="R797" s="72">
        <f t="shared" si="309"/>
        <v>0</v>
      </c>
      <c r="S797" s="72">
        <f t="shared" si="310"/>
        <v>1.0339303642682456</v>
      </c>
      <c r="T797" s="72">
        <f t="shared" si="311"/>
        <v>1.0339303642682456</v>
      </c>
      <c r="U797" s="72">
        <f t="shared" si="312"/>
        <v>1.05</v>
      </c>
    </row>
    <row r="798" spans="1:21" x14ac:dyDescent="0.25">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0.83765864332603934</v>
      </c>
      <c r="P798" s="72">
        <f t="shared" si="307"/>
        <v>0.54166666666666663</v>
      </c>
      <c r="Q798" s="72">
        <f t="shared" si="308"/>
        <v>0.45833333333333337</v>
      </c>
      <c r="R798" s="72">
        <f t="shared" si="309"/>
        <v>0</v>
      </c>
      <c r="S798" s="72">
        <f t="shared" si="310"/>
        <v>1.0347547946968723</v>
      </c>
      <c r="T798" s="72">
        <f t="shared" si="311"/>
        <v>1.0347547946968723</v>
      </c>
      <c r="U798" s="72">
        <f t="shared" si="312"/>
        <v>1.05</v>
      </c>
    </row>
    <row r="799" spans="1:21" x14ac:dyDescent="0.25">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0.83832603938730854</v>
      </c>
      <c r="P799" s="72">
        <f t="shared" si="307"/>
        <v>0.45833333333333331</v>
      </c>
      <c r="Q799" s="72">
        <f t="shared" si="308"/>
        <v>0.54166666666666674</v>
      </c>
      <c r="R799" s="72">
        <f t="shared" si="309"/>
        <v>0</v>
      </c>
      <c r="S799" s="72">
        <f t="shared" si="310"/>
        <v>1.0355792251254987</v>
      </c>
      <c r="T799" s="72">
        <f t="shared" si="311"/>
        <v>1.0355792251254987</v>
      </c>
      <c r="U799" s="72">
        <f t="shared" si="312"/>
        <v>1.05</v>
      </c>
    </row>
    <row r="800" spans="1:21" x14ac:dyDescent="0.25">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0.83900437636761482</v>
      </c>
      <c r="P800" s="72">
        <f t="shared" si="307"/>
        <v>0.375</v>
      </c>
      <c r="Q800" s="72">
        <f t="shared" si="308"/>
        <v>0.625</v>
      </c>
      <c r="R800" s="72">
        <f t="shared" si="309"/>
        <v>0</v>
      </c>
      <c r="S800" s="72">
        <f t="shared" si="310"/>
        <v>1.0364171708070535</v>
      </c>
      <c r="T800" s="72">
        <f t="shared" si="311"/>
        <v>1.0364171708070535</v>
      </c>
      <c r="U800" s="72">
        <f t="shared" si="312"/>
        <v>1.05</v>
      </c>
    </row>
    <row r="801" spans="1:21" x14ac:dyDescent="0.25">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0.83967177242888402</v>
      </c>
      <c r="P801" s="72">
        <f t="shared" si="307"/>
        <v>0.29166666666666669</v>
      </c>
      <c r="Q801" s="72">
        <f t="shared" si="308"/>
        <v>0.70833333333333326</v>
      </c>
      <c r="R801" s="72">
        <f t="shared" si="309"/>
        <v>0</v>
      </c>
      <c r="S801" s="72">
        <f t="shared" si="310"/>
        <v>1.0372416012356804</v>
      </c>
      <c r="T801" s="72">
        <f t="shared" si="311"/>
        <v>1.0372416012356804</v>
      </c>
      <c r="U801" s="72">
        <f t="shared" si="312"/>
        <v>1.05</v>
      </c>
    </row>
    <row r="802" spans="1:21" x14ac:dyDescent="0.25">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0.84033916849015311</v>
      </c>
      <c r="P802" s="72">
        <f t="shared" si="307"/>
        <v>0.20833333333333334</v>
      </c>
      <c r="Q802" s="72">
        <f t="shared" si="308"/>
        <v>0.79166666666666663</v>
      </c>
      <c r="R802" s="72">
        <f t="shared" si="309"/>
        <v>0</v>
      </c>
      <c r="S802" s="72">
        <f t="shared" si="310"/>
        <v>1.0380660316643069</v>
      </c>
      <c r="T802" s="72">
        <f t="shared" si="311"/>
        <v>1.0380660316643069</v>
      </c>
      <c r="U802" s="72">
        <f t="shared" si="312"/>
        <v>1.05</v>
      </c>
    </row>
    <row r="803" spans="1:21" x14ac:dyDescent="0.25">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0.84100656455142231</v>
      </c>
      <c r="P803" s="72">
        <f t="shared" si="307"/>
        <v>0.125</v>
      </c>
      <c r="Q803" s="72">
        <f t="shared" si="308"/>
        <v>0.875</v>
      </c>
      <c r="R803" s="72">
        <f t="shared" si="309"/>
        <v>0</v>
      </c>
      <c r="S803" s="72">
        <f t="shared" si="310"/>
        <v>1.0388904620929336</v>
      </c>
      <c r="T803" s="72">
        <f t="shared" si="311"/>
        <v>1.0388904620929336</v>
      </c>
      <c r="U803" s="72">
        <f t="shared" si="312"/>
        <v>1.05</v>
      </c>
    </row>
    <row r="804" spans="1:21" x14ac:dyDescent="0.25">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0.8416739606126914</v>
      </c>
      <c r="P804" s="72">
        <f t="shared" si="307"/>
        <v>4.1666666666666664E-2</v>
      </c>
      <c r="Q804" s="72">
        <f t="shared" si="308"/>
        <v>0.95833333333333337</v>
      </c>
      <c r="R804" s="72">
        <f t="shared" si="309"/>
        <v>0</v>
      </c>
      <c r="S804" s="72">
        <f t="shared" si="310"/>
        <v>1.03971489252156</v>
      </c>
      <c r="T804" s="72">
        <f t="shared" si="311"/>
        <v>1.03971489252156</v>
      </c>
      <c r="U804" s="72">
        <f t="shared" si="312"/>
        <v>1.05</v>
      </c>
    </row>
    <row r="805" spans="1:21" x14ac:dyDescent="0.25">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0.84235229759299779</v>
      </c>
      <c r="P805" s="72">
        <f t="shared" si="307"/>
        <v>0</v>
      </c>
      <c r="Q805" s="72">
        <f t="shared" si="308"/>
        <v>0.95833333333333337</v>
      </c>
      <c r="R805" s="72">
        <f t="shared" si="309"/>
        <v>4.166666666666663E-2</v>
      </c>
      <c r="S805" s="72">
        <f t="shared" si="310"/>
        <v>1.0405528382031151</v>
      </c>
      <c r="T805" s="72">
        <f t="shared" si="311"/>
        <v>0.98160638434805003</v>
      </c>
      <c r="U805" s="72">
        <f t="shared" si="312"/>
        <v>1.05</v>
      </c>
    </row>
    <row r="806" spans="1:21" x14ac:dyDescent="0.25">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0.84299781181619249</v>
      </c>
      <c r="P806" s="72">
        <f t="shared" si="307"/>
        <v>0</v>
      </c>
      <c r="Q806" s="72">
        <f t="shared" si="308"/>
        <v>0.875</v>
      </c>
      <c r="R806" s="72">
        <f t="shared" si="309"/>
        <v>0.125</v>
      </c>
      <c r="S806" s="72">
        <f t="shared" si="310"/>
        <v>1.041350238125885</v>
      </c>
      <c r="T806" s="72">
        <f t="shared" si="311"/>
        <v>1.0314841034882225</v>
      </c>
      <c r="U806" s="72">
        <f t="shared" si="312"/>
        <v>1.05</v>
      </c>
    </row>
    <row r="807" spans="1:21" x14ac:dyDescent="0.25">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0.8436433260393873</v>
      </c>
      <c r="P807" s="72">
        <f t="shared" si="307"/>
        <v>0</v>
      </c>
      <c r="Q807" s="72">
        <f t="shared" si="308"/>
        <v>0.79166666666666663</v>
      </c>
      <c r="R807" s="72">
        <f t="shared" si="309"/>
        <v>0.20833333333333337</v>
      </c>
      <c r="S807" s="72">
        <f t="shared" si="310"/>
        <v>1.042147638048655</v>
      </c>
      <c r="T807" s="72">
        <f t="shared" si="311"/>
        <v>1.0322815034109925</v>
      </c>
      <c r="U807" s="72">
        <f t="shared" si="312"/>
        <v>1.05</v>
      </c>
    </row>
    <row r="808" spans="1:21" x14ac:dyDescent="0.25">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0.84431072210065639</v>
      </c>
      <c r="P808" s="72">
        <f t="shared" si="307"/>
        <v>0</v>
      </c>
      <c r="Q808" s="72">
        <f t="shared" si="308"/>
        <v>0.70833333333333337</v>
      </c>
      <c r="R808" s="72">
        <f t="shared" si="309"/>
        <v>0.29166666666666663</v>
      </c>
      <c r="S808" s="72">
        <f t="shared" si="310"/>
        <v>1.0846909512163729</v>
      </c>
      <c r="T808" s="72">
        <f t="shared" si="311"/>
        <v>1.0331059338396189</v>
      </c>
      <c r="U808" s="72">
        <f t="shared" si="312"/>
        <v>1.0920000000000001</v>
      </c>
    </row>
    <row r="809" spans="1:21" x14ac:dyDescent="0.25">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0.84497811816192558</v>
      </c>
      <c r="P809" s="72">
        <f t="shared" si="307"/>
        <v>0</v>
      </c>
      <c r="Q809" s="72">
        <f t="shared" si="308"/>
        <v>0.625</v>
      </c>
      <c r="R809" s="72">
        <f t="shared" si="309"/>
        <v>0.375</v>
      </c>
      <c r="S809" s="72">
        <f t="shared" si="310"/>
        <v>1.0855483588621446</v>
      </c>
      <c r="T809" s="72">
        <f t="shared" si="311"/>
        <v>1.0339303642682456</v>
      </c>
      <c r="U809" s="72">
        <f t="shared" si="312"/>
        <v>1.0920000000000001</v>
      </c>
    </row>
    <row r="810" spans="1:21" x14ac:dyDescent="0.25">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0.84564551422319467</v>
      </c>
      <c r="P810" s="72">
        <f t="shared" si="307"/>
        <v>0</v>
      </c>
      <c r="Q810" s="72">
        <f t="shared" si="308"/>
        <v>0.54166666666666663</v>
      </c>
      <c r="R810" s="72">
        <f t="shared" si="309"/>
        <v>0.45833333333333337</v>
      </c>
      <c r="S810" s="72">
        <f t="shared" si="310"/>
        <v>1.0864057665079161</v>
      </c>
      <c r="T810" s="72">
        <f t="shared" si="311"/>
        <v>1.0347547946968723</v>
      </c>
      <c r="U810" s="72">
        <f t="shared" si="312"/>
        <v>1.0920000000000001</v>
      </c>
    </row>
    <row r="811" spans="1:21" x14ac:dyDescent="0.25">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0.84631291028446387</v>
      </c>
      <c r="P811" s="72">
        <f t="shared" si="307"/>
        <v>0</v>
      </c>
      <c r="Q811" s="72">
        <f t="shared" si="308"/>
        <v>0.45833333333333331</v>
      </c>
      <c r="R811" s="72">
        <f t="shared" si="309"/>
        <v>0.54166666666666674</v>
      </c>
      <c r="S811" s="72">
        <f t="shared" si="310"/>
        <v>1.0872631741536878</v>
      </c>
      <c r="T811" s="72">
        <f t="shared" si="311"/>
        <v>1.0355792251254987</v>
      </c>
      <c r="U811" s="72">
        <f t="shared" si="312"/>
        <v>1.0920000000000001</v>
      </c>
    </row>
    <row r="812" spans="1:21" x14ac:dyDescent="0.25">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0.84699124726477026</v>
      </c>
      <c r="P812" s="72">
        <f t="shared" si="307"/>
        <v>0</v>
      </c>
      <c r="Q812" s="72">
        <f t="shared" si="308"/>
        <v>0.375</v>
      </c>
      <c r="R812" s="72">
        <f t="shared" si="309"/>
        <v>0.625</v>
      </c>
      <c r="S812" s="72">
        <f t="shared" si="310"/>
        <v>1.088134637662505</v>
      </c>
      <c r="T812" s="72">
        <f t="shared" si="311"/>
        <v>1.0364171708070535</v>
      </c>
      <c r="U812" s="72">
        <f t="shared" si="312"/>
        <v>1.0920000000000001</v>
      </c>
    </row>
    <row r="813" spans="1:21" x14ac:dyDescent="0.25">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0.84765864332603935</v>
      </c>
      <c r="P813" s="72">
        <f t="shared" si="307"/>
        <v>0</v>
      </c>
      <c r="Q813" s="72">
        <f t="shared" si="308"/>
        <v>0.29166666666666669</v>
      </c>
      <c r="R813" s="72">
        <f t="shared" si="309"/>
        <v>0.70833333333333326</v>
      </c>
      <c r="S813" s="72">
        <f t="shared" si="310"/>
        <v>1.0889920453082766</v>
      </c>
      <c r="T813" s="72">
        <f t="shared" si="311"/>
        <v>1.0372416012356804</v>
      </c>
      <c r="U813" s="72">
        <f t="shared" si="312"/>
        <v>1.0920000000000001</v>
      </c>
    </row>
    <row r="814" spans="1:21" x14ac:dyDescent="0.25">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0.84832603938730855</v>
      </c>
      <c r="P814" s="72">
        <f t="shared" si="307"/>
        <v>0</v>
      </c>
      <c r="Q814" s="72">
        <f t="shared" si="308"/>
        <v>0.20833333333333334</v>
      </c>
      <c r="R814" s="72">
        <f t="shared" si="309"/>
        <v>0.79166666666666663</v>
      </c>
      <c r="S814" s="72">
        <f t="shared" si="310"/>
        <v>1.0898494529540483</v>
      </c>
      <c r="T814" s="72">
        <f t="shared" si="311"/>
        <v>1.0380660316643069</v>
      </c>
      <c r="U814" s="72">
        <f t="shared" si="312"/>
        <v>1.0920000000000001</v>
      </c>
    </row>
    <row r="815" spans="1:21" x14ac:dyDescent="0.25">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0.84899343544857764</v>
      </c>
      <c r="P815" s="72">
        <f t="shared" si="307"/>
        <v>0</v>
      </c>
      <c r="Q815" s="72">
        <f t="shared" si="308"/>
        <v>0.125</v>
      </c>
      <c r="R815" s="72">
        <f t="shared" si="309"/>
        <v>0.875</v>
      </c>
      <c r="S815" s="72">
        <f t="shared" si="310"/>
        <v>1.0907068605998198</v>
      </c>
      <c r="T815" s="72">
        <f t="shared" si="311"/>
        <v>1.0388904620929336</v>
      </c>
      <c r="U815" s="72">
        <f t="shared" si="312"/>
        <v>1.0920000000000001</v>
      </c>
    </row>
    <row r="816" spans="1:21" x14ac:dyDescent="0.25">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0.84966083150984684</v>
      </c>
      <c r="P816" s="72">
        <f t="shared" si="307"/>
        <v>0</v>
      </c>
      <c r="Q816" s="72">
        <f t="shared" si="308"/>
        <v>4.1666666666666664E-2</v>
      </c>
      <c r="R816" s="72">
        <f t="shared" si="309"/>
        <v>0.95833333333333337</v>
      </c>
      <c r="S816" s="72">
        <f t="shared" si="310"/>
        <v>1.0915642682455915</v>
      </c>
      <c r="T816" s="72">
        <f t="shared" si="311"/>
        <v>1.03971489252156</v>
      </c>
      <c r="U816" s="72">
        <f t="shared" si="312"/>
        <v>1.0920000000000001</v>
      </c>
    </row>
    <row r="817" spans="1:21" x14ac:dyDescent="0.25">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0.85</v>
      </c>
      <c r="P817" s="72">
        <f t="shared" si="307"/>
        <v>0</v>
      </c>
      <c r="Q817" s="72">
        <f t="shared" si="308"/>
        <v>0</v>
      </c>
      <c r="R817" s="72">
        <f t="shared" si="309"/>
        <v>0.95833333333333337</v>
      </c>
      <c r="S817" s="72">
        <f t="shared" si="310"/>
        <v>1.0920000000000001</v>
      </c>
      <c r="T817" s="72">
        <f t="shared" si="311"/>
        <v>0.98160638434805003</v>
      </c>
      <c r="U817" s="72">
        <f t="shared" si="312"/>
        <v>1.0920000000000001</v>
      </c>
    </row>
    <row r="818" spans="1:21" x14ac:dyDescent="0.25">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0.85</v>
      </c>
      <c r="P818" s="72">
        <f t="shared" si="307"/>
        <v>0</v>
      </c>
      <c r="Q818" s="72">
        <f t="shared" si="308"/>
        <v>0</v>
      </c>
      <c r="R818" s="72">
        <f t="shared" si="309"/>
        <v>0.875</v>
      </c>
      <c r="S818" s="72">
        <f t="shared" si="310"/>
        <v>1.0920000000000001</v>
      </c>
      <c r="T818" s="72">
        <f t="shared" si="311"/>
        <v>1.0314841034882225</v>
      </c>
      <c r="U818" s="72">
        <f t="shared" si="312"/>
        <v>1.0920000000000001</v>
      </c>
    </row>
    <row r="819" spans="1:21" x14ac:dyDescent="0.25">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0.85</v>
      </c>
      <c r="P819" s="72">
        <f t="shared" si="307"/>
        <v>0</v>
      </c>
      <c r="Q819" s="72">
        <f t="shared" si="308"/>
        <v>0</v>
      </c>
      <c r="R819" s="72">
        <f t="shared" si="309"/>
        <v>0.79166666666666663</v>
      </c>
      <c r="S819" s="72">
        <f t="shared" si="310"/>
        <v>1.0920000000000001</v>
      </c>
      <c r="T819" s="72">
        <f t="shared" si="311"/>
        <v>1.0322815034109925</v>
      </c>
      <c r="U819" s="72">
        <f t="shared" si="312"/>
        <v>1.0920000000000001</v>
      </c>
    </row>
    <row r="820" spans="1:21" x14ac:dyDescent="0.25">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0.85</v>
      </c>
      <c r="P820" s="72">
        <f t="shared" si="307"/>
        <v>0</v>
      </c>
      <c r="Q820" s="72">
        <f t="shared" si="308"/>
        <v>0</v>
      </c>
      <c r="R820" s="72">
        <f t="shared" si="309"/>
        <v>0.70833333333333337</v>
      </c>
      <c r="S820" s="72">
        <f t="shared" si="310"/>
        <v>1.0920000000000001</v>
      </c>
      <c r="T820" s="72">
        <f t="shared" si="311"/>
        <v>1.0331059338396189</v>
      </c>
      <c r="U820" s="72">
        <f t="shared" si="312"/>
        <v>1.0920000000000001</v>
      </c>
    </row>
    <row r="821" spans="1:21" x14ac:dyDescent="0.25">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0.85</v>
      </c>
      <c r="P821" s="72">
        <f t="shared" si="307"/>
        <v>0</v>
      </c>
      <c r="Q821" s="72">
        <f t="shared" si="308"/>
        <v>0</v>
      </c>
      <c r="R821" s="72">
        <f t="shared" si="309"/>
        <v>0.625</v>
      </c>
      <c r="S821" s="72">
        <f t="shared" si="310"/>
        <v>1.0920000000000001</v>
      </c>
      <c r="T821" s="72">
        <f t="shared" si="311"/>
        <v>1.0339303642682456</v>
      </c>
      <c r="U821" s="72">
        <f t="shared" si="312"/>
        <v>1.0920000000000001</v>
      </c>
    </row>
    <row r="822" spans="1:21" x14ac:dyDescent="0.25">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0.85</v>
      </c>
      <c r="P822" s="72">
        <f t="shared" si="307"/>
        <v>0</v>
      </c>
      <c r="Q822" s="72">
        <f t="shared" si="308"/>
        <v>0</v>
      </c>
      <c r="R822" s="72">
        <f t="shared" si="309"/>
        <v>0.54166666666666663</v>
      </c>
      <c r="S822" s="72">
        <f t="shared" si="310"/>
        <v>1.0920000000000001</v>
      </c>
      <c r="T822" s="72">
        <f t="shared" si="311"/>
        <v>1.0347547946968723</v>
      </c>
      <c r="U822" s="72">
        <f t="shared" si="312"/>
        <v>1.0920000000000001</v>
      </c>
    </row>
    <row r="823" spans="1:21" x14ac:dyDescent="0.25">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0.85</v>
      </c>
      <c r="P823" s="72">
        <f t="shared" si="307"/>
        <v>0</v>
      </c>
      <c r="Q823" s="72">
        <f t="shared" si="308"/>
        <v>0</v>
      </c>
      <c r="R823" s="72">
        <f t="shared" si="309"/>
        <v>0.45833333333333331</v>
      </c>
      <c r="S823" s="72">
        <f t="shared" si="310"/>
        <v>1.0920000000000001</v>
      </c>
      <c r="T823" s="72">
        <f t="shared" si="311"/>
        <v>1.0355792251254987</v>
      </c>
      <c r="U823" s="72">
        <f t="shared" si="312"/>
        <v>1.0920000000000001</v>
      </c>
    </row>
    <row r="824" spans="1:21" x14ac:dyDescent="0.25">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0.85</v>
      </c>
      <c r="P824" s="72">
        <f t="shared" si="307"/>
        <v>0</v>
      </c>
      <c r="Q824" s="72">
        <f t="shared" si="308"/>
        <v>0</v>
      </c>
      <c r="R824" s="72">
        <f t="shared" si="309"/>
        <v>0.375</v>
      </c>
      <c r="S824" s="72">
        <f t="shared" si="310"/>
        <v>1.0920000000000001</v>
      </c>
      <c r="T824" s="72">
        <f t="shared" si="311"/>
        <v>1.0364171708070535</v>
      </c>
      <c r="U824" s="72">
        <f t="shared" si="312"/>
        <v>1.0920000000000001</v>
      </c>
    </row>
    <row r="825" spans="1:21" x14ac:dyDescent="0.25">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0.85</v>
      </c>
      <c r="P825" s="72">
        <f t="shared" si="307"/>
        <v>0</v>
      </c>
      <c r="Q825" s="72">
        <f t="shared" si="308"/>
        <v>0</v>
      </c>
      <c r="R825" s="72">
        <f t="shared" si="309"/>
        <v>0.29166666666666669</v>
      </c>
      <c r="S825" s="72">
        <f t="shared" si="310"/>
        <v>1.0920000000000001</v>
      </c>
      <c r="T825" s="72">
        <f t="shared" si="311"/>
        <v>1.0372416012356804</v>
      </c>
      <c r="U825" s="72">
        <f t="shared" si="312"/>
        <v>1.0920000000000001</v>
      </c>
    </row>
    <row r="826" spans="1:21" x14ac:dyDescent="0.25">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0.85</v>
      </c>
      <c r="P826" s="72">
        <f t="shared" si="307"/>
        <v>0</v>
      </c>
      <c r="Q826" s="72">
        <f t="shared" si="308"/>
        <v>0</v>
      </c>
      <c r="R826" s="72">
        <f t="shared" si="309"/>
        <v>0.20833333333333334</v>
      </c>
      <c r="S826" s="72">
        <f t="shared" si="310"/>
        <v>1.0920000000000001</v>
      </c>
      <c r="T826" s="72">
        <f t="shared" si="311"/>
        <v>1.0380660316643069</v>
      </c>
      <c r="U826" s="72">
        <f t="shared" si="312"/>
        <v>1.0920000000000001</v>
      </c>
    </row>
    <row r="827" spans="1:21" x14ac:dyDescent="0.25">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0.85</v>
      </c>
      <c r="P827" s="72">
        <f t="shared" si="307"/>
        <v>0</v>
      </c>
      <c r="Q827" s="72">
        <f t="shared" si="308"/>
        <v>0</v>
      </c>
      <c r="R827" s="72">
        <f t="shared" si="309"/>
        <v>0.125</v>
      </c>
      <c r="S827" s="72">
        <f t="shared" si="310"/>
        <v>1.0920000000000001</v>
      </c>
      <c r="T827" s="72">
        <f t="shared" si="311"/>
        <v>1.0388904620929336</v>
      </c>
      <c r="U827" s="72">
        <f t="shared" si="312"/>
        <v>1.0920000000000001</v>
      </c>
    </row>
    <row r="828" spans="1:21" x14ac:dyDescent="0.25">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0.85</v>
      </c>
      <c r="P828" s="72">
        <f t="shared" si="307"/>
        <v>0</v>
      </c>
      <c r="Q828" s="72">
        <f t="shared" si="308"/>
        <v>0</v>
      </c>
      <c r="R828" s="72">
        <f t="shared" si="309"/>
        <v>4.1666666666666664E-2</v>
      </c>
      <c r="S828" s="72">
        <f t="shared" si="310"/>
        <v>1.0920000000000001</v>
      </c>
      <c r="T828" s="72">
        <f t="shared" si="311"/>
        <v>1.03971489252156</v>
      </c>
      <c r="U828" s="72">
        <f t="shared" si="312"/>
        <v>1.0920000000000001</v>
      </c>
    </row>
    <row r="829" spans="1:21" x14ac:dyDescent="0.25">
      <c r="A829" s="77" t="s">
        <v>1209</v>
      </c>
      <c r="B829" s="50">
        <f>EXP(SUMPRODUCT((rl_key=$A$778)*(rl_cons="Y")*rl_ln1p))</f>
        <v>1.05</v>
      </c>
      <c r="C829" s="50">
        <f>SUMPRODUCT($H$781:$H$828,$P$781:$P$828,$U$781:$U$828)/SUMPRODUCT($H$781:$H$828,$P$781:$P$828)</f>
        <v>1.0210069444444445</v>
      </c>
      <c r="D829" s="50">
        <f>SUMPRODUCT($H$781:$H$828,$Q$781:$Q$828,$U$781:$U$828)/SUMPRODUCT($H$781:$H$828,$Q$781:$Q$828)</f>
        <v>1.0616388888888888</v>
      </c>
      <c r="E829" s="50">
        <f>SUMPRODUCT($H$781:$H$828,$R$781:$R$828,$U$781:$U$828)/SUMPRODUCT($H$781:$H$828,$R$781:$R$828)</f>
        <v>1.0906875</v>
      </c>
      <c r="F829" s="169">
        <f>SUMPRODUCT($H$781:$H$828,$Q$781:$Q$828,$O$781:$O$828)/SUMPRODUCT($H$781:$H$828,$Q$781:$Q$828)</f>
        <v>0.84199580598103541</v>
      </c>
      <c r="G829" s="169">
        <f>SUMPRODUCT($H$781:$H$828,$R$781:$R$828,$O$781:$O$828)/SUMPRODUCT($H$781:$H$828,$R$781:$R$828)</f>
        <v>0.84865635637004611</v>
      </c>
    </row>
    <row r="832" spans="1:21" x14ac:dyDescent="0.25">
      <c r="A832" s="77" t="str">
        <f>INDEX(lr_key,15)</f>
        <v>BU-A|NC</v>
      </c>
      <c r="B832" s="77" t="str">
        <f>INDEX(lr_state,15)</f>
        <v>NC</v>
      </c>
      <c r="C832" s="52">
        <f>nr_TermMonths</f>
        <v>12</v>
      </c>
      <c r="D832" s="52">
        <f>IF(COUNTIF(se_state,$B832)=0,0,MATCH($B832,se_state,0))</f>
        <v>0</v>
      </c>
      <c r="E832" s="54">
        <f>IF($D832=0,0,INDEX(se_sum,$D832))</f>
        <v>0</v>
      </c>
      <c r="F832" s="169">
        <f>IF(N(INDEX(lr_mind,15))=0,1,INDEX(lr_mind,15))</f>
        <v>0.85</v>
      </c>
      <c r="G832" s="169">
        <f>IF(N(INDEX(lr_m0,15))=0,1,INDEX(lr_m0,15))</f>
        <v>0.84</v>
      </c>
      <c r="H832" s="51">
        <f>IF(N(INDEX(lr_m0asof,15))=0,DATE(nr_PlanYear-1,10,1),INDEX(lr_m0asof,15))</f>
        <v>46295</v>
      </c>
      <c r="I832" s="169">
        <f>IF(N(INDEX(lr_m1,15))=0,1,INDEX(lr_m1,15))</f>
        <v>0.83</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25">
      <c r="A833" s="77">
        <f>EDATE($H$832,-12)+1</f>
        <v>45931</v>
      </c>
      <c r="B833" s="77">
        <f>$H$832+1</f>
        <v>46296</v>
      </c>
      <c r="C833" s="77">
        <f>DATE(nr_PlanYear,12,31)+1</f>
        <v>46753</v>
      </c>
      <c r="D833" s="77">
        <f>DATE(nr_PlanYear+1,12,31)+1</f>
        <v>47119</v>
      </c>
      <c r="E833" s="77">
        <f>IF(N($J$832)=0,$F$833-($G$833-$F$833)/($C$833-$B$833)*($B$833-$A$833),$J$832)</f>
        <v>0.8479868708971553</v>
      </c>
      <c r="F833" s="77">
        <f>$G$832</f>
        <v>0.84</v>
      </c>
      <c r="G833" s="77">
        <f>$I$832</f>
        <v>0.83</v>
      </c>
      <c r="H833" s="77">
        <f>IF(N($K$832)=0,$I$832,$K$832)</f>
        <v>0.83</v>
      </c>
      <c r="I833" s="77">
        <f>($F$833-$E$833)/($B$833-$A$833)</f>
        <v>-2.1881838074398162E-5</v>
      </c>
      <c r="J833" s="77">
        <f>($G$833-$F$833)/($C$833-$B$833)</f>
        <v>-2.188183807439827E-5</v>
      </c>
      <c r="K833" s="77">
        <f>($H$833-$G$833)/($D$833-$C$833)</f>
        <v>0</v>
      </c>
    </row>
    <row r="834" spans="1:21" ht="24" x14ac:dyDescent="0.25">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25">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0.85362144420131281</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1.0042605225897798</v>
      </c>
      <c r="T835" s="72">
        <f t="shared" ref="T835:T882" si="331">IF($G835&lt;nr_MStartP,$S835,$T823*(1+IF($G835&lt;nr_MStartP1,$M$832,$N$832)))</f>
        <v>1.0042605225897798</v>
      </c>
      <c r="U835" s="72">
        <f t="shared" ref="U835:U882" si="332">IF($L$832,$T835,$N835)</f>
        <v>1</v>
      </c>
    </row>
    <row r="836" spans="1:21" x14ac:dyDescent="0.25">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0.85297592997811811</v>
      </c>
      <c r="P836" s="72">
        <f t="shared" si="327"/>
        <v>0.125</v>
      </c>
      <c r="Q836" s="72">
        <f t="shared" si="328"/>
        <v>0</v>
      </c>
      <c r="R836" s="72">
        <f t="shared" si="329"/>
        <v>0</v>
      </c>
      <c r="S836" s="72">
        <f t="shared" si="330"/>
        <v>1.0035010940919036</v>
      </c>
      <c r="T836" s="72">
        <f t="shared" si="331"/>
        <v>1.0035010940919036</v>
      </c>
      <c r="U836" s="72">
        <f t="shared" si="332"/>
        <v>1</v>
      </c>
    </row>
    <row r="837" spans="1:21" x14ac:dyDescent="0.25">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0.8523304157549233</v>
      </c>
      <c r="P837" s="72">
        <f t="shared" si="327"/>
        <v>0.20833333333333337</v>
      </c>
      <c r="Q837" s="72">
        <f t="shared" si="328"/>
        <v>0</v>
      </c>
      <c r="R837" s="72">
        <f t="shared" si="329"/>
        <v>0</v>
      </c>
      <c r="S837" s="72">
        <f t="shared" si="330"/>
        <v>1.0027416655940273</v>
      </c>
      <c r="T837" s="72">
        <f t="shared" si="331"/>
        <v>1.0027416655940273</v>
      </c>
      <c r="U837" s="72">
        <f t="shared" si="332"/>
        <v>1</v>
      </c>
    </row>
    <row r="838" spans="1:21" x14ac:dyDescent="0.25">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0.85166301969365421</v>
      </c>
      <c r="P838" s="72">
        <f t="shared" si="327"/>
        <v>0.29166666666666663</v>
      </c>
      <c r="Q838" s="72">
        <f t="shared" si="328"/>
        <v>0</v>
      </c>
      <c r="R838" s="72">
        <f t="shared" si="329"/>
        <v>0</v>
      </c>
      <c r="S838" s="72">
        <f t="shared" si="330"/>
        <v>1.0019564937572403</v>
      </c>
      <c r="T838" s="72">
        <f t="shared" si="331"/>
        <v>1.0019564937572403</v>
      </c>
      <c r="U838" s="72">
        <f t="shared" si="332"/>
        <v>1</v>
      </c>
    </row>
    <row r="839" spans="1:21" x14ac:dyDescent="0.25">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0.85099562363238501</v>
      </c>
      <c r="P839" s="72">
        <f t="shared" si="327"/>
        <v>0.375</v>
      </c>
      <c r="Q839" s="72">
        <f t="shared" si="328"/>
        <v>0</v>
      </c>
      <c r="R839" s="72">
        <f t="shared" si="329"/>
        <v>0</v>
      </c>
      <c r="S839" s="72">
        <f t="shared" si="330"/>
        <v>1.001171321920453</v>
      </c>
      <c r="T839" s="72">
        <f t="shared" si="331"/>
        <v>1.001171321920453</v>
      </c>
      <c r="U839" s="72">
        <f t="shared" si="332"/>
        <v>1</v>
      </c>
    </row>
    <row r="840" spans="1:21" x14ac:dyDescent="0.25">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0.85032822757111592</v>
      </c>
      <c r="P840" s="72">
        <f t="shared" si="327"/>
        <v>0.45833333333333337</v>
      </c>
      <c r="Q840" s="72">
        <f t="shared" si="328"/>
        <v>0</v>
      </c>
      <c r="R840" s="72">
        <f t="shared" si="329"/>
        <v>0</v>
      </c>
      <c r="S840" s="72">
        <f t="shared" si="330"/>
        <v>1.0003861500836657</v>
      </c>
      <c r="T840" s="72">
        <f t="shared" si="331"/>
        <v>1.0003861500836657</v>
      </c>
      <c r="U840" s="72">
        <f t="shared" si="332"/>
        <v>1</v>
      </c>
    </row>
    <row r="841" spans="1:21" x14ac:dyDescent="0.25">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0.84966083150984673</v>
      </c>
      <c r="P841" s="72">
        <f t="shared" si="327"/>
        <v>0.54166666666666674</v>
      </c>
      <c r="Q841" s="72">
        <f t="shared" si="328"/>
        <v>0</v>
      </c>
      <c r="R841" s="72">
        <f t="shared" si="329"/>
        <v>0</v>
      </c>
      <c r="S841" s="72">
        <f t="shared" si="330"/>
        <v>0.99960097824687855</v>
      </c>
      <c r="T841" s="72">
        <f t="shared" si="331"/>
        <v>0.99960097824687855</v>
      </c>
      <c r="U841" s="72">
        <f t="shared" si="332"/>
        <v>1</v>
      </c>
    </row>
    <row r="842" spans="1:21" x14ac:dyDescent="0.25">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0.84898249452954044</v>
      </c>
      <c r="P842" s="72">
        <f t="shared" si="327"/>
        <v>0.625</v>
      </c>
      <c r="Q842" s="72">
        <f t="shared" si="328"/>
        <v>0</v>
      </c>
      <c r="R842" s="72">
        <f t="shared" si="329"/>
        <v>0</v>
      </c>
      <c r="S842" s="72">
        <f t="shared" si="330"/>
        <v>0.99880293474063586</v>
      </c>
      <c r="T842" s="72">
        <f t="shared" si="331"/>
        <v>0.99880293474063586</v>
      </c>
      <c r="U842" s="72">
        <f t="shared" si="332"/>
        <v>1</v>
      </c>
    </row>
    <row r="843" spans="1:21" x14ac:dyDescent="0.25">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0.84831509846827124</v>
      </c>
      <c r="P843" s="72">
        <f t="shared" si="327"/>
        <v>0.70833333333333326</v>
      </c>
      <c r="Q843" s="72">
        <f t="shared" si="328"/>
        <v>0</v>
      </c>
      <c r="R843" s="72">
        <f t="shared" si="329"/>
        <v>0</v>
      </c>
      <c r="S843" s="72">
        <f t="shared" si="330"/>
        <v>0.99801776290384858</v>
      </c>
      <c r="T843" s="72">
        <f t="shared" si="331"/>
        <v>0.99801776290384858</v>
      </c>
      <c r="U843" s="72">
        <f t="shared" si="332"/>
        <v>1</v>
      </c>
    </row>
    <row r="844" spans="1:21" x14ac:dyDescent="0.25">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0.84764770240700216</v>
      </c>
      <c r="P844" s="72">
        <f t="shared" si="327"/>
        <v>0.79166666666666663</v>
      </c>
      <c r="Q844" s="72">
        <f t="shared" si="328"/>
        <v>0</v>
      </c>
      <c r="R844" s="72">
        <f t="shared" si="329"/>
        <v>0</v>
      </c>
      <c r="S844" s="72">
        <f t="shared" si="330"/>
        <v>0.99723259106706141</v>
      </c>
      <c r="T844" s="72">
        <f t="shared" si="331"/>
        <v>0.99723259106706141</v>
      </c>
      <c r="U844" s="72">
        <f t="shared" si="332"/>
        <v>1</v>
      </c>
    </row>
    <row r="845" spans="1:21" x14ac:dyDescent="0.25">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0.84698030634573296</v>
      </c>
      <c r="P845" s="72">
        <f t="shared" si="327"/>
        <v>0.875</v>
      </c>
      <c r="Q845" s="72">
        <f t="shared" si="328"/>
        <v>0</v>
      </c>
      <c r="R845" s="72">
        <f t="shared" si="329"/>
        <v>0</v>
      </c>
      <c r="S845" s="72">
        <f t="shared" si="330"/>
        <v>0.99644741923027413</v>
      </c>
      <c r="T845" s="72">
        <f t="shared" si="331"/>
        <v>0.99644741923027413</v>
      </c>
      <c r="U845" s="72">
        <f t="shared" si="332"/>
        <v>1</v>
      </c>
    </row>
    <row r="846" spans="1:21" x14ac:dyDescent="0.25">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0.84631291028446387</v>
      </c>
      <c r="P846" s="72">
        <f t="shared" si="327"/>
        <v>0.95833333333333337</v>
      </c>
      <c r="Q846" s="72">
        <f t="shared" si="328"/>
        <v>0</v>
      </c>
      <c r="R846" s="72">
        <f t="shared" si="329"/>
        <v>0</v>
      </c>
      <c r="S846" s="72">
        <f t="shared" si="330"/>
        <v>0.99566224739348697</v>
      </c>
      <c r="T846" s="72">
        <f t="shared" si="331"/>
        <v>0.99566224739348697</v>
      </c>
      <c r="U846" s="72">
        <f t="shared" si="332"/>
        <v>1</v>
      </c>
    </row>
    <row r="847" spans="1:21" x14ac:dyDescent="0.25">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0.84563457330415748</v>
      </c>
      <c r="P847" s="72">
        <f t="shared" si="327"/>
        <v>0.95833333333333337</v>
      </c>
      <c r="Q847" s="72">
        <f t="shared" si="328"/>
        <v>4.166666666666663E-2</v>
      </c>
      <c r="R847" s="72">
        <f t="shared" si="329"/>
        <v>0</v>
      </c>
      <c r="S847" s="72">
        <f t="shared" si="330"/>
        <v>0.99486420388724417</v>
      </c>
      <c r="T847" s="72">
        <f t="shared" si="331"/>
        <v>0.99486420388724417</v>
      </c>
      <c r="U847" s="72">
        <f t="shared" si="332"/>
        <v>1</v>
      </c>
    </row>
    <row r="848" spans="1:21" x14ac:dyDescent="0.25">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0.84498905908096278</v>
      </c>
      <c r="P848" s="72">
        <f t="shared" si="327"/>
        <v>0.875</v>
      </c>
      <c r="Q848" s="72">
        <f t="shared" si="328"/>
        <v>0.125</v>
      </c>
      <c r="R848" s="72">
        <f t="shared" si="329"/>
        <v>0</v>
      </c>
      <c r="S848" s="72">
        <f t="shared" si="330"/>
        <v>0.99410477538936803</v>
      </c>
      <c r="T848" s="72">
        <f t="shared" si="331"/>
        <v>0.99410477538936803</v>
      </c>
      <c r="U848" s="72">
        <f t="shared" si="332"/>
        <v>1</v>
      </c>
    </row>
    <row r="849" spans="1:21" x14ac:dyDescent="0.25">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0.84434354485776797</v>
      </c>
      <c r="P849" s="72">
        <f t="shared" si="327"/>
        <v>0.79166666666666663</v>
      </c>
      <c r="Q849" s="72">
        <f t="shared" si="328"/>
        <v>0.20833333333333337</v>
      </c>
      <c r="R849" s="72">
        <f t="shared" si="329"/>
        <v>0</v>
      </c>
      <c r="S849" s="72">
        <f t="shared" si="330"/>
        <v>0.99334534689149179</v>
      </c>
      <c r="T849" s="72">
        <f t="shared" si="331"/>
        <v>0.99334534689149179</v>
      </c>
      <c r="U849" s="72">
        <f t="shared" si="332"/>
        <v>1</v>
      </c>
    </row>
    <row r="850" spans="1:21" x14ac:dyDescent="0.25">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0.84367614879649888</v>
      </c>
      <c r="P850" s="72">
        <f t="shared" si="327"/>
        <v>0.70833333333333337</v>
      </c>
      <c r="Q850" s="72">
        <f t="shared" si="328"/>
        <v>0.29166666666666663</v>
      </c>
      <c r="R850" s="72">
        <f t="shared" si="329"/>
        <v>0</v>
      </c>
      <c r="S850" s="72">
        <f t="shared" si="330"/>
        <v>0.99256017505470462</v>
      </c>
      <c r="T850" s="72">
        <f t="shared" si="331"/>
        <v>0.99256017505470462</v>
      </c>
      <c r="U850" s="72">
        <f t="shared" si="332"/>
        <v>1</v>
      </c>
    </row>
    <row r="851" spans="1:21" x14ac:dyDescent="0.25">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0.84300875273522968</v>
      </c>
      <c r="P851" s="72">
        <f t="shared" si="327"/>
        <v>0.625</v>
      </c>
      <c r="Q851" s="72">
        <f t="shared" si="328"/>
        <v>0.375</v>
      </c>
      <c r="R851" s="72">
        <f t="shared" si="329"/>
        <v>0</v>
      </c>
      <c r="S851" s="72">
        <f t="shared" si="330"/>
        <v>0.99177500321791734</v>
      </c>
      <c r="T851" s="72">
        <f t="shared" si="331"/>
        <v>0.99177500321791734</v>
      </c>
      <c r="U851" s="72">
        <f t="shared" si="332"/>
        <v>1</v>
      </c>
    </row>
    <row r="852" spans="1:21" x14ac:dyDescent="0.25">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0.8423413566739606</v>
      </c>
      <c r="P852" s="72">
        <f t="shared" si="327"/>
        <v>0.54166666666666663</v>
      </c>
      <c r="Q852" s="72">
        <f t="shared" si="328"/>
        <v>0.45833333333333337</v>
      </c>
      <c r="R852" s="72">
        <f t="shared" si="329"/>
        <v>0</v>
      </c>
      <c r="S852" s="72">
        <f t="shared" si="330"/>
        <v>0.99098983138113017</v>
      </c>
      <c r="T852" s="72">
        <f t="shared" si="331"/>
        <v>0.99098983138113017</v>
      </c>
      <c r="U852" s="72">
        <f t="shared" si="332"/>
        <v>1</v>
      </c>
    </row>
    <row r="853" spans="1:21" x14ac:dyDescent="0.25">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0.8416739606126914</v>
      </c>
      <c r="P853" s="72">
        <f t="shared" si="327"/>
        <v>0.45833333333333331</v>
      </c>
      <c r="Q853" s="72">
        <f t="shared" si="328"/>
        <v>0.54166666666666674</v>
      </c>
      <c r="R853" s="72">
        <f t="shared" si="329"/>
        <v>0</v>
      </c>
      <c r="S853" s="72">
        <f t="shared" si="330"/>
        <v>0.99020465954434289</v>
      </c>
      <c r="T853" s="72">
        <f t="shared" si="331"/>
        <v>0.99020465954434289</v>
      </c>
      <c r="U853" s="72">
        <f t="shared" si="332"/>
        <v>1</v>
      </c>
    </row>
    <row r="854" spans="1:21" x14ac:dyDescent="0.25">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0.84099562363238511</v>
      </c>
      <c r="P854" s="72">
        <f t="shared" si="327"/>
        <v>0.375</v>
      </c>
      <c r="Q854" s="72">
        <f t="shared" si="328"/>
        <v>0.625</v>
      </c>
      <c r="R854" s="72">
        <f t="shared" si="329"/>
        <v>0</v>
      </c>
      <c r="S854" s="72">
        <f t="shared" si="330"/>
        <v>0.98940661603810021</v>
      </c>
      <c r="T854" s="72">
        <f t="shared" si="331"/>
        <v>0.98940661603810021</v>
      </c>
      <c r="U854" s="72">
        <f t="shared" si="332"/>
        <v>1</v>
      </c>
    </row>
    <row r="855" spans="1:21" x14ac:dyDescent="0.25">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0.84032822757111592</v>
      </c>
      <c r="P855" s="72">
        <f t="shared" si="327"/>
        <v>0.29166666666666669</v>
      </c>
      <c r="Q855" s="72">
        <f t="shared" si="328"/>
        <v>0.70833333333333326</v>
      </c>
      <c r="R855" s="72">
        <f t="shared" si="329"/>
        <v>0</v>
      </c>
      <c r="S855" s="72">
        <f t="shared" si="330"/>
        <v>0.98862144420131282</v>
      </c>
      <c r="T855" s="72">
        <f t="shared" si="331"/>
        <v>0.98862144420131282</v>
      </c>
      <c r="U855" s="72">
        <f t="shared" si="332"/>
        <v>1</v>
      </c>
    </row>
    <row r="856" spans="1:21" x14ac:dyDescent="0.25">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0.83966083150984683</v>
      </c>
      <c r="P856" s="72">
        <f t="shared" si="327"/>
        <v>0.20833333333333334</v>
      </c>
      <c r="Q856" s="72">
        <f t="shared" si="328"/>
        <v>0.79166666666666663</v>
      </c>
      <c r="R856" s="72">
        <f t="shared" si="329"/>
        <v>0</v>
      </c>
      <c r="S856" s="72">
        <f t="shared" si="330"/>
        <v>0.98783627236452576</v>
      </c>
      <c r="T856" s="72">
        <f t="shared" si="331"/>
        <v>0.98783627236452576</v>
      </c>
      <c r="U856" s="72">
        <f t="shared" si="332"/>
        <v>1</v>
      </c>
    </row>
    <row r="857" spans="1:21" x14ac:dyDescent="0.25">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0.83899343544857763</v>
      </c>
      <c r="P857" s="72">
        <f t="shared" si="327"/>
        <v>0.125</v>
      </c>
      <c r="Q857" s="72">
        <f t="shared" si="328"/>
        <v>0.875</v>
      </c>
      <c r="R857" s="72">
        <f t="shared" si="329"/>
        <v>0</v>
      </c>
      <c r="S857" s="72">
        <f t="shared" si="330"/>
        <v>0.98705110052773837</v>
      </c>
      <c r="T857" s="72">
        <f t="shared" si="331"/>
        <v>0.98705110052773837</v>
      </c>
      <c r="U857" s="72">
        <f t="shared" si="332"/>
        <v>1</v>
      </c>
    </row>
    <row r="858" spans="1:21" x14ac:dyDescent="0.25">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0.83832603938730854</v>
      </c>
      <c r="P858" s="72">
        <f t="shared" si="327"/>
        <v>4.1666666666666664E-2</v>
      </c>
      <c r="Q858" s="72">
        <f t="shared" si="328"/>
        <v>0.95833333333333337</v>
      </c>
      <c r="R858" s="72">
        <f t="shared" si="329"/>
        <v>0</v>
      </c>
      <c r="S858" s="72">
        <f t="shared" si="330"/>
        <v>0.9862659286909512</v>
      </c>
      <c r="T858" s="72">
        <f t="shared" si="331"/>
        <v>0.9862659286909512</v>
      </c>
      <c r="U858" s="72">
        <f t="shared" si="332"/>
        <v>1</v>
      </c>
    </row>
    <row r="859" spans="1:21" x14ac:dyDescent="0.25">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0.83764770240700215</v>
      </c>
      <c r="P859" s="72">
        <f t="shared" si="327"/>
        <v>0</v>
      </c>
      <c r="Q859" s="72">
        <f t="shared" si="328"/>
        <v>0.95833333333333337</v>
      </c>
      <c r="R859" s="72">
        <f t="shared" si="329"/>
        <v>4.166666666666663E-2</v>
      </c>
      <c r="S859" s="72">
        <f t="shared" si="330"/>
        <v>0.9854678851847084</v>
      </c>
      <c r="T859" s="72">
        <f t="shared" si="331"/>
        <v>0.99486420388724417</v>
      </c>
      <c r="U859" s="72">
        <f t="shared" si="332"/>
        <v>1</v>
      </c>
    </row>
    <row r="860" spans="1:21" x14ac:dyDescent="0.25">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0.83700218818380745</v>
      </c>
      <c r="P860" s="72">
        <f t="shared" si="327"/>
        <v>0</v>
      </c>
      <c r="Q860" s="72">
        <f t="shared" si="328"/>
        <v>0.875</v>
      </c>
      <c r="R860" s="72">
        <f t="shared" si="329"/>
        <v>0.125</v>
      </c>
      <c r="S860" s="72">
        <f t="shared" si="330"/>
        <v>0.98470845668683227</v>
      </c>
      <c r="T860" s="72">
        <f t="shared" si="331"/>
        <v>0.99410477538936803</v>
      </c>
      <c r="U860" s="72">
        <f t="shared" si="332"/>
        <v>1</v>
      </c>
    </row>
    <row r="861" spans="1:21" x14ac:dyDescent="0.25">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0.83635667396061264</v>
      </c>
      <c r="P861" s="72">
        <f t="shared" si="327"/>
        <v>0</v>
      </c>
      <c r="Q861" s="72">
        <f t="shared" si="328"/>
        <v>0.79166666666666663</v>
      </c>
      <c r="R861" s="72">
        <f t="shared" si="329"/>
        <v>0.20833333333333337</v>
      </c>
      <c r="S861" s="72">
        <f t="shared" si="330"/>
        <v>0.98394902818895602</v>
      </c>
      <c r="T861" s="72">
        <f t="shared" si="331"/>
        <v>0.99334534689149179</v>
      </c>
      <c r="U861" s="72">
        <f t="shared" si="332"/>
        <v>1</v>
      </c>
    </row>
    <row r="862" spans="1:21" x14ac:dyDescent="0.25">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0.83568927789934355</v>
      </c>
      <c r="P862" s="72">
        <f t="shared" si="327"/>
        <v>0</v>
      </c>
      <c r="Q862" s="72">
        <f t="shared" si="328"/>
        <v>0.70833333333333337</v>
      </c>
      <c r="R862" s="72">
        <f t="shared" si="329"/>
        <v>0.29166666666666663</v>
      </c>
      <c r="S862" s="72">
        <f t="shared" si="330"/>
        <v>0.98316385635216896</v>
      </c>
      <c r="T862" s="72">
        <f t="shared" si="331"/>
        <v>0.99256017505470462</v>
      </c>
      <c r="U862" s="72">
        <f t="shared" si="332"/>
        <v>1</v>
      </c>
    </row>
    <row r="863" spans="1:21" x14ac:dyDescent="0.25">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0.83502188183807435</v>
      </c>
      <c r="P863" s="72">
        <f t="shared" si="327"/>
        <v>0</v>
      </c>
      <c r="Q863" s="72">
        <f t="shared" si="328"/>
        <v>0.625</v>
      </c>
      <c r="R863" s="72">
        <f t="shared" si="329"/>
        <v>0.375</v>
      </c>
      <c r="S863" s="72">
        <f t="shared" si="330"/>
        <v>0.98237868451538157</v>
      </c>
      <c r="T863" s="72">
        <f t="shared" si="331"/>
        <v>0.99177500321791734</v>
      </c>
      <c r="U863" s="72">
        <f t="shared" si="332"/>
        <v>1</v>
      </c>
    </row>
    <row r="864" spans="1:21" x14ac:dyDescent="0.25">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0.83435448577680527</v>
      </c>
      <c r="P864" s="72">
        <f t="shared" si="327"/>
        <v>0</v>
      </c>
      <c r="Q864" s="72">
        <f t="shared" si="328"/>
        <v>0.54166666666666663</v>
      </c>
      <c r="R864" s="72">
        <f t="shared" si="329"/>
        <v>0.45833333333333337</v>
      </c>
      <c r="S864" s="72">
        <f t="shared" si="330"/>
        <v>0.9815935126785944</v>
      </c>
      <c r="T864" s="72">
        <f t="shared" si="331"/>
        <v>0.99098983138113017</v>
      </c>
      <c r="U864" s="72">
        <f t="shared" si="332"/>
        <v>1</v>
      </c>
    </row>
    <row r="865" spans="1:21" x14ac:dyDescent="0.25">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0.83368708971553607</v>
      </c>
      <c r="P865" s="72">
        <f t="shared" si="327"/>
        <v>0</v>
      </c>
      <c r="Q865" s="72">
        <f t="shared" si="328"/>
        <v>0.45833333333333331</v>
      </c>
      <c r="R865" s="72">
        <f t="shared" si="329"/>
        <v>0.54166666666666674</v>
      </c>
      <c r="S865" s="72">
        <f t="shared" si="330"/>
        <v>0.98080834084180712</v>
      </c>
      <c r="T865" s="72">
        <f t="shared" si="331"/>
        <v>0.99020465954434289</v>
      </c>
      <c r="U865" s="72">
        <f t="shared" si="332"/>
        <v>1</v>
      </c>
    </row>
    <row r="866" spans="1:21" x14ac:dyDescent="0.25">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0.83300875273522967</v>
      </c>
      <c r="P866" s="72">
        <f t="shared" si="327"/>
        <v>0</v>
      </c>
      <c r="Q866" s="72">
        <f t="shared" si="328"/>
        <v>0.375</v>
      </c>
      <c r="R866" s="72">
        <f t="shared" si="329"/>
        <v>0.625</v>
      </c>
      <c r="S866" s="72">
        <f t="shared" si="330"/>
        <v>0.98001029733556433</v>
      </c>
      <c r="T866" s="72">
        <f t="shared" si="331"/>
        <v>0.98940661603810021</v>
      </c>
      <c r="U866" s="72">
        <f t="shared" si="332"/>
        <v>1</v>
      </c>
    </row>
    <row r="867" spans="1:21" x14ac:dyDescent="0.25">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0.83234135667396059</v>
      </c>
      <c r="P867" s="72">
        <f t="shared" si="327"/>
        <v>0</v>
      </c>
      <c r="Q867" s="72">
        <f t="shared" si="328"/>
        <v>0.29166666666666669</v>
      </c>
      <c r="R867" s="72">
        <f t="shared" si="329"/>
        <v>0.70833333333333326</v>
      </c>
      <c r="S867" s="72">
        <f t="shared" si="330"/>
        <v>0.97922512549877716</v>
      </c>
      <c r="T867" s="72">
        <f t="shared" si="331"/>
        <v>0.98862144420131282</v>
      </c>
      <c r="U867" s="72">
        <f t="shared" si="332"/>
        <v>1</v>
      </c>
    </row>
    <row r="868" spans="1:21" x14ac:dyDescent="0.25">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0.83167396061269139</v>
      </c>
      <c r="P868" s="72">
        <f t="shared" si="327"/>
        <v>0</v>
      </c>
      <c r="Q868" s="72">
        <f t="shared" si="328"/>
        <v>0.20833333333333334</v>
      </c>
      <c r="R868" s="72">
        <f t="shared" si="329"/>
        <v>0.79166666666666663</v>
      </c>
      <c r="S868" s="72">
        <f t="shared" si="330"/>
        <v>0.97843995366198988</v>
      </c>
      <c r="T868" s="72">
        <f t="shared" si="331"/>
        <v>0.98783627236452576</v>
      </c>
      <c r="U868" s="72">
        <f t="shared" si="332"/>
        <v>1</v>
      </c>
    </row>
    <row r="869" spans="1:21" x14ac:dyDescent="0.25">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0.8310065645514223</v>
      </c>
      <c r="P869" s="72">
        <f t="shared" si="327"/>
        <v>0</v>
      </c>
      <c r="Q869" s="72">
        <f t="shared" si="328"/>
        <v>0.125</v>
      </c>
      <c r="R869" s="72">
        <f t="shared" si="329"/>
        <v>0.875</v>
      </c>
      <c r="S869" s="72">
        <f t="shared" si="330"/>
        <v>0.97765478182520271</v>
      </c>
      <c r="T869" s="72">
        <f t="shared" si="331"/>
        <v>0.98705110052773837</v>
      </c>
      <c r="U869" s="72">
        <f t="shared" si="332"/>
        <v>1</v>
      </c>
    </row>
    <row r="870" spans="1:21" x14ac:dyDescent="0.25">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0.8303391684901531</v>
      </c>
      <c r="P870" s="72">
        <f t="shared" si="327"/>
        <v>0</v>
      </c>
      <c r="Q870" s="72">
        <f t="shared" si="328"/>
        <v>4.1666666666666664E-2</v>
      </c>
      <c r="R870" s="72">
        <f t="shared" si="329"/>
        <v>0.95833333333333337</v>
      </c>
      <c r="S870" s="72">
        <f t="shared" si="330"/>
        <v>0.97686960998841543</v>
      </c>
      <c r="T870" s="72">
        <f t="shared" si="331"/>
        <v>0.9862659286909512</v>
      </c>
      <c r="U870" s="72">
        <f t="shared" si="332"/>
        <v>1</v>
      </c>
    </row>
    <row r="871" spans="1:21" x14ac:dyDescent="0.25">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0.83</v>
      </c>
      <c r="P871" s="72">
        <f t="shared" si="327"/>
        <v>0</v>
      </c>
      <c r="Q871" s="72">
        <f t="shared" si="328"/>
        <v>0</v>
      </c>
      <c r="R871" s="72">
        <f t="shared" si="329"/>
        <v>0.95833333333333337</v>
      </c>
      <c r="S871" s="72">
        <f t="shared" si="330"/>
        <v>0.97647058823529409</v>
      </c>
      <c r="T871" s="72">
        <f t="shared" si="331"/>
        <v>0.99486420388724417</v>
      </c>
      <c r="U871" s="72">
        <f t="shared" si="332"/>
        <v>1</v>
      </c>
    </row>
    <row r="872" spans="1:21" x14ac:dyDescent="0.25">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0.83</v>
      </c>
      <c r="P872" s="72">
        <f t="shared" si="327"/>
        <v>0</v>
      </c>
      <c r="Q872" s="72">
        <f t="shared" si="328"/>
        <v>0</v>
      </c>
      <c r="R872" s="72">
        <f t="shared" si="329"/>
        <v>0.875</v>
      </c>
      <c r="S872" s="72">
        <f t="shared" si="330"/>
        <v>0.97647058823529409</v>
      </c>
      <c r="T872" s="72">
        <f t="shared" si="331"/>
        <v>0.99410477538936803</v>
      </c>
      <c r="U872" s="72">
        <f t="shared" si="332"/>
        <v>1</v>
      </c>
    </row>
    <row r="873" spans="1:21" x14ac:dyDescent="0.25">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0.83</v>
      </c>
      <c r="P873" s="72">
        <f t="shared" si="327"/>
        <v>0</v>
      </c>
      <c r="Q873" s="72">
        <f t="shared" si="328"/>
        <v>0</v>
      </c>
      <c r="R873" s="72">
        <f t="shared" si="329"/>
        <v>0.79166666666666663</v>
      </c>
      <c r="S873" s="72">
        <f t="shared" si="330"/>
        <v>0.97647058823529409</v>
      </c>
      <c r="T873" s="72">
        <f t="shared" si="331"/>
        <v>0.99334534689149179</v>
      </c>
      <c r="U873" s="72">
        <f t="shared" si="332"/>
        <v>1</v>
      </c>
    </row>
    <row r="874" spans="1:21" x14ac:dyDescent="0.25">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0.83</v>
      </c>
      <c r="P874" s="72">
        <f t="shared" si="327"/>
        <v>0</v>
      </c>
      <c r="Q874" s="72">
        <f t="shared" si="328"/>
        <v>0</v>
      </c>
      <c r="R874" s="72">
        <f t="shared" si="329"/>
        <v>0.70833333333333337</v>
      </c>
      <c r="S874" s="72">
        <f t="shared" si="330"/>
        <v>0.97647058823529409</v>
      </c>
      <c r="T874" s="72">
        <f t="shared" si="331"/>
        <v>0.99256017505470462</v>
      </c>
      <c r="U874" s="72">
        <f t="shared" si="332"/>
        <v>1</v>
      </c>
    </row>
    <row r="875" spans="1:21" x14ac:dyDescent="0.25">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0.83</v>
      </c>
      <c r="P875" s="72">
        <f t="shared" si="327"/>
        <v>0</v>
      </c>
      <c r="Q875" s="72">
        <f t="shared" si="328"/>
        <v>0</v>
      </c>
      <c r="R875" s="72">
        <f t="shared" si="329"/>
        <v>0.625</v>
      </c>
      <c r="S875" s="72">
        <f t="shared" si="330"/>
        <v>0.97647058823529409</v>
      </c>
      <c r="T875" s="72">
        <f t="shared" si="331"/>
        <v>0.99177500321791734</v>
      </c>
      <c r="U875" s="72">
        <f t="shared" si="332"/>
        <v>1</v>
      </c>
    </row>
    <row r="876" spans="1:21" x14ac:dyDescent="0.25">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0.83</v>
      </c>
      <c r="P876" s="72">
        <f t="shared" si="327"/>
        <v>0</v>
      </c>
      <c r="Q876" s="72">
        <f t="shared" si="328"/>
        <v>0</v>
      </c>
      <c r="R876" s="72">
        <f t="shared" si="329"/>
        <v>0.54166666666666663</v>
      </c>
      <c r="S876" s="72">
        <f t="shared" si="330"/>
        <v>0.97647058823529409</v>
      </c>
      <c r="T876" s="72">
        <f t="shared" si="331"/>
        <v>0.99098983138113017</v>
      </c>
      <c r="U876" s="72">
        <f t="shared" si="332"/>
        <v>1</v>
      </c>
    </row>
    <row r="877" spans="1:21" x14ac:dyDescent="0.25">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0.83</v>
      </c>
      <c r="P877" s="72">
        <f t="shared" si="327"/>
        <v>0</v>
      </c>
      <c r="Q877" s="72">
        <f t="shared" si="328"/>
        <v>0</v>
      </c>
      <c r="R877" s="72">
        <f t="shared" si="329"/>
        <v>0.45833333333333331</v>
      </c>
      <c r="S877" s="72">
        <f t="shared" si="330"/>
        <v>0.97647058823529409</v>
      </c>
      <c r="T877" s="72">
        <f t="shared" si="331"/>
        <v>0.99020465954434289</v>
      </c>
      <c r="U877" s="72">
        <f t="shared" si="332"/>
        <v>1</v>
      </c>
    </row>
    <row r="878" spans="1:21" x14ac:dyDescent="0.25">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0.83</v>
      </c>
      <c r="P878" s="72">
        <f t="shared" si="327"/>
        <v>0</v>
      </c>
      <c r="Q878" s="72">
        <f t="shared" si="328"/>
        <v>0</v>
      </c>
      <c r="R878" s="72">
        <f t="shared" si="329"/>
        <v>0.375</v>
      </c>
      <c r="S878" s="72">
        <f t="shared" si="330"/>
        <v>0.97647058823529409</v>
      </c>
      <c r="T878" s="72">
        <f t="shared" si="331"/>
        <v>0.98940661603810021</v>
      </c>
      <c r="U878" s="72">
        <f t="shared" si="332"/>
        <v>1</v>
      </c>
    </row>
    <row r="879" spans="1:21" x14ac:dyDescent="0.25">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0.83</v>
      </c>
      <c r="P879" s="72">
        <f t="shared" si="327"/>
        <v>0</v>
      </c>
      <c r="Q879" s="72">
        <f t="shared" si="328"/>
        <v>0</v>
      </c>
      <c r="R879" s="72">
        <f t="shared" si="329"/>
        <v>0.29166666666666669</v>
      </c>
      <c r="S879" s="72">
        <f t="shared" si="330"/>
        <v>0.97647058823529409</v>
      </c>
      <c r="T879" s="72">
        <f t="shared" si="331"/>
        <v>0.98862144420131282</v>
      </c>
      <c r="U879" s="72">
        <f t="shared" si="332"/>
        <v>1</v>
      </c>
    </row>
    <row r="880" spans="1:21" x14ac:dyDescent="0.25">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0.83</v>
      </c>
      <c r="P880" s="72">
        <f t="shared" si="327"/>
        <v>0</v>
      </c>
      <c r="Q880" s="72">
        <f t="shared" si="328"/>
        <v>0</v>
      </c>
      <c r="R880" s="72">
        <f t="shared" si="329"/>
        <v>0.20833333333333334</v>
      </c>
      <c r="S880" s="72">
        <f t="shared" si="330"/>
        <v>0.97647058823529409</v>
      </c>
      <c r="T880" s="72">
        <f t="shared" si="331"/>
        <v>0.98783627236452576</v>
      </c>
      <c r="U880" s="72">
        <f t="shared" si="332"/>
        <v>1</v>
      </c>
    </row>
    <row r="881" spans="1:21" x14ac:dyDescent="0.25">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0.83</v>
      </c>
      <c r="P881" s="72">
        <f t="shared" si="327"/>
        <v>0</v>
      </c>
      <c r="Q881" s="72">
        <f t="shared" si="328"/>
        <v>0</v>
      </c>
      <c r="R881" s="72">
        <f t="shared" si="329"/>
        <v>0.125</v>
      </c>
      <c r="S881" s="72">
        <f t="shared" si="330"/>
        <v>0.97647058823529409</v>
      </c>
      <c r="T881" s="72">
        <f t="shared" si="331"/>
        <v>0.98705110052773837</v>
      </c>
      <c r="U881" s="72">
        <f t="shared" si="332"/>
        <v>1</v>
      </c>
    </row>
    <row r="882" spans="1:21" x14ac:dyDescent="0.25">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0.83</v>
      </c>
      <c r="P882" s="72">
        <f t="shared" si="327"/>
        <v>0</v>
      </c>
      <c r="Q882" s="72">
        <f t="shared" si="328"/>
        <v>0</v>
      </c>
      <c r="R882" s="72">
        <f t="shared" si="329"/>
        <v>4.1666666666666664E-2</v>
      </c>
      <c r="S882" s="72">
        <f t="shared" si="330"/>
        <v>0.97647058823529409</v>
      </c>
      <c r="T882" s="72">
        <f t="shared" si="331"/>
        <v>0.9862659286909512</v>
      </c>
      <c r="U882" s="72">
        <f t="shared" si="332"/>
        <v>1</v>
      </c>
    </row>
    <row r="883" spans="1:21" x14ac:dyDescent="0.25">
      <c r="A883" s="77" t="s">
        <v>1209</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0.8380041940189642</v>
      </c>
      <c r="G883" s="169">
        <f>SUMPRODUCT($H$835:$H$882,$R$835:$R$882,$O$835:$O$882)/SUMPRODUCT($H$835:$H$882,$R$835:$R$882)</f>
        <v>0.83134364362995383</v>
      </c>
    </row>
    <row r="886" spans="1:21" x14ac:dyDescent="0.25">
      <c r="A886" s="77" t="str">
        <f>INDEX(lr_key,16)</f>
        <v>BU-A|NJ</v>
      </c>
      <c r="B886" s="77" t="str">
        <f>INDEX(lr_state,16)</f>
        <v>NJ</v>
      </c>
      <c r="C886" s="52">
        <f>nr_TermMonths</f>
        <v>12</v>
      </c>
      <c r="D886" s="52">
        <f>IF(COUNTIF(se_state,$B886)=0,0,MATCH($B886,se_state,0))</f>
        <v>0</v>
      </c>
      <c r="E886" s="54">
        <f>IF($D886=0,0,INDEX(se_sum,$D886))</f>
        <v>0</v>
      </c>
      <c r="F886" s="169">
        <f>IF(N(INDEX(lr_mind,16))=0,1,INDEX(lr_mind,16))</f>
        <v>0.85</v>
      </c>
      <c r="G886" s="169">
        <f>IF(N(INDEX(lr_m0,16))=0,1,INDEX(lr_m0,16))</f>
        <v>0.84</v>
      </c>
      <c r="H886" s="51">
        <f>IF(N(INDEX(lr_m0asof,16))=0,DATE(nr_PlanYear-1,10,1),INDEX(lr_m0asof,16))</f>
        <v>46295</v>
      </c>
      <c r="I886" s="169">
        <f>IF(N(INDEX(lr_m1,16))=0,1,INDEX(lr_m1,16))</f>
        <v>0.84499999999999997</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25">
      <c r="A887" s="77">
        <f>EDATE($H$886,-12)+1</f>
        <v>45931</v>
      </c>
      <c r="B887" s="77">
        <f>$H$886+1</f>
        <v>46296</v>
      </c>
      <c r="C887" s="77">
        <f>DATE(nr_PlanYear,12,31)+1</f>
        <v>46753</v>
      </c>
      <c r="D887" s="77">
        <f>DATE(nr_PlanYear+1,12,31)+1</f>
        <v>47119</v>
      </c>
      <c r="E887" s="77">
        <f>IF(N($J$886)=0,$F$887-($G$887-$F$887)/($C$887-$B$887)*($B$887-$A$887),$J$886)</f>
        <v>0.8360065645514223</v>
      </c>
      <c r="F887" s="77">
        <f>$G$886</f>
        <v>0.84</v>
      </c>
      <c r="G887" s="77">
        <f>$I$886</f>
        <v>0.84499999999999997</v>
      </c>
      <c r="H887" s="77">
        <f>IF(N($K$886)=0,$I$886,$K$886)</f>
        <v>0.84499999999999997</v>
      </c>
      <c r="I887" s="77">
        <f>($F$887-$E$887)/($B$887-$A$887)</f>
        <v>1.0940919037199081E-5</v>
      </c>
      <c r="J887" s="77">
        <f>($G$887-$F$887)/($C$887-$B$887)</f>
        <v>1.0940919037199135E-5</v>
      </c>
      <c r="K887" s="77">
        <f>($H$887-$G$887)/($D$887-$C$887)</f>
        <v>0</v>
      </c>
    </row>
    <row r="888" spans="1:21" ht="24" x14ac:dyDescent="0.25">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25">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0.83318927789934349</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0.98022267988158063</v>
      </c>
      <c r="T889" s="72">
        <f t="shared" ref="T889:T936" si="351">IF($G889&lt;nr_MStartP,$S889,$T877*(1+IF($G889&lt;nr_MStartP1,$M$886,$N$886)))</f>
        <v>0.98022267988158063</v>
      </c>
      <c r="U889" s="72">
        <f t="shared" ref="U889:U936" si="352">IF($L$886,$T889,$N889)</f>
        <v>1</v>
      </c>
    </row>
    <row r="890" spans="1:21" x14ac:dyDescent="0.25">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0.83351203501094095</v>
      </c>
      <c r="P890" s="72">
        <f t="shared" si="347"/>
        <v>0.125</v>
      </c>
      <c r="Q890" s="72">
        <f t="shared" si="348"/>
        <v>0</v>
      </c>
      <c r="R890" s="72">
        <f t="shared" si="349"/>
        <v>0</v>
      </c>
      <c r="S890" s="72">
        <f t="shared" si="350"/>
        <v>0.98060239413051875</v>
      </c>
      <c r="T890" s="72">
        <f t="shared" si="351"/>
        <v>0.98060239413051875</v>
      </c>
      <c r="U890" s="72">
        <f t="shared" si="352"/>
        <v>1</v>
      </c>
    </row>
    <row r="891" spans="1:21" x14ac:dyDescent="0.25">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0.8338347921225383</v>
      </c>
      <c r="P891" s="72">
        <f t="shared" si="347"/>
        <v>0.20833333333333337</v>
      </c>
      <c r="Q891" s="72">
        <f t="shared" si="348"/>
        <v>0</v>
      </c>
      <c r="R891" s="72">
        <f t="shared" si="349"/>
        <v>0</v>
      </c>
      <c r="S891" s="72">
        <f t="shared" si="350"/>
        <v>0.98098210837945687</v>
      </c>
      <c r="T891" s="72">
        <f t="shared" si="351"/>
        <v>0.98098210837945687</v>
      </c>
      <c r="U891" s="72">
        <f t="shared" si="352"/>
        <v>1</v>
      </c>
    </row>
    <row r="892" spans="1:21" x14ac:dyDescent="0.25">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0.83416849015317285</v>
      </c>
      <c r="P892" s="72">
        <f t="shared" si="347"/>
        <v>0.29166666666666663</v>
      </c>
      <c r="Q892" s="72">
        <f t="shared" si="348"/>
        <v>0</v>
      </c>
      <c r="R892" s="72">
        <f t="shared" si="349"/>
        <v>0</v>
      </c>
      <c r="S892" s="72">
        <f t="shared" si="350"/>
        <v>0.9813746942978504</v>
      </c>
      <c r="T892" s="72">
        <f t="shared" si="351"/>
        <v>0.9813746942978504</v>
      </c>
      <c r="U892" s="72">
        <f t="shared" si="352"/>
        <v>1</v>
      </c>
    </row>
    <row r="893" spans="1:21" x14ac:dyDescent="0.25">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0.83450218818380739</v>
      </c>
      <c r="P893" s="72">
        <f t="shared" si="347"/>
        <v>0.375</v>
      </c>
      <c r="Q893" s="72">
        <f t="shared" si="348"/>
        <v>0</v>
      </c>
      <c r="R893" s="72">
        <f t="shared" si="349"/>
        <v>0</v>
      </c>
      <c r="S893" s="72">
        <f t="shared" si="350"/>
        <v>0.98176728021624404</v>
      </c>
      <c r="T893" s="72">
        <f t="shared" si="351"/>
        <v>0.98176728021624404</v>
      </c>
      <c r="U893" s="72">
        <f t="shared" si="352"/>
        <v>1</v>
      </c>
    </row>
    <row r="894" spans="1:21" x14ac:dyDescent="0.25">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0.83483588621444205</v>
      </c>
      <c r="P894" s="72">
        <f t="shared" si="347"/>
        <v>0.45833333333333337</v>
      </c>
      <c r="Q894" s="72">
        <f t="shared" si="348"/>
        <v>0</v>
      </c>
      <c r="R894" s="72">
        <f t="shared" si="349"/>
        <v>0</v>
      </c>
      <c r="S894" s="72">
        <f t="shared" si="350"/>
        <v>0.98215986613463768</v>
      </c>
      <c r="T894" s="72">
        <f t="shared" si="351"/>
        <v>0.98215986613463768</v>
      </c>
      <c r="U894" s="72">
        <f t="shared" si="352"/>
        <v>1</v>
      </c>
    </row>
    <row r="895" spans="1:21" x14ac:dyDescent="0.25">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0.83516958424507659</v>
      </c>
      <c r="P895" s="72">
        <f t="shared" si="347"/>
        <v>0.54166666666666674</v>
      </c>
      <c r="Q895" s="72">
        <f t="shared" si="348"/>
        <v>0</v>
      </c>
      <c r="R895" s="72">
        <f t="shared" si="349"/>
        <v>0</v>
      </c>
      <c r="S895" s="72">
        <f t="shared" si="350"/>
        <v>0.98255245205303132</v>
      </c>
      <c r="T895" s="72">
        <f t="shared" si="351"/>
        <v>0.98255245205303132</v>
      </c>
      <c r="U895" s="72">
        <f t="shared" si="352"/>
        <v>1</v>
      </c>
    </row>
    <row r="896" spans="1:21" x14ac:dyDescent="0.25">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0.83550875273522973</v>
      </c>
      <c r="P896" s="72">
        <f t="shared" si="347"/>
        <v>0.625</v>
      </c>
      <c r="Q896" s="72">
        <f t="shared" si="348"/>
        <v>0</v>
      </c>
      <c r="R896" s="72">
        <f t="shared" si="349"/>
        <v>0</v>
      </c>
      <c r="S896" s="72">
        <f t="shared" si="350"/>
        <v>0.98295147380615266</v>
      </c>
      <c r="T896" s="72">
        <f t="shared" si="351"/>
        <v>0.98295147380615266</v>
      </c>
      <c r="U896" s="72">
        <f t="shared" si="352"/>
        <v>1</v>
      </c>
    </row>
    <row r="897" spans="1:21" x14ac:dyDescent="0.25">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0.83584245076586428</v>
      </c>
      <c r="P897" s="72">
        <f t="shared" si="347"/>
        <v>0.70833333333333326</v>
      </c>
      <c r="Q897" s="72">
        <f t="shared" si="348"/>
        <v>0</v>
      </c>
      <c r="R897" s="72">
        <f t="shared" si="349"/>
        <v>0</v>
      </c>
      <c r="S897" s="72">
        <f t="shared" si="350"/>
        <v>0.98334405972454619</v>
      </c>
      <c r="T897" s="72">
        <f t="shared" si="351"/>
        <v>0.98334405972454619</v>
      </c>
      <c r="U897" s="72">
        <f t="shared" si="352"/>
        <v>1</v>
      </c>
    </row>
    <row r="898" spans="1:21" x14ac:dyDescent="0.25">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0.83617614879649893</v>
      </c>
      <c r="P898" s="72">
        <f t="shared" si="347"/>
        <v>0.79166666666666663</v>
      </c>
      <c r="Q898" s="72">
        <f t="shared" si="348"/>
        <v>0</v>
      </c>
      <c r="R898" s="72">
        <f t="shared" si="349"/>
        <v>0</v>
      </c>
      <c r="S898" s="72">
        <f t="shared" si="350"/>
        <v>0.98373664564293994</v>
      </c>
      <c r="T898" s="72">
        <f t="shared" si="351"/>
        <v>0.98373664564293994</v>
      </c>
      <c r="U898" s="72">
        <f t="shared" si="352"/>
        <v>1</v>
      </c>
    </row>
    <row r="899" spans="1:21" x14ac:dyDescent="0.25">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0.83650984682713347</v>
      </c>
      <c r="P899" s="72">
        <f t="shared" si="347"/>
        <v>0.875</v>
      </c>
      <c r="Q899" s="72">
        <f t="shared" si="348"/>
        <v>0</v>
      </c>
      <c r="R899" s="72">
        <f t="shared" si="349"/>
        <v>0</v>
      </c>
      <c r="S899" s="72">
        <f t="shared" si="350"/>
        <v>0.98412923156133347</v>
      </c>
      <c r="T899" s="72">
        <f t="shared" si="351"/>
        <v>0.98412923156133347</v>
      </c>
      <c r="U899" s="72">
        <f t="shared" si="352"/>
        <v>1</v>
      </c>
    </row>
    <row r="900" spans="1:21" x14ac:dyDescent="0.25">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0.83684354485776802</v>
      </c>
      <c r="P900" s="72">
        <f t="shared" si="347"/>
        <v>0.95833333333333337</v>
      </c>
      <c r="Q900" s="72">
        <f t="shared" si="348"/>
        <v>0</v>
      </c>
      <c r="R900" s="72">
        <f t="shared" si="349"/>
        <v>0</v>
      </c>
      <c r="S900" s="72">
        <f t="shared" si="350"/>
        <v>0.98452181747972711</v>
      </c>
      <c r="T900" s="72">
        <f t="shared" si="351"/>
        <v>0.98452181747972711</v>
      </c>
      <c r="U900" s="72">
        <f t="shared" si="352"/>
        <v>1</v>
      </c>
    </row>
    <row r="901" spans="1:21" x14ac:dyDescent="0.25">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0.83718271334792116</v>
      </c>
      <c r="P901" s="72">
        <f t="shared" si="347"/>
        <v>0.95833333333333337</v>
      </c>
      <c r="Q901" s="72">
        <f t="shared" si="348"/>
        <v>4.166666666666663E-2</v>
      </c>
      <c r="R901" s="72">
        <f t="shared" si="349"/>
        <v>0</v>
      </c>
      <c r="S901" s="72">
        <f t="shared" si="350"/>
        <v>0.98492083923284846</v>
      </c>
      <c r="T901" s="72">
        <f t="shared" si="351"/>
        <v>0.98492083923284846</v>
      </c>
      <c r="U901" s="72">
        <f t="shared" si="352"/>
        <v>1</v>
      </c>
    </row>
    <row r="902" spans="1:21" x14ac:dyDescent="0.25">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0.83750547045951862</v>
      </c>
      <c r="P902" s="72">
        <f t="shared" si="347"/>
        <v>0.875</v>
      </c>
      <c r="Q902" s="72">
        <f t="shared" si="348"/>
        <v>0.125</v>
      </c>
      <c r="R902" s="72">
        <f t="shared" si="349"/>
        <v>0</v>
      </c>
      <c r="S902" s="72">
        <f t="shared" si="350"/>
        <v>0.98530055348178669</v>
      </c>
      <c r="T902" s="72">
        <f t="shared" si="351"/>
        <v>0.98530055348178669</v>
      </c>
      <c r="U902" s="72">
        <f t="shared" si="352"/>
        <v>1</v>
      </c>
    </row>
    <row r="903" spans="1:21" x14ac:dyDescent="0.25">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0.83782822757111597</v>
      </c>
      <c r="P903" s="72">
        <f t="shared" si="347"/>
        <v>0.79166666666666663</v>
      </c>
      <c r="Q903" s="72">
        <f t="shared" si="348"/>
        <v>0.20833333333333337</v>
      </c>
      <c r="R903" s="72">
        <f t="shared" si="349"/>
        <v>0</v>
      </c>
      <c r="S903" s="72">
        <f t="shared" si="350"/>
        <v>0.9856802677307247</v>
      </c>
      <c r="T903" s="72">
        <f t="shared" si="351"/>
        <v>0.9856802677307247</v>
      </c>
      <c r="U903" s="72">
        <f t="shared" si="352"/>
        <v>1</v>
      </c>
    </row>
    <row r="904" spans="1:21" x14ac:dyDescent="0.25">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0.83816192560175051</v>
      </c>
      <c r="P904" s="72">
        <f t="shared" si="347"/>
        <v>0.70833333333333337</v>
      </c>
      <c r="Q904" s="72">
        <f t="shared" si="348"/>
        <v>0.29166666666666663</v>
      </c>
      <c r="R904" s="72">
        <f t="shared" si="349"/>
        <v>0</v>
      </c>
      <c r="S904" s="72">
        <f t="shared" si="350"/>
        <v>1.0057943107221006</v>
      </c>
      <c r="T904" s="72">
        <f t="shared" si="351"/>
        <v>1.0057943107221006</v>
      </c>
      <c r="U904" s="72">
        <f t="shared" si="352"/>
        <v>1.02</v>
      </c>
    </row>
    <row r="905" spans="1:21" x14ac:dyDescent="0.25">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0.83849562363238506</v>
      </c>
      <c r="P905" s="72">
        <f t="shared" si="347"/>
        <v>0.625</v>
      </c>
      <c r="Q905" s="72">
        <f t="shared" si="348"/>
        <v>0.375</v>
      </c>
      <c r="R905" s="72">
        <f t="shared" si="349"/>
        <v>0</v>
      </c>
      <c r="S905" s="72">
        <f t="shared" si="350"/>
        <v>1.006194748358862</v>
      </c>
      <c r="T905" s="72">
        <f t="shared" si="351"/>
        <v>1.006194748358862</v>
      </c>
      <c r="U905" s="72">
        <f t="shared" si="352"/>
        <v>1.02</v>
      </c>
    </row>
    <row r="906" spans="1:21" x14ac:dyDescent="0.25">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0.83882932166301971</v>
      </c>
      <c r="P906" s="72">
        <f t="shared" si="347"/>
        <v>0.54166666666666663</v>
      </c>
      <c r="Q906" s="72">
        <f t="shared" si="348"/>
        <v>0.45833333333333337</v>
      </c>
      <c r="R906" s="72">
        <f t="shared" si="349"/>
        <v>0</v>
      </c>
      <c r="S906" s="72">
        <f t="shared" si="350"/>
        <v>1.0065951859956237</v>
      </c>
      <c r="T906" s="72">
        <f t="shared" si="351"/>
        <v>1.0065951859956237</v>
      </c>
      <c r="U906" s="72">
        <f t="shared" si="352"/>
        <v>1.02</v>
      </c>
    </row>
    <row r="907" spans="1:21" x14ac:dyDescent="0.25">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0.83916301969365426</v>
      </c>
      <c r="P907" s="72">
        <f t="shared" si="347"/>
        <v>0.45833333333333331</v>
      </c>
      <c r="Q907" s="72">
        <f t="shared" si="348"/>
        <v>0.54166666666666674</v>
      </c>
      <c r="R907" s="72">
        <f t="shared" si="349"/>
        <v>0</v>
      </c>
      <c r="S907" s="72">
        <f t="shared" si="350"/>
        <v>1.0069956236323852</v>
      </c>
      <c r="T907" s="72">
        <f t="shared" si="351"/>
        <v>1.0069956236323852</v>
      </c>
      <c r="U907" s="72">
        <f t="shared" si="352"/>
        <v>1.02</v>
      </c>
    </row>
    <row r="908" spans="1:21" x14ac:dyDescent="0.25">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0.8395021881838074</v>
      </c>
      <c r="P908" s="72">
        <f t="shared" si="347"/>
        <v>0.375</v>
      </c>
      <c r="Q908" s="72">
        <f t="shared" si="348"/>
        <v>0.625</v>
      </c>
      <c r="R908" s="72">
        <f t="shared" si="349"/>
        <v>0</v>
      </c>
      <c r="S908" s="72">
        <f t="shared" si="350"/>
        <v>1.0074026258205688</v>
      </c>
      <c r="T908" s="72">
        <f t="shared" si="351"/>
        <v>1.0074026258205688</v>
      </c>
      <c r="U908" s="72">
        <f t="shared" si="352"/>
        <v>1.02</v>
      </c>
    </row>
    <row r="909" spans="1:21" x14ac:dyDescent="0.25">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0.83983588621444194</v>
      </c>
      <c r="P909" s="72">
        <f t="shared" si="347"/>
        <v>0.29166666666666669</v>
      </c>
      <c r="Q909" s="72">
        <f t="shared" si="348"/>
        <v>0.70833333333333326</v>
      </c>
      <c r="R909" s="72">
        <f t="shared" si="349"/>
        <v>0</v>
      </c>
      <c r="S909" s="72">
        <f t="shared" si="350"/>
        <v>1.0078030634573303</v>
      </c>
      <c r="T909" s="72">
        <f t="shared" si="351"/>
        <v>1.0078030634573303</v>
      </c>
      <c r="U909" s="72">
        <f t="shared" si="352"/>
        <v>1.02</v>
      </c>
    </row>
    <row r="910" spans="1:21" x14ac:dyDescent="0.25">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0.84016958424507659</v>
      </c>
      <c r="P910" s="72">
        <f t="shared" si="347"/>
        <v>0.20833333333333334</v>
      </c>
      <c r="Q910" s="72">
        <f t="shared" si="348"/>
        <v>0.79166666666666663</v>
      </c>
      <c r="R910" s="72">
        <f t="shared" si="349"/>
        <v>0</v>
      </c>
      <c r="S910" s="72">
        <f t="shared" si="350"/>
        <v>1.008203501094092</v>
      </c>
      <c r="T910" s="72">
        <f t="shared" si="351"/>
        <v>1.008203501094092</v>
      </c>
      <c r="U910" s="72">
        <f t="shared" si="352"/>
        <v>1.02</v>
      </c>
    </row>
    <row r="911" spans="1:21" x14ac:dyDescent="0.25">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0.84050328227571114</v>
      </c>
      <c r="P911" s="72">
        <f t="shared" si="347"/>
        <v>0.125</v>
      </c>
      <c r="Q911" s="72">
        <f t="shared" si="348"/>
        <v>0.875</v>
      </c>
      <c r="R911" s="72">
        <f t="shared" si="349"/>
        <v>0</v>
      </c>
      <c r="S911" s="72">
        <f t="shared" si="350"/>
        <v>1.0086039387308534</v>
      </c>
      <c r="T911" s="72">
        <f t="shared" si="351"/>
        <v>1.0086039387308534</v>
      </c>
      <c r="U911" s="72">
        <f t="shared" si="352"/>
        <v>1.02</v>
      </c>
    </row>
    <row r="912" spans="1:21" x14ac:dyDescent="0.25">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0.84083698030634568</v>
      </c>
      <c r="P912" s="72">
        <f t="shared" si="347"/>
        <v>4.1666666666666664E-2</v>
      </c>
      <c r="Q912" s="72">
        <f t="shared" si="348"/>
        <v>0.95833333333333337</v>
      </c>
      <c r="R912" s="72">
        <f t="shared" si="349"/>
        <v>0</v>
      </c>
      <c r="S912" s="72">
        <f t="shared" si="350"/>
        <v>1.0090043763676149</v>
      </c>
      <c r="T912" s="72">
        <f t="shared" si="351"/>
        <v>1.0090043763676149</v>
      </c>
      <c r="U912" s="72">
        <f t="shared" si="352"/>
        <v>1.02</v>
      </c>
    </row>
    <row r="913" spans="1:21" x14ac:dyDescent="0.25">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0.84117614879649882</v>
      </c>
      <c r="P913" s="72">
        <f t="shared" si="347"/>
        <v>0</v>
      </c>
      <c r="Q913" s="72">
        <f t="shared" si="348"/>
        <v>0.95833333333333337</v>
      </c>
      <c r="R913" s="72">
        <f t="shared" si="349"/>
        <v>4.166666666666663E-2</v>
      </c>
      <c r="S913" s="72">
        <f t="shared" si="350"/>
        <v>1.0094113785557985</v>
      </c>
      <c r="T913" s="72">
        <f t="shared" si="351"/>
        <v>0.98492083923284846</v>
      </c>
      <c r="U913" s="72">
        <f t="shared" si="352"/>
        <v>1.02</v>
      </c>
    </row>
    <row r="914" spans="1:21" x14ac:dyDescent="0.25">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0.84149890590809628</v>
      </c>
      <c r="P914" s="72">
        <f t="shared" si="347"/>
        <v>0</v>
      </c>
      <c r="Q914" s="72">
        <f t="shared" si="348"/>
        <v>0.875</v>
      </c>
      <c r="R914" s="72">
        <f t="shared" si="349"/>
        <v>0.125</v>
      </c>
      <c r="S914" s="72">
        <f t="shared" si="350"/>
        <v>1.0097986870897155</v>
      </c>
      <c r="T914" s="72">
        <f t="shared" si="351"/>
        <v>0.98530055348178669</v>
      </c>
      <c r="U914" s="72">
        <f t="shared" si="352"/>
        <v>1.02</v>
      </c>
    </row>
    <row r="915" spans="1:21" x14ac:dyDescent="0.25">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0.84182166301969363</v>
      </c>
      <c r="P915" s="72">
        <f t="shared" si="347"/>
        <v>0</v>
      </c>
      <c r="Q915" s="72">
        <f t="shared" si="348"/>
        <v>0.79166666666666663</v>
      </c>
      <c r="R915" s="72">
        <f t="shared" si="349"/>
        <v>0.20833333333333337</v>
      </c>
      <c r="S915" s="72">
        <f t="shared" si="350"/>
        <v>1.0101859956236323</v>
      </c>
      <c r="T915" s="72">
        <f t="shared" si="351"/>
        <v>0.9856802677307247</v>
      </c>
      <c r="U915" s="72">
        <f t="shared" si="352"/>
        <v>1.02</v>
      </c>
    </row>
    <row r="916" spans="1:21" x14ac:dyDescent="0.25">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0.84215536105032818</v>
      </c>
      <c r="P916" s="72">
        <f t="shared" si="347"/>
        <v>0</v>
      </c>
      <c r="Q916" s="72">
        <f t="shared" si="348"/>
        <v>0.70833333333333337</v>
      </c>
      <c r="R916" s="72">
        <f t="shared" si="349"/>
        <v>0.29166666666666663</v>
      </c>
      <c r="S916" s="72">
        <f t="shared" si="350"/>
        <v>1.010586433260394</v>
      </c>
      <c r="T916" s="72">
        <f t="shared" si="351"/>
        <v>1.0057943107221006</v>
      </c>
      <c r="U916" s="72">
        <f t="shared" si="352"/>
        <v>1.02</v>
      </c>
    </row>
    <row r="917" spans="1:21" x14ac:dyDescent="0.25">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0.84248905908096272</v>
      </c>
      <c r="P917" s="72">
        <f t="shared" si="347"/>
        <v>0</v>
      </c>
      <c r="Q917" s="72">
        <f t="shared" si="348"/>
        <v>0.625</v>
      </c>
      <c r="R917" s="72">
        <f t="shared" si="349"/>
        <v>0.375</v>
      </c>
      <c r="S917" s="72">
        <f t="shared" si="350"/>
        <v>1.0109868708971552</v>
      </c>
      <c r="T917" s="72">
        <f t="shared" si="351"/>
        <v>1.006194748358862</v>
      </c>
      <c r="U917" s="72">
        <f t="shared" si="352"/>
        <v>1.02</v>
      </c>
    </row>
    <row r="918" spans="1:21" x14ac:dyDescent="0.25">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0.84282275711159738</v>
      </c>
      <c r="P918" s="72">
        <f t="shared" si="347"/>
        <v>0</v>
      </c>
      <c r="Q918" s="72">
        <f t="shared" si="348"/>
        <v>0.54166666666666663</v>
      </c>
      <c r="R918" s="72">
        <f t="shared" si="349"/>
        <v>0.45833333333333337</v>
      </c>
      <c r="S918" s="72">
        <f t="shared" si="350"/>
        <v>1.0113873085339169</v>
      </c>
      <c r="T918" s="72">
        <f t="shared" si="351"/>
        <v>1.0065951859956237</v>
      </c>
      <c r="U918" s="72">
        <f t="shared" si="352"/>
        <v>1.02</v>
      </c>
    </row>
    <row r="919" spans="1:21" x14ac:dyDescent="0.25">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0.84315645514223192</v>
      </c>
      <c r="P919" s="72">
        <f t="shared" si="347"/>
        <v>0</v>
      </c>
      <c r="Q919" s="72">
        <f t="shared" si="348"/>
        <v>0.45833333333333331</v>
      </c>
      <c r="R919" s="72">
        <f t="shared" si="349"/>
        <v>0.54166666666666674</v>
      </c>
      <c r="S919" s="72">
        <f t="shared" si="350"/>
        <v>1.0117877461706783</v>
      </c>
      <c r="T919" s="72">
        <f t="shared" si="351"/>
        <v>1.0069956236323852</v>
      </c>
      <c r="U919" s="72">
        <f t="shared" si="352"/>
        <v>1.02</v>
      </c>
    </row>
    <row r="920" spans="1:21" x14ac:dyDescent="0.25">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0.84349562363238506</v>
      </c>
      <c r="P920" s="72">
        <f t="shared" si="347"/>
        <v>0</v>
      </c>
      <c r="Q920" s="72">
        <f t="shared" si="348"/>
        <v>0.375</v>
      </c>
      <c r="R920" s="72">
        <f t="shared" si="349"/>
        <v>0.625</v>
      </c>
      <c r="S920" s="72">
        <f t="shared" si="350"/>
        <v>1.012194748358862</v>
      </c>
      <c r="T920" s="72">
        <f t="shared" si="351"/>
        <v>1.0074026258205688</v>
      </c>
      <c r="U920" s="72">
        <f t="shared" si="352"/>
        <v>1.02</v>
      </c>
    </row>
    <row r="921" spans="1:21" x14ac:dyDescent="0.25">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0.84382932166301972</v>
      </c>
      <c r="P921" s="72">
        <f t="shared" si="347"/>
        <v>0</v>
      </c>
      <c r="Q921" s="72">
        <f t="shared" si="348"/>
        <v>0.29166666666666669</v>
      </c>
      <c r="R921" s="72">
        <f t="shared" si="349"/>
        <v>0.70833333333333326</v>
      </c>
      <c r="S921" s="72">
        <f t="shared" si="350"/>
        <v>1.0125951859956237</v>
      </c>
      <c r="T921" s="72">
        <f t="shared" si="351"/>
        <v>1.0078030634573303</v>
      </c>
      <c r="U921" s="72">
        <f t="shared" si="352"/>
        <v>1.02</v>
      </c>
    </row>
    <row r="922" spans="1:21" x14ac:dyDescent="0.25">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0.84416301969365426</v>
      </c>
      <c r="P922" s="72">
        <f t="shared" si="347"/>
        <v>0</v>
      </c>
      <c r="Q922" s="72">
        <f t="shared" si="348"/>
        <v>0.20833333333333334</v>
      </c>
      <c r="R922" s="72">
        <f t="shared" si="349"/>
        <v>0.79166666666666663</v>
      </c>
      <c r="S922" s="72">
        <f t="shared" si="350"/>
        <v>1.0129956236323852</v>
      </c>
      <c r="T922" s="72">
        <f t="shared" si="351"/>
        <v>1.008203501094092</v>
      </c>
      <c r="U922" s="72">
        <f t="shared" si="352"/>
        <v>1.02</v>
      </c>
    </row>
    <row r="923" spans="1:21" x14ac:dyDescent="0.25">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0.8444967177242888</v>
      </c>
      <c r="P923" s="72">
        <f t="shared" si="347"/>
        <v>0</v>
      </c>
      <c r="Q923" s="72">
        <f t="shared" si="348"/>
        <v>0.125</v>
      </c>
      <c r="R923" s="72">
        <f t="shared" si="349"/>
        <v>0.875</v>
      </c>
      <c r="S923" s="72">
        <f t="shared" si="350"/>
        <v>1.0133960612691466</v>
      </c>
      <c r="T923" s="72">
        <f t="shared" si="351"/>
        <v>1.0086039387308534</v>
      </c>
      <c r="U923" s="72">
        <f t="shared" si="352"/>
        <v>1.02</v>
      </c>
    </row>
    <row r="924" spans="1:21" x14ac:dyDescent="0.25">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0.84483041575492335</v>
      </c>
      <c r="P924" s="72">
        <f t="shared" si="347"/>
        <v>0</v>
      </c>
      <c r="Q924" s="72">
        <f t="shared" si="348"/>
        <v>4.1666666666666664E-2</v>
      </c>
      <c r="R924" s="72">
        <f t="shared" si="349"/>
        <v>0.95833333333333337</v>
      </c>
      <c r="S924" s="72">
        <f t="shared" si="350"/>
        <v>1.0137964989059081</v>
      </c>
      <c r="T924" s="72">
        <f t="shared" si="351"/>
        <v>1.0090043763676149</v>
      </c>
      <c r="U924" s="72">
        <f t="shared" si="352"/>
        <v>1.02</v>
      </c>
    </row>
    <row r="925" spans="1:21" x14ac:dyDescent="0.25">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0.84499999999999997</v>
      </c>
      <c r="P925" s="72">
        <f t="shared" si="347"/>
        <v>0</v>
      </c>
      <c r="Q925" s="72">
        <f t="shared" si="348"/>
        <v>0</v>
      </c>
      <c r="R925" s="72">
        <f t="shared" si="349"/>
        <v>0.95833333333333337</v>
      </c>
      <c r="S925" s="72">
        <f t="shared" si="350"/>
        <v>1.014</v>
      </c>
      <c r="T925" s="72">
        <f t="shared" si="351"/>
        <v>0.98492083923284846</v>
      </c>
      <c r="U925" s="72">
        <f t="shared" si="352"/>
        <v>1.02</v>
      </c>
    </row>
    <row r="926" spans="1:21" x14ac:dyDescent="0.25">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0.84499999999999997</v>
      </c>
      <c r="P926" s="72">
        <f t="shared" si="347"/>
        <v>0</v>
      </c>
      <c r="Q926" s="72">
        <f t="shared" si="348"/>
        <v>0</v>
      </c>
      <c r="R926" s="72">
        <f t="shared" si="349"/>
        <v>0.875</v>
      </c>
      <c r="S926" s="72">
        <f t="shared" si="350"/>
        <v>1.014</v>
      </c>
      <c r="T926" s="72">
        <f t="shared" si="351"/>
        <v>0.98530055348178669</v>
      </c>
      <c r="U926" s="72">
        <f t="shared" si="352"/>
        <v>1.02</v>
      </c>
    </row>
    <row r="927" spans="1:21" x14ac:dyDescent="0.25">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0.84499999999999997</v>
      </c>
      <c r="P927" s="72">
        <f t="shared" si="347"/>
        <v>0</v>
      </c>
      <c r="Q927" s="72">
        <f t="shared" si="348"/>
        <v>0</v>
      </c>
      <c r="R927" s="72">
        <f t="shared" si="349"/>
        <v>0.79166666666666663</v>
      </c>
      <c r="S927" s="72">
        <f t="shared" si="350"/>
        <v>1.014</v>
      </c>
      <c r="T927" s="72">
        <f t="shared" si="351"/>
        <v>0.9856802677307247</v>
      </c>
      <c r="U927" s="72">
        <f t="shared" si="352"/>
        <v>1.02</v>
      </c>
    </row>
    <row r="928" spans="1:21" x14ac:dyDescent="0.25">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0.84499999999999997</v>
      </c>
      <c r="P928" s="72">
        <f t="shared" si="347"/>
        <v>0</v>
      </c>
      <c r="Q928" s="72">
        <f t="shared" si="348"/>
        <v>0</v>
      </c>
      <c r="R928" s="72">
        <f t="shared" si="349"/>
        <v>0.70833333333333337</v>
      </c>
      <c r="S928" s="72">
        <f t="shared" si="350"/>
        <v>1.014</v>
      </c>
      <c r="T928" s="72">
        <f t="shared" si="351"/>
        <v>1.0057943107221006</v>
      </c>
      <c r="U928" s="72">
        <f t="shared" si="352"/>
        <v>1.02</v>
      </c>
    </row>
    <row r="929" spans="1:21" x14ac:dyDescent="0.25">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0.84499999999999997</v>
      </c>
      <c r="P929" s="72">
        <f t="shared" si="347"/>
        <v>0</v>
      </c>
      <c r="Q929" s="72">
        <f t="shared" si="348"/>
        <v>0</v>
      </c>
      <c r="R929" s="72">
        <f t="shared" si="349"/>
        <v>0.625</v>
      </c>
      <c r="S929" s="72">
        <f t="shared" si="350"/>
        <v>1.014</v>
      </c>
      <c r="T929" s="72">
        <f t="shared" si="351"/>
        <v>1.006194748358862</v>
      </c>
      <c r="U929" s="72">
        <f t="shared" si="352"/>
        <v>1.02</v>
      </c>
    </row>
    <row r="930" spans="1:21" x14ac:dyDescent="0.25">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0.84499999999999997</v>
      </c>
      <c r="P930" s="72">
        <f t="shared" si="347"/>
        <v>0</v>
      </c>
      <c r="Q930" s="72">
        <f t="shared" si="348"/>
        <v>0</v>
      </c>
      <c r="R930" s="72">
        <f t="shared" si="349"/>
        <v>0.54166666666666663</v>
      </c>
      <c r="S930" s="72">
        <f t="shared" si="350"/>
        <v>1.014</v>
      </c>
      <c r="T930" s="72">
        <f t="shared" si="351"/>
        <v>1.0065951859956237</v>
      </c>
      <c r="U930" s="72">
        <f t="shared" si="352"/>
        <v>1.02</v>
      </c>
    </row>
    <row r="931" spans="1:21" x14ac:dyDescent="0.25">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0.84499999999999997</v>
      </c>
      <c r="P931" s="72">
        <f t="shared" si="347"/>
        <v>0</v>
      </c>
      <c r="Q931" s="72">
        <f t="shared" si="348"/>
        <v>0</v>
      </c>
      <c r="R931" s="72">
        <f t="shared" si="349"/>
        <v>0.45833333333333331</v>
      </c>
      <c r="S931" s="72">
        <f t="shared" si="350"/>
        <v>1.014</v>
      </c>
      <c r="T931" s="72">
        <f t="shared" si="351"/>
        <v>1.0069956236323852</v>
      </c>
      <c r="U931" s="72">
        <f t="shared" si="352"/>
        <v>1.02</v>
      </c>
    </row>
    <row r="932" spans="1:21" x14ac:dyDescent="0.25">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0.84499999999999997</v>
      </c>
      <c r="P932" s="72">
        <f t="shared" si="347"/>
        <v>0</v>
      </c>
      <c r="Q932" s="72">
        <f t="shared" si="348"/>
        <v>0</v>
      </c>
      <c r="R932" s="72">
        <f t="shared" si="349"/>
        <v>0.375</v>
      </c>
      <c r="S932" s="72">
        <f t="shared" si="350"/>
        <v>1.014</v>
      </c>
      <c r="T932" s="72">
        <f t="shared" si="351"/>
        <v>1.0074026258205688</v>
      </c>
      <c r="U932" s="72">
        <f t="shared" si="352"/>
        <v>1.02</v>
      </c>
    </row>
    <row r="933" spans="1:21" x14ac:dyDescent="0.25">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0.84499999999999997</v>
      </c>
      <c r="P933" s="72">
        <f t="shared" si="347"/>
        <v>0</v>
      </c>
      <c r="Q933" s="72">
        <f t="shared" si="348"/>
        <v>0</v>
      </c>
      <c r="R933" s="72">
        <f t="shared" si="349"/>
        <v>0.29166666666666669</v>
      </c>
      <c r="S933" s="72">
        <f t="shared" si="350"/>
        <v>1.014</v>
      </c>
      <c r="T933" s="72">
        <f t="shared" si="351"/>
        <v>1.0078030634573303</v>
      </c>
      <c r="U933" s="72">
        <f t="shared" si="352"/>
        <v>1.02</v>
      </c>
    </row>
    <row r="934" spans="1:21" x14ac:dyDescent="0.25">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0.84499999999999997</v>
      </c>
      <c r="P934" s="72">
        <f t="shared" si="347"/>
        <v>0</v>
      </c>
      <c r="Q934" s="72">
        <f t="shared" si="348"/>
        <v>0</v>
      </c>
      <c r="R934" s="72">
        <f t="shared" si="349"/>
        <v>0.20833333333333334</v>
      </c>
      <c r="S934" s="72">
        <f t="shared" si="350"/>
        <v>1.014</v>
      </c>
      <c r="T934" s="72">
        <f t="shared" si="351"/>
        <v>1.008203501094092</v>
      </c>
      <c r="U934" s="72">
        <f t="shared" si="352"/>
        <v>1.02</v>
      </c>
    </row>
    <row r="935" spans="1:21" x14ac:dyDescent="0.25">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0.84499999999999997</v>
      </c>
      <c r="P935" s="72">
        <f t="shared" si="347"/>
        <v>0</v>
      </c>
      <c r="Q935" s="72">
        <f t="shared" si="348"/>
        <v>0</v>
      </c>
      <c r="R935" s="72">
        <f t="shared" si="349"/>
        <v>0.125</v>
      </c>
      <c r="S935" s="72">
        <f t="shared" si="350"/>
        <v>1.014</v>
      </c>
      <c r="T935" s="72">
        <f t="shared" si="351"/>
        <v>1.0086039387308534</v>
      </c>
      <c r="U935" s="72">
        <f t="shared" si="352"/>
        <v>1.02</v>
      </c>
    </row>
    <row r="936" spans="1:21" x14ac:dyDescent="0.25">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0.84499999999999997</v>
      </c>
      <c r="P936" s="72">
        <f t="shared" si="347"/>
        <v>0</v>
      </c>
      <c r="Q936" s="72">
        <f t="shared" si="348"/>
        <v>0</v>
      </c>
      <c r="R936" s="72">
        <f t="shared" si="349"/>
        <v>4.1666666666666664E-2</v>
      </c>
      <c r="S936" s="72">
        <f t="shared" si="350"/>
        <v>1.014</v>
      </c>
      <c r="T936" s="72">
        <f t="shared" si="351"/>
        <v>1.0090043763676149</v>
      </c>
      <c r="U936" s="72">
        <f t="shared" si="352"/>
        <v>1.02</v>
      </c>
    </row>
    <row r="937" spans="1:21" x14ac:dyDescent="0.25">
      <c r="A937" s="77" t="s">
        <v>1209</v>
      </c>
      <c r="B937" s="50">
        <f>EXP(SUMPRODUCT((rl_key=$A$886)*(rl_cons="Y")*rl_ln1p))</f>
        <v>1.02</v>
      </c>
      <c r="C937" s="50">
        <f>SUMPRODUCT($H$889:$H$936,$P$889:$P$936,$U$889:$U$936)/SUMPRODUCT($H$889:$H$936,$P$889:$P$936)</f>
        <v>1.005625</v>
      </c>
      <c r="D937" s="50">
        <f>SUMPRODUCT($H$889:$H$936,$Q$889:$Q$936,$U$889:$U$936)/SUMPRODUCT($H$889:$H$936,$Q$889:$Q$936)</f>
        <v>1.0193749999999999</v>
      </c>
      <c r="E937" s="50">
        <f>SUMPRODUCT($H$889:$H$936,$R$889:$R$936,$U$889:$U$936)/SUMPRODUCT($H$889:$H$936,$R$889:$R$936)</f>
        <v>1.0199999999999998</v>
      </c>
      <c r="F937" s="169">
        <f>SUMPRODUCT($H$889:$H$936,$Q$889:$Q$936,$O$889:$O$936)/SUMPRODUCT($H$889:$H$936,$Q$889:$Q$936)</f>
        <v>0.84099790299051769</v>
      </c>
      <c r="G937" s="169">
        <f>SUMPRODUCT($H$889:$H$936,$R$889:$R$936,$O$889:$O$936)/SUMPRODUCT($H$889:$H$936,$R$889:$R$936)</f>
        <v>0.84432817818502282</v>
      </c>
    </row>
    <row r="940" spans="1:21" x14ac:dyDescent="0.25">
      <c r="A940" s="77" t="str">
        <f>INDEX(lr_key,17)</f>
        <v>BU-A|NY</v>
      </c>
      <c r="B940" s="77" t="str">
        <f>INDEX(lr_state,17)</f>
        <v>NY</v>
      </c>
      <c r="C940" s="52">
        <f>nr_TermMonths</f>
        <v>12</v>
      </c>
      <c r="D940" s="52">
        <f>IF(COUNTIF(se_state,$B940)=0,0,MATCH($B940,se_state,0))</f>
        <v>0</v>
      </c>
      <c r="E940" s="54">
        <f>IF($D940=0,0,INDEX(se_sum,$D940))</f>
        <v>0</v>
      </c>
      <c r="F940" s="169">
        <f>IF(N(INDEX(lr_mind,17))=0,1,INDEX(lr_mind,17))</f>
        <v>0.85</v>
      </c>
      <c r="G940" s="169">
        <f>IF(N(INDEX(lr_m0,17))=0,1,INDEX(lr_m0,17))</f>
        <v>0.84</v>
      </c>
      <c r="H940" s="51">
        <f>IF(N(INDEX(lr_m0asof,17))=0,DATE(nr_PlanYear-1,10,1),INDEX(lr_m0asof,17))</f>
        <v>46295</v>
      </c>
      <c r="I940" s="169">
        <f>IF(N(INDEX(lr_m1,17))=0,1,INDEX(lr_m1,17))</f>
        <v>0.86</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25">
      <c r="A941" s="77">
        <f>EDATE($H$940,-12)+1</f>
        <v>45931</v>
      </c>
      <c r="B941" s="77">
        <f>$H$940+1</f>
        <v>46296</v>
      </c>
      <c r="C941" s="77">
        <f>DATE(nr_PlanYear,12,31)+1</f>
        <v>46753</v>
      </c>
      <c r="D941" s="77">
        <f>DATE(nr_PlanYear+1,12,31)+1</f>
        <v>47119</v>
      </c>
      <c r="E941" s="77">
        <f>IF(N($J$940)=0,$F$941-($G$941-$F$941)/($C$941-$B$941)*($B$941-$A$941),$J$940)</f>
        <v>0.8240262582056892</v>
      </c>
      <c r="F941" s="77">
        <f>$G$940</f>
        <v>0.84</v>
      </c>
      <c r="G941" s="77">
        <f>$I$940</f>
        <v>0.86</v>
      </c>
      <c r="H941" s="77">
        <f>IF(N($K$940)=0,$I$940,$K$940)</f>
        <v>0.86</v>
      </c>
      <c r="I941" s="77">
        <f>($F$941-$E$941)/($B$941-$A$941)</f>
        <v>4.3763676148796628E-5</v>
      </c>
      <c r="J941" s="77">
        <f>($G$941-$F$941)/($C$941-$B$941)</f>
        <v>4.376367614879654E-5</v>
      </c>
      <c r="K941" s="77">
        <f>($H$941-$G$941)/($D$941-$C$941)</f>
        <v>0</v>
      </c>
    </row>
    <row r="942" spans="1:21" ht="24" x14ac:dyDescent="0.25">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25">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0.81275711159737407</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0.95618483717338132</v>
      </c>
      <c r="T943" s="72">
        <f t="shared" ref="T943:T990" si="371">IF($G943&lt;nr_MStartP,$S943,$T931*(1+IF($G943&lt;nr_MStartP1,$M$940,$N$940)))</f>
        <v>0.95618483717338132</v>
      </c>
      <c r="U943" s="72">
        <f t="shared" ref="U943:U990" si="372">IF($L$940,$T943,$N943)</f>
        <v>1</v>
      </c>
    </row>
    <row r="944" spans="1:21" x14ac:dyDescent="0.25">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0.81404814004376358</v>
      </c>
      <c r="P944" s="72">
        <f t="shared" si="367"/>
        <v>0.125</v>
      </c>
      <c r="Q944" s="72">
        <f t="shared" si="368"/>
        <v>0</v>
      </c>
      <c r="R944" s="72">
        <f t="shared" si="369"/>
        <v>0</v>
      </c>
      <c r="S944" s="72">
        <f t="shared" si="370"/>
        <v>0.9577036941691337</v>
      </c>
      <c r="T944" s="72">
        <f t="shared" si="371"/>
        <v>0.9577036941691337</v>
      </c>
      <c r="U944" s="72">
        <f t="shared" si="372"/>
        <v>1</v>
      </c>
    </row>
    <row r="945" spans="1:21" x14ac:dyDescent="0.25">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0.81533916849015309</v>
      </c>
      <c r="P945" s="72">
        <f t="shared" si="367"/>
        <v>0.20833333333333337</v>
      </c>
      <c r="Q945" s="72">
        <f t="shared" si="368"/>
        <v>0</v>
      </c>
      <c r="R945" s="72">
        <f t="shared" si="369"/>
        <v>0</v>
      </c>
      <c r="S945" s="72">
        <f t="shared" si="370"/>
        <v>0.95922255116488597</v>
      </c>
      <c r="T945" s="72">
        <f t="shared" si="371"/>
        <v>0.95922255116488597</v>
      </c>
      <c r="U945" s="72">
        <f t="shared" si="372"/>
        <v>1</v>
      </c>
    </row>
    <row r="946" spans="1:21" x14ac:dyDescent="0.25">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0.81667396061269137</v>
      </c>
      <c r="P946" s="72">
        <f t="shared" si="367"/>
        <v>0.29166666666666663</v>
      </c>
      <c r="Q946" s="72">
        <f t="shared" si="368"/>
        <v>0</v>
      </c>
      <c r="R946" s="72">
        <f t="shared" si="369"/>
        <v>0</v>
      </c>
      <c r="S946" s="72">
        <f t="shared" si="370"/>
        <v>0.96079289483846042</v>
      </c>
      <c r="T946" s="72">
        <f t="shared" si="371"/>
        <v>0.96079289483846042</v>
      </c>
      <c r="U946" s="72">
        <f t="shared" si="372"/>
        <v>1</v>
      </c>
    </row>
    <row r="947" spans="1:21" x14ac:dyDescent="0.25">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0.81800875273522966</v>
      </c>
      <c r="P947" s="72">
        <f t="shared" si="367"/>
        <v>0.375</v>
      </c>
      <c r="Q947" s="72">
        <f t="shared" si="368"/>
        <v>0</v>
      </c>
      <c r="R947" s="72">
        <f t="shared" si="369"/>
        <v>0</v>
      </c>
      <c r="S947" s="72">
        <f t="shared" si="370"/>
        <v>0.96236323851203487</v>
      </c>
      <c r="T947" s="72">
        <f t="shared" si="371"/>
        <v>0.96236323851203487</v>
      </c>
      <c r="U947" s="72">
        <f t="shared" si="372"/>
        <v>1</v>
      </c>
    </row>
    <row r="948" spans="1:21" x14ac:dyDescent="0.25">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0.81934354485776795</v>
      </c>
      <c r="P948" s="72">
        <f t="shared" si="367"/>
        <v>0.45833333333333337</v>
      </c>
      <c r="Q948" s="72">
        <f t="shared" si="368"/>
        <v>0</v>
      </c>
      <c r="R948" s="72">
        <f t="shared" si="369"/>
        <v>0</v>
      </c>
      <c r="S948" s="72">
        <f t="shared" si="370"/>
        <v>0.96393358218560943</v>
      </c>
      <c r="T948" s="72">
        <f t="shared" si="371"/>
        <v>0.96393358218560943</v>
      </c>
      <c r="U948" s="72">
        <f t="shared" si="372"/>
        <v>1</v>
      </c>
    </row>
    <row r="949" spans="1:21" x14ac:dyDescent="0.25">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0.82067833698030623</v>
      </c>
      <c r="P949" s="72">
        <f t="shared" si="367"/>
        <v>0.54166666666666674</v>
      </c>
      <c r="Q949" s="72">
        <f t="shared" si="368"/>
        <v>0</v>
      </c>
      <c r="R949" s="72">
        <f t="shared" si="369"/>
        <v>0</v>
      </c>
      <c r="S949" s="72">
        <f t="shared" si="370"/>
        <v>0.96550392585918388</v>
      </c>
      <c r="T949" s="72">
        <f t="shared" si="371"/>
        <v>0.96550392585918388</v>
      </c>
      <c r="U949" s="72">
        <f t="shared" si="372"/>
        <v>1</v>
      </c>
    </row>
    <row r="950" spans="1:21" x14ac:dyDescent="0.25">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0.82203501094091891</v>
      </c>
      <c r="P950" s="72">
        <f t="shared" si="367"/>
        <v>0.625</v>
      </c>
      <c r="Q950" s="72">
        <f t="shared" si="368"/>
        <v>0</v>
      </c>
      <c r="R950" s="72">
        <f t="shared" si="369"/>
        <v>0</v>
      </c>
      <c r="S950" s="72">
        <f t="shared" si="370"/>
        <v>0.96710001287166936</v>
      </c>
      <c r="T950" s="72">
        <f t="shared" si="371"/>
        <v>0.96710001287166936</v>
      </c>
      <c r="U950" s="72">
        <f t="shared" si="372"/>
        <v>1</v>
      </c>
    </row>
    <row r="951" spans="1:21" x14ac:dyDescent="0.25">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0.8233698030634572</v>
      </c>
      <c r="P951" s="72">
        <f t="shared" si="367"/>
        <v>0.70833333333333326</v>
      </c>
      <c r="Q951" s="72">
        <f t="shared" si="368"/>
        <v>0</v>
      </c>
      <c r="R951" s="72">
        <f t="shared" si="369"/>
        <v>0</v>
      </c>
      <c r="S951" s="72">
        <f t="shared" si="370"/>
        <v>0.9686703565452438</v>
      </c>
      <c r="T951" s="72">
        <f t="shared" si="371"/>
        <v>0.9686703565452438</v>
      </c>
      <c r="U951" s="72">
        <f t="shared" si="372"/>
        <v>1</v>
      </c>
    </row>
    <row r="952" spans="1:21" x14ac:dyDescent="0.25">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0.82470459518599559</v>
      </c>
      <c r="P952" s="72">
        <f t="shared" si="367"/>
        <v>0.79166666666666663</v>
      </c>
      <c r="Q952" s="72">
        <f t="shared" si="368"/>
        <v>0</v>
      </c>
      <c r="R952" s="72">
        <f t="shared" si="369"/>
        <v>0</v>
      </c>
      <c r="S952" s="72">
        <f t="shared" si="370"/>
        <v>0.97024070021881836</v>
      </c>
      <c r="T952" s="72">
        <f t="shared" si="371"/>
        <v>0.97024070021881836</v>
      </c>
      <c r="U952" s="72">
        <f t="shared" si="372"/>
        <v>1</v>
      </c>
    </row>
    <row r="953" spans="1:21" x14ac:dyDescent="0.25">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0.82603938730853388</v>
      </c>
      <c r="P953" s="72">
        <f t="shared" si="367"/>
        <v>0.875</v>
      </c>
      <c r="Q953" s="72">
        <f t="shared" si="368"/>
        <v>0</v>
      </c>
      <c r="R953" s="72">
        <f t="shared" si="369"/>
        <v>0</v>
      </c>
      <c r="S953" s="72">
        <f t="shared" si="370"/>
        <v>0.97181104389239281</v>
      </c>
      <c r="T953" s="72">
        <f t="shared" si="371"/>
        <v>0.97181104389239281</v>
      </c>
      <c r="U953" s="72">
        <f t="shared" si="372"/>
        <v>1</v>
      </c>
    </row>
    <row r="954" spans="1:21" x14ac:dyDescent="0.25">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0.82737417943107217</v>
      </c>
      <c r="P954" s="72">
        <f t="shared" si="367"/>
        <v>0.95833333333333337</v>
      </c>
      <c r="Q954" s="72">
        <f t="shared" si="368"/>
        <v>0</v>
      </c>
      <c r="R954" s="72">
        <f t="shared" si="369"/>
        <v>0</v>
      </c>
      <c r="S954" s="72">
        <f t="shared" si="370"/>
        <v>0.97338138756596726</v>
      </c>
      <c r="T954" s="72">
        <f t="shared" si="371"/>
        <v>0.97338138756596726</v>
      </c>
      <c r="U954" s="72">
        <f t="shared" si="372"/>
        <v>1</v>
      </c>
    </row>
    <row r="955" spans="1:21" x14ac:dyDescent="0.25">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0.82873085339168484</v>
      </c>
      <c r="P955" s="72">
        <f t="shared" si="367"/>
        <v>0.95833333333333337</v>
      </c>
      <c r="Q955" s="72">
        <f t="shared" si="368"/>
        <v>4.166666666666663E-2</v>
      </c>
      <c r="R955" s="72">
        <f t="shared" si="369"/>
        <v>0</v>
      </c>
      <c r="S955" s="72">
        <f t="shared" si="370"/>
        <v>0.97497747457845274</v>
      </c>
      <c r="T955" s="72">
        <f t="shared" si="371"/>
        <v>0.97497747457845274</v>
      </c>
      <c r="U955" s="72">
        <f t="shared" si="372"/>
        <v>1</v>
      </c>
    </row>
    <row r="956" spans="1:21" x14ac:dyDescent="0.25">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0.83002188183807435</v>
      </c>
      <c r="P956" s="72">
        <f t="shared" si="367"/>
        <v>0.875</v>
      </c>
      <c r="Q956" s="72">
        <f t="shared" si="368"/>
        <v>0.125</v>
      </c>
      <c r="R956" s="72">
        <f t="shared" si="369"/>
        <v>0</v>
      </c>
      <c r="S956" s="72">
        <f t="shared" si="370"/>
        <v>0.97649633157420512</v>
      </c>
      <c r="T956" s="72">
        <f t="shared" si="371"/>
        <v>0.97649633157420512</v>
      </c>
      <c r="U956" s="72">
        <f t="shared" si="372"/>
        <v>1</v>
      </c>
    </row>
    <row r="957" spans="1:21" x14ac:dyDescent="0.25">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0.83131291028446386</v>
      </c>
      <c r="P957" s="72">
        <f t="shared" si="367"/>
        <v>0.79166666666666663</v>
      </c>
      <c r="Q957" s="72">
        <f t="shared" si="368"/>
        <v>0.20833333333333337</v>
      </c>
      <c r="R957" s="72">
        <f t="shared" si="369"/>
        <v>0</v>
      </c>
      <c r="S957" s="72">
        <f t="shared" si="370"/>
        <v>0.97801518856995751</v>
      </c>
      <c r="T957" s="72">
        <f t="shared" si="371"/>
        <v>0.97801518856995751</v>
      </c>
      <c r="U957" s="72">
        <f t="shared" si="372"/>
        <v>1</v>
      </c>
    </row>
    <row r="958" spans="1:21" x14ac:dyDescent="0.25">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0.83264770240700214</v>
      </c>
      <c r="P958" s="72">
        <f t="shared" si="367"/>
        <v>0.70833333333333337</v>
      </c>
      <c r="Q958" s="72">
        <f t="shared" si="368"/>
        <v>0.29166666666666663</v>
      </c>
      <c r="R958" s="72">
        <f t="shared" si="369"/>
        <v>0</v>
      </c>
      <c r="S958" s="72">
        <f t="shared" si="370"/>
        <v>0.97958553224353195</v>
      </c>
      <c r="T958" s="72">
        <f t="shared" si="371"/>
        <v>0.97958553224353195</v>
      </c>
      <c r="U958" s="72">
        <f t="shared" si="372"/>
        <v>1</v>
      </c>
    </row>
    <row r="959" spans="1:21" x14ac:dyDescent="0.25">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0.83398249452954043</v>
      </c>
      <c r="P959" s="72">
        <f t="shared" si="367"/>
        <v>0.625</v>
      </c>
      <c r="Q959" s="72">
        <f t="shared" si="368"/>
        <v>0.375</v>
      </c>
      <c r="R959" s="72">
        <f t="shared" si="369"/>
        <v>0</v>
      </c>
      <c r="S959" s="72">
        <f t="shared" si="370"/>
        <v>1.0105905521946197</v>
      </c>
      <c r="T959" s="72">
        <f t="shared" si="371"/>
        <v>1.0105905521946197</v>
      </c>
      <c r="U959" s="72">
        <f t="shared" si="372"/>
        <v>1.03</v>
      </c>
    </row>
    <row r="960" spans="1:21" x14ac:dyDescent="0.25">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0.83531728665207872</v>
      </c>
      <c r="P960" s="72">
        <f t="shared" si="367"/>
        <v>0.54166666666666663</v>
      </c>
      <c r="Q960" s="72">
        <f t="shared" si="368"/>
        <v>0.45833333333333337</v>
      </c>
      <c r="R960" s="72">
        <f t="shared" si="369"/>
        <v>0</v>
      </c>
      <c r="S960" s="72">
        <f t="shared" si="370"/>
        <v>1.0122080061784013</v>
      </c>
      <c r="T960" s="72">
        <f t="shared" si="371"/>
        <v>1.0122080061784013</v>
      </c>
      <c r="U960" s="72">
        <f t="shared" si="372"/>
        <v>1.03</v>
      </c>
    </row>
    <row r="961" spans="1:21" x14ac:dyDescent="0.25">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0.836652078774617</v>
      </c>
      <c r="P961" s="72">
        <f t="shared" si="367"/>
        <v>0.45833333333333331</v>
      </c>
      <c r="Q961" s="72">
        <f t="shared" si="368"/>
        <v>0.54166666666666674</v>
      </c>
      <c r="R961" s="72">
        <f t="shared" si="369"/>
        <v>0</v>
      </c>
      <c r="S961" s="72">
        <f t="shared" si="370"/>
        <v>1.013825460162183</v>
      </c>
      <c r="T961" s="72">
        <f t="shared" si="371"/>
        <v>1.013825460162183</v>
      </c>
      <c r="U961" s="72">
        <f t="shared" si="372"/>
        <v>1.03</v>
      </c>
    </row>
    <row r="962" spans="1:21" x14ac:dyDescent="0.25">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0.83800875273522968</v>
      </c>
      <c r="P962" s="72">
        <f t="shared" si="367"/>
        <v>0.375</v>
      </c>
      <c r="Q962" s="72">
        <f t="shared" si="368"/>
        <v>0.625</v>
      </c>
      <c r="R962" s="72">
        <f t="shared" si="369"/>
        <v>0</v>
      </c>
      <c r="S962" s="72">
        <f t="shared" si="370"/>
        <v>1.0154694297850431</v>
      </c>
      <c r="T962" s="72">
        <f t="shared" si="371"/>
        <v>1.0154694297850431</v>
      </c>
      <c r="U962" s="72">
        <f t="shared" si="372"/>
        <v>1.03</v>
      </c>
    </row>
    <row r="963" spans="1:21" x14ac:dyDescent="0.25">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0.83934354485776796</v>
      </c>
      <c r="P963" s="72">
        <f t="shared" si="367"/>
        <v>0.29166666666666669</v>
      </c>
      <c r="Q963" s="72">
        <f t="shared" si="368"/>
        <v>0.70833333333333326</v>
      </c>
      <c r="R963" s="72">
        <f t="shared" si="369"/>
        <v>0</v>
      </c>
      <c r="S963" s="72">
        <f t="shared" si="370"/>
        <v>1.0170868837688247</v>
      </c>
      <c r="T963" s="72">
        <f t="shared" si="371"/>
        <v>1.0170868837688247</v>
      </c>
      <c r="U963" s="72">
        <f t="shared" si="372"/>
        <v>1.03</v>
      </c>
    </row>
    <row r="964" spans="1:21" x14ac:dyDescent="0.25">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0.84067833698030636</v>
      </c>
      <c r="P964" s="72">
        <f t="shared" si="367"/>
        <v>0.20833333333333334</v>
      </c>
      <c r="Q964" s="72">
        <f t="shared" si="368"/>
        <v>0.79166666666666663</v>
      </c>
      <c r="R964" s="72">
        <f t="shared" si="369"/>
        <v>0</v>
      </c>
      <c r="S964" s="72">
        <f t="shared" si="370"/>
        <v>1.0187043377526066</v>
      </c>
      <c r="T964" s="72">
        <f t="shared" si="371"/>
        <v>1.0187043377526066</v>
      </c>
      <c r="U964" s="72">
        <f t="shared" si="372"/>
        <v>1.03</v>
      </c>
    </row>
    <row r="965" spans="1:21" x14ac:dyDescent="0.25">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0.84201312910284465</v>
      </c>
      <c r="P965" s="72">
        <f t="shared" si="367"/>
        <v>0.125</v>
      </c>
      <c r="Q965" s="72">
        <f t="shared" si="368"/>
        <v>0.875</v>
      </c>
      <c r="R965" s="72">
        <f t="shared" si="369"/>
        <v>0</v>
      </c>
      <c r="S965" s="72">
        <f t="shared" si="370"/>
        <v>1.0203217917363883</v>
      </c>
      <c r="T965" s="72">
        <f t="shared" si="371"/>
        <v>1.0203217917363883</v>
      </c>
      <c r="U965" s="72">
        <f t="shared" si="372"/>
        <v>1.03</v>
      </c>
    </row>
    <row r="966" spans="1:21" x14ac:dyDescent="0.25">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0.84334792122538293</v>
      </c>
      <c r="P966" s="72">
        <f t="shared" si="367"/>
        <v>4.1666666666666664E-2</v>
      </c>
      <c r="Q966" s="72">
        <f t="shared" si="368"/>
        <v>0.95833333333333337</v>
      </c>
      <c r="R966" s="72">
        <f t="shared" si="369"/>
        <v>0</v>
      </c>
      <c r="S966" s="72">
        <f t="shared" si="370"/>
        <v>1.0219392457201699</v>
      </c>
      <c r="T966" s="72">
        <f t="shared" si="371"/>
        <v>1.0219392457201699</v>
      </c>
      <c r="U966" s="72">
        <f t="shared" si="372"/>
        <v>1.03</v>
      </c>
    </row>
    <row r="967" spans="1:21" x14ac:dyDescent="0.25">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0.84470459518599561</v>
      </c>
      <c r="P967" s="72">
        <f t="shared" si="367"/>
        <v>0</v>
      </c>
      <c r="Q967" s="72">
        <f t="shared" si="368"/>
        <v>0.95833333333333337</v>
      </c>
      <c r="R967" s="72">
        <f t="shared" si="369"/>
        <v>4.166666666666663E-2</v>
      </c>
      <c r="S967" s="72">
        <f t="shared" si="370"/>
        <v>1.02358321534303</v>
      </c>
      <c r="T967" s="72">
        <f t="shared" si="371"/>
        <v>0.97497747457845274</v>
      </c>
      <c r="U967" s="72">
        <f t="shared" si="372"/>
        <v>1.03</v>
      </c>
    </row>
    <row r="968" spans="1:21" x14ac:dyDescent="0.25">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0.84599562363238512</v>
      </c>
      <c r="P968" s="72">
        <f t="shared" si="367"/>
        <v>0</v>
      </c>
      <c r="Q968" s="72">
        <f t="shared" si="368"/>
        <v>0.875</v>
      </c>
      <c r="R968" s="72">
        <f t="shared" si="369"/>
        <v>0.125</v>
      </c>
      <c r="S968" s="72">
        <f t="shared" si="370"/>
        <v>1.0251476380486551</v>
      </c>
      <c r="T968" s="72">
        <f t="shared" si="371"/>
        <v>0.97649633157420512</v>
      </c>
      <c r="U968" s="72">
        <f t="shared" si="372"/>
        <v>1.03</v>
      </c>
    </row>
    <row r="969" spans="1:21" x14ac:dyDescent="0.25">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0.84728665207877463</v>
      </c>
      <c r="P969" s="72">
        <f t="shared" si="367"/>
        <v>0</v>
      </c>
      <c r="Q969" s="72">
        <f t="shared" si="368"/>
        <v>0.79166666666666663</v>
      </c>
      <c r="R969" s="72">
        <f t="shared" si="369"/>
        <v>0.20833333333333337</v>
      </c>
      <c r="S969" s="72">
        <f t="shared" si="370"/>
        <v>1.0267120607542799</v>
      </c>
      <c r="T969" s="72">
        <f t="shared" si="371"/>
        <v>0.97801518856995751</v>
      </c>
      <c r="U969" s="72">
        <f t="shared" si="372"/>
        <v>1.03</v>
      </c>
    </row>
    <row r="970" spans="1:21" x14ac:dyDescent="0.25">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0.84862144420131291</v>
      </c>
      <c r="P970" s="72">
        <f t="shared" si="367"/>
        <v>0</v>
      </c>
      <c r="Q970" s="72">
        <f t="shared" si="368"/>
        <v>0.70833333333333337</v>
      </c>
      <c r="R970" s="72">
        <f t="shared" si="369"/>
        <v>0.29166666666666663</v>
      </c>
      <c r="S970" s="72">
        <f t="shared" si="370"/>
        <v>1.0283295147380616</v>
      </c>
      <c r="T970" s="72">
        <f t="shared" si="371"/>
        <v>0.97958553224353195</v>
      </c>
      <c r="U970" s="72">
        <f t="shared" si="372"/>
        <v>1.03</v>
      </c>
    </row>
    <row r="971" spans="1:21" x14ac:dyDescent="0.25">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0.8499562363238512</v>
      </c>
      <c r="P971" s="72">
        <f t="shared" si="367"/>
        <v>0</v>
      </c>
      <c r="Q971" s="72">
        <f t="shared" si="368"/>
        <v>0.625</v>
      </c>
      <c r="R971" s="72">
        <f t="shared" si="369"/>
        <v>0.375</v>
      </c>
      <c r="S971" s="72">
        <f t="shared" si="370"/>
        <v>1.0299469687218432</v>
      </c>
      <c r="T971" s="72">
        <f t="shared" si="371"/>
        <v>1.0105905521946197</v>
      </c>
      <c r="U971" s="72">
        <f t="shared" si="372"/>
        <v>1.03</v>
      </c>
    </row>
    <row r="972" spans="1:21" x14ac:dyDescent="0.25">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0.85129102844638949</v>
      </c>
      <c r="P972" s="72">
        <f t="shared" si="367"/>
        <v>0</v>
      </c>
      <c r="Q972" s="72">
        <f t="shared" si="368"/>
        <v>0.54166666666666663</v>
      </c>
      <c r="R972" s="72">
        <f t="shared" si="369"/>
        <v>0.45833333333333337</v>
      </c>
      <c r="S972" s="72">
        <f t="shared" si="370"/>
        <v>1.0315644227056249</v>
      </c>
      <c r="T972" s="72">
        <f t="shared" si="371"/>
        <v>1.0122080061784013</v>
      </c>
      <c r="U972" s="72">
        <f t="shared" si="372"/>
        <v>1.03</v>
      </c>
    </row>
    <row r="973" spans="1:21" x14ac:dyDescent="0.25">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0.85262582056892777</v>
      </c>
      <c r="P973" s="72">
        <f t="shared" si="367"/>
        <v>0</v>
      </c>
      <c r="Q973" s="72">
        <f t="shared" si="368"/>
        <v>0.45833333333333331</v>
      </c>
      <c r="R973" s="72">
        <f t="shared" si="369"/>
        <v>0.54166666666666674</v>
      </c>
      <c r="S973" s="72">
        <f t="shared" si="370"/>
        <v>1.0331818766894068</v>
      </c>
      <c r="T973" s="72">
        <f t="shared" si="371"/>
        <v>1.013825460162183</v>
      </c>
      <c r="U973" s="72">
        <f t="shared" si="372"/>
        <v>1.03</v>
      </c>
    </row>
    <row r="974" spans="1:21" x14ac:dyDescent="0.25">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0.85398249452954045</v>
      </c>
      <c r="P974" s="72">
        <f t="shared" si="367"/>
        <v>0</v>
      </c>
      <c r="Q974" s="72">
        <f t="shared" si="368"/>
        <v>0.375</v>
      </c>
      <c r="R974" s="72">
        <f t="shared" si="369"/>
        <v>0.625</v>
      </c>
      <c r="S974" s="72">
        <f t="shared" si="370"/>
        <v>1.0348258463122668</v>
      </c>
      <c r="T974" s="72">
        <f t="shared" si="371"/>
        <v>1.0154694297850431</v>
      </c>
      <c r="U974" s="72">
        <f t="shared" si="372"/>
        <v>1.03</v>
      </c>
    </row>
    <row r="975" spans="1:21" x14ac:dyDescent="0.25">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0.85531728665207873</v>
      </c>
      <c r="P975" s="72">
        <f t="shared" si="367"/>
        <v>0</v>
      </c>
      <c r="Q975" s="72">
        <f t="shared" si="368"/>
        <v>0.29166666666666669</v>
      </c>
      <c r="R975" s="72">
        <f t="shared" si="369"/>
        <v>0.70833333333333326</v>
      </c>
      <c r="S975" s="72">
        <f t="shared" si="370"/>
        <v>1.0364433002960485</v>
      </c>
      <c r="T975" s="72">
        <f t="shared" si="371"/>
        <v>1.0170868837688247</v>
      </c>
      <c r="U975" s="72">
        <f t="shared" si="372"/>
        <v>1.03</v>
      </c>
    </row>
    <row r="976" spans="1:21" x14ac:dyDescent="0.25">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0.85665207877461702</v>
      </c>
      <c r="P976" s="72">
        <f t="shared" si="367"/>
        <v>0</v>
      </c>
      <c r="Q976" s="72">
        <f t="shared" si="368"/>
        <v>0.20833333333333334</v>
      </c>
      <c r="R976" s="72">
        <f t="shared" si="369"/>
        <v>0.79166666666666663</v>
      </c>
      <c r="S976" s="72">
        <f t="shared" si="370"/>
        <v>1.0380607542798301</v>
      </c>
      <c r="T976" s="72">
        <f t="shared" si="371"/>
        <v>1.0187043377526066</v>
      </c>
      <c r="U976" s="72">
        <f t="shared" si="372"/>
        <v>1.03</v>
      </c>
    </row>
    <row r="977" spans="1:21" x14ac:dyDescent="0.25">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0.85798687089715531</v>
      </c>
      <c r="P977" s="72">
        <f t="shared" si="367"/>
        <v>0</v>
      </c>
      <c r="Q977" s="72">
        <f t="shared" si="368"/>
        <v>0.125</v>
      </c>
      <c r="R977" s="72">
        <f t="shared" si="369"/>
        <v>0.875</v>
      </c>
      <c r="S977" s="72">
        <f t="shared" si="370"/>
        <v>1.0396782082636118</v>
      </c>
      <c r="T977" s="72">
        <f t="shared" si="371"/>
        <v>1.0203217917363883</v>
      </c>
      <c r="U977" s="72">
        <f t="shared" si="372"/>
        <v>1.03</v>
      </c>
    </row>
    <row r="978" spans="1:21" x14ac:dyDescent="0.25">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0.85932166301969359</v>
      </c>
      <c r="P978" s="72">
        <f t="shared" si="367"/>
        <v>0</v>
      </c>
      <c r="Q978" s="72">
        <f t="shared" si="368"/>
        <v>4.1666666666666664E-2</v>
      </c>
      <c r="R978" s="72">
        <f t="shared" si="369"/>
        <v>0.95833333333333337</v>
      </c>
      <c r="S978" s="72">
        <f t="shared" si="370"/>
        <v>1.0412956622473934</v>
      </c>
      <c r="T978" s="72">
        <f t="shared" si="371"/>
        <v>1.0219392457201699</v>
      </c>
      <c r="U978" s="72">
        <f t="shared" si="372"/>
        <v>1.03</v>
      </c>
    </row>
    <row r="979" spans="1:21" x14ac:dyDescent="0.25">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0.86</v>
      </c>
      <c r="P979" s="72">
        <f t="shared" si="367"/>
        <v>0</v>
      </c>
      <c r="Q979" s="72">
        <f t="shared" si="368"/>
        <v>0</v>
      </c>
      <c r="R979" s="72">
        <f t="shared" si="369"/>
        <v>0.95833333333333337</v>
      </c>
      <c r="S979" s="72">
        <f t="shared" si="370"/>
        <v>1.0421176470588236</v>
      </c>
      <c r="T979" s="72">
        <f t="shared" si="371"/>
        <v>0.97497747457845274</v>
      </c>
      <c r="U979" s="72">
        <f t="shared" si="372"/>
        <v>1.03</v>
      </c>
    </row>
    <row r="980" spans="1:21" x14ac:dyDescent="0.25">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0.86</v>
      </c>
      <c r="P980" s="72">
        <f t="shared" si="367"/>
        <v>0</v>
      </c>
      <c r="Q980" s="72">
        <f t="shared" si="368"/>
        <v>0</v>
      </c>
      <c r="R980" s="72">
        <f t="shared" si="369"/>
        <v>0.875</v>
      </c>
      <c r="S980" s="72">
        <f t="shared" si="370"/>
        <v>1.0421176470588236</v>
      </c>
      <c r="T980" s="72">
        <f t="shared" si="371"/>
        <v>0.97649633157420512</v>
      </c>
      <c r="U980" s="72">
        <f t="shared" si="372"/>
        <v>1.03</v>
      </c>
    </row>
    <row r="981" spans="1:21" x14ac:dyDescent="0.25">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0.86</v>
      </c>
      <c r="P981" s="72">
        <f t="shared" si="367"/>
        <v>0</v>
      </c>
      <c r="Q981" s="72">
        <f t="shared" si="368"/>
        <v>0</v>
      </c>
      <c r="R981" s="72">
        <f t="shared" si="369"/>
        <v>0.79166666666666663</v>
      </c>
      <c r="S981" s="72">
        <f t="shared" si="370"/>
        <v>1.0421176470588236</v>
      </c>
      <c r="T981" s="72">
        <f t="shared" si="371"/>
        <v>0.97801518856995751</v>
      </c>
      <c r="U981" s="72">
        <f t="shared" si="372"/>
        <v>1.03</v>
      </c>
    </row>
    <row r="982" spans="1:21" x14ac:dyDescent="0.25">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0.86</v>
      </c>
      <c r="P982" s="72">
        <f t="shared" si="367"/>
        <v>0</v>
      </c>
      <c r="Q982" s="72">
        <f t="shared" si="368"/>
        <v>0</v>
      </c>
      <c r="R982" s="72">
        <f t="shared" si="369"/>
        <v>0.70833333333333337</v>
      </c>
      <c r="S982" s="72">
        <f t="shared" si="370"/>
        <v>1.0421176470588236</v>
      </c>
      <c r="T982" s="72">
        <f t="shared" si="371"/>
        <v>0.97958553224353195</v>
      </c>
      <c r="U982" s="72">
        <f t="shared" si="372"/>
        <v>1.03</v>
      </c>
    </row>
    <row r="983" spans="1:21" x14ac:dyDescent="0.25">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0.86</v>
      </c>
      <c r="P983" s="72">
        <f t="shared" si="367"/>
        <v>0</v>
      </c>
      <c r="Q983" s="72">
        <f t="shared" si="368"/>
        <v>0</v>
      </c>
      <c r="R983" s="72">
        <f t="shared" si="369"/>
        <v>0.625</v>
      </c>
      <c r="S983" s="72">
        <f t="shared" si="370"/>
        <v>1.0421176470588236</v>
      </c>
      <c r="T983" s="72">
        <f t="shared" si="371"/>
        <v>1.0105905521946197</v>
      </c>
      <c r="U983" s="72">
        <f t="shared" si="372"/>
        <v>1.03</v>
      </c>
    </row>
    <row r="984" spans="1:21" x14ac:dyDescent="0.25">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0.86</v>
      </c>
      <c r="P984" s="72">
        <f t="shared" si="367"/>
        <v>0</v>
      </c>
      <c r="Q984" s="72">
        <f t="shared" si="368"/>
        <v>0</v>
      </c>
      <c r="R984" s="72">
        <f t="shared" si="369"/>
        <v>0.54166666666666663</v>
      </c>
      <c r="S984" s="72">
        <f t="shared" si="370"/>
        <v>1.0421176470588236</v>
      </c>
      <c r="T984" s="72">
        <f t="shared" si="371"/>
        <v>1.0122080061784013</v>
      </c>
      <c r="U984" s="72">
        <f t="shared" si="372"/>
        <v>1.03</v>
      </c>
    </row>
    <row r="985" spans="1:21" x14ac:dyDescent="0.25">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0.86</v>
      </c>
      <c r="P985" s="72">
        <f t="shared" si="367"/>
        <v>0</v>
      </c>
      <c r="Q985" s="72">
        <f t="shared" si="368"/>
        <v>0</v>
      </c>
      <c r="R985" s="72">
        <f t="shared" si="369"/>
        <v>0.45833333333333331</v>
      </c>
      <c r="S985" s="72">
        <f t="shared" si="370"/>
        <v>1.0421176470588236</v>
      </c>
      <c r="T985" s="72">
        <f t="shared" si="371"/>
        <v>1.013825460162183</v>
      </c>
      <c r="U985" s="72">
        <f t="shared" si="372"/>
        <v>1.03</v>
      </c>
    </row>
    <row r="986" spans="1:21" x14ac:dyDescent="0.25">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0.86</v>
      </c>
      <c r="P986" s="72">
        <f t="shared" si="367"/>
        <v>0</v>
      </c>
      <c r="Q986" s="72">
        <f t="shared" si="368"/>
        <v>0</v>
      </c>
      <c r="R986" s="72">
        <f t="shared" si="369"/>
        <v>0.375</v>
      </c>
      <c r="S986" s="72">
        <f t="shared" si="370"/>
        <v>1.0421176470588236</v>
      </c>
      <c r="T986" s="72">
        <f t="shared" si="371"/>
        <v>1.0154694297850431</v>
      </c>
      <c r="U986" s="72">
        <f t="shared" si="372"/>
        <v>1.03</v>
      </c>
    </row>
    <row r="987" spans="1:21" x14ac:dyDescent="0.25">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0.86</v>
      </c>
      <c r="P987" s="72">
        <f t="shared" si="367"/>
        <v>0</v>
      </c>
      <c r="Q987" s="72">
        <f t="shared" si="368"/>
        <v>0</v>
      </c>
      <c r="R987" s="72">
        <f t="shared" si="369"/>
        <v>0.29166666666666669</v>
      </c>
      <c r="S987" s="72">
        <f t="shared" si="370"/>
        <v>1.0421176470588236</v>
      </c>
      <c r="T987" s="72">
        <f t="shared" si="371"/>
        <v>1.0170868837688247</v>
      </c>
      <c r="U987" s="72">
        <f t="shared" si="372"/>
        <v>1.03</v>
      </c>
    </row>
    <row r="988" spans="1:21" x14ac:dyDescent="0.25">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0.86</v>
      </c>
      <c r="P988" s="72">
        <f t="shared" si="367"/>
        <v>0</v>
      </c>
      <c r="Q988" s="72">
        <f t="shared" si="368"/>
        <v>0</v>
      </c>
      <c r="R988" s="72">
        <f t="shared" si="369"/>
        <v>0.20833333333333334</v>
      </c>
      <c r="S988" s="72">
        <f t="shared" si="370"/>
        <v>1.0421176470588236</v>
      </c>
      <c r="T988" s="72">
        <f t="shared" si="371"/>
        <v>1.0187043377526066</v>
      </c>
      <c r="U988" s="72">
        <f t="shared" si="372"/>
        <v>1.03</v>
      </c>
    </row>
    <row r="989" spans="1:21" x14ac:dyDescent="0.25">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0.86</v>
      </c>
      <c r="P989" s="72">
        <f t="shared" si="367"/>
        <v>0</v>
      </c>
      <c r="Q989" s="72">
        <f t="shared" si="368"/>
        <v>0</v>
      </c>
      <c r="R989" s="72">
        <f t="shared" si="369"/>
        <v>0.125</v>
      </c>
      <c r="S989" s="72">
        <f t="shared" si="370"/>
        <v>1.0421176470588236</v>
      </c>
      <c r="T989" s="72">
        <f t="shared" si="371"/>
        <v>1.0203217917363883</v>
      </c>
      <c r="U989" s="72">
        <f t="shared" si="372"/>
        <v>1.03</v>
      </c>
    </row>
    <row r="990" spans="1:21" x14ac:dyDescent="0.25">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0.86</v>
      </c>
      <c r="P990" s="72">
        <f t="shared" si="367"/>
        <v>0</v>
      </c>
      <c r="Q990" s="72">
        <f t="shared" si="368"/>
        <v>0</v>
      </c>
      <c r="R990" s="72">
        <f t="shared" si="369"/>
        <v>4.1666666666666664E-2</v>
      </c>
      <c r="S990" s="72">
        <f t="shared" si="370"/>
        <v>1.0421176470588236</v>
      </c>
      <c r="T990" s="72">
        <f t="shared" si="371"/>
        <v>1.0219392457201699</v>
      </c>
      <c r="U990" s="72">
        <f t="shared" si="372"/>
        <v>1.03</v>
      </c>
    </row>
    <row r="991" spans="1:21" x14ac:dyDescent="0.25">
      <c r="A991" s="77" t="s">
        <v>1209</v>
      </c>
      <c r="B991" s="50">
        <f>EXP(SUMPRODUCT((rl_key=$A$940)*(rl_cons="Y")*rl_ln1p))</f>
        <v>1.03</v>
      </c>
      <c r="C991" s="50">
        <f>SUMPRODUCT($H$943:$H$990,$P$943:$P$990,$U$943:$U$990)/SUMPRODUCT($H$943:$H$990,$P$943:$P$990)</f>
        <v>1.006666666666667</v>
      </c>
      <c r="D991" s="50">
        <f>SUMPRODUCT($H$943:$H$990,$Q$943:$Q$990,$U$943:$U$990)/SUMPRODUCT($H$943:$H$990,$Q$943:$Q$990)</f>
        <v>1.0283333333333335</v>
      </c>
      <c r="E991" s="50">
        <f>SUMPRODUCT($H$943:$H$990,$R$943:$R$990,$U$943:$U$990)/SUMPRODUCT($H$943:$H$990,$R$943:$R$990)</f>
        <v>1.0300000000000002</v>
      </c>
      <c r="F991" s="169">
        <f>SUMPRODUCT($H$943:$H$990,$Q$943:$Q$990,$O$943:$O$990)/SUMPRODUCT($H$943:$H$990,$Q$943:$Q$990)</f>
        <v>0.84399161196207151</v>
      </c>
      <c r="G991" s="169">
        <f>SUMPRODUCT($H$943:$H$990,$R$943:$R$990,$O$943:$O$990)/SUMPRODUCT($H$943:$H$990,$R$943:$R$990)</f>
        <v>0.85731271274009246</v>
      </c>
    </row>
    <row r="994" spans="1:21" x14ac:dyDescent="0.25">
      <c r="A994" s="77" t="str">
        <f>INDEX(lr_key,18)</f>
        <v>BU-A|OH</v>
      </c>
      <c r="B994" s="77" t="str">
        <f>INDEX(lr_state,18)</f>
        <v>OH</v>
      </c>
      <c r="C994" s="52">
        <f>nr_TermMonths</f>
        <v>12</v>
      </c>
      <c r="D994" s="52">
        <f>IF(COUNTIF(se_state,$B994)=0,0,MATCH($B994,se_state,0))</f>
        <v>0</v>
      </c>
      <c r="E994" s="54">
        <f>IF($D994=0,0,INDEX(se_sum,$D994))</f>
        <v>0</v>
      </c>
      <c r="F994" s="169">
        <f>IF(N(INDEX(lr_mind,18))=0,1,INDEX(lr_mind,18))</f>
        <v>0.85</v>
      </c>
      <c r="G994" s="169">
        <f>IF(N(INDEX(lr_m0,18))=0,1,INDEX(lr_m0,18))</f>
        <v>0.84</v>
      </c>
      <c r="H994" s="51">
        <f>IF(N(INDEX(lr_m0asof,18))=0,DATE(nr_PlanYear-1,10,1),INDEX(lr_m0asof,18))</f>
        <v>46295</v>
      </c>
      <c r="I994" s="169">
        <f>IF(N(INDEX(lr_m1,18))=0,1,INDEX(lr_m1,18))</f>
        <v>0.84</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25">
      <c r="A995" s="77">
        <f>EDATE($H$994,-12)+1</f>
        <v>45931</v>
      </c>
      <c r="B995" s="77">
        <f>$H$994+1</f>
        <v>46296</v>
      </c>
      <c r="C995" s="77">
        <f>DATE(nr_PlanYear,12,31)+1</f>
        <v>46753</v>
      </c>
      <c r="D995" s="77">
        <f>DATE(nr_PlanYear+1,12,31)+1</f>
        <v>47119</v>
      </c>
      <c r="E995" s="77">
        <f>IF(N($J$994)=0,$F$995-($G$995-$F$995)/($C$995-$B$995)*($B$995-$A$995),$J$994)</f>
        <v>0.84</v>
      </c>
      <c r="F995" s="77">
        <f>$G$994</f>
        <v>0.84</v>
      </c>
      <c r="G995" s="77">
        <f>$I$994</f>
        <v>0.84</v>
      </c>
      <c r="H995" s="77">
        <f>IF(N($K$994)=0,$I$994,$K$994)</f>
        <v>0.84</v>
      </c>
      <c r="I995" s="77">
        <f>($F$995-$E$995)/($B$995-$A$995)</f>
        <v>0</v>
      </c>
      <c r="J995" s="77">
        <f>($G$995-$F$995)/($C$995-$B$995)</f>
        <v>0</v>
      </c>
      <c r="K995" s="77">
        <f>($H$995-$G$995)/($D$995-$C$995)</f>
        <v>0</v>
      </c>
    </row>
    <row r="996" spans="1:21" ht="24" x14ac:dyDescent="0.25">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25">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0.84</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0.9882352941176471</v>
      </c>
      <c r="T997" s="72">
        <f t="shared" ref="T997:T1044" si="391">IF($G997&lt;nr_MStartP,$S997,$T985*(1+IF($G997&lt;nr_MStartP1,$M$994,$N$994)))</f>
        <v>0.9882352941176471</v>
      </c>
      <c r="U997" s="72">
        <f t="shared" ref="U997:U1044" si="392">IF($L$994,$T997,$N997)</f>
        <v>1</v>
      </c>
    </row>
    <row r="998" spans="1:21" x14ac:dyDescent="0.25">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0.84</v>
      </c>
      <c r="P998" s="72">
        <f t="shared" si="387"/>
        <v>0.125</v>
      </c>
      <c r="Q998" s="72">
        <f t="shared" si="388"/>
        <v>0</v>
      </c>
      <c r="R998" s="72">
        <f t="shared" si="389"/>
        <v>0</v>
      </c>
      <c r="S998" s="72">
        <f t="shared" si="390"/>
        <v>0.9882352941176471</v>
      </c>
      <c r="T998" s="72">
        <f t="shared" si="391"/>
        <v>0.9882352941176471</v>
      </c>
      <c r="U998" s="72">
        <f t="shared" si="392"/>
        <v>1</v>
      </c>
    </row>
    <row r="999" spans="1:21" x14ac:dyDescent="0.25">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0.84</v>
      </c>
      <c r="P999" s="72">
        <f t="shared" si="387"/>
        <v>0.20833333333333337</v>
      </c>
      <c r="Q999" s="72">
        <f t="shared" si="388"/>
        <v>0</v>
      </c>
      <c r="R999" s="72">
        <f t="shared" si="389"/>
        <v>0</v>
      </c>
      <c r="S999" s="72">
        <f t="shared" si="390"/>
        <v>0.9882352941176471</v>
      </c>
      <c r="T999" s="72">
        <f t="shared" si="391"/>
        <v>0.9882352941176471</v>
      </c>
      <c r="U999" s="72">
        <f t="shared" si="392"/>
        <v>1</v>
      </c>
    </row>
    <row r="1000" spans="1:21" x14ac:dyDescent="0.25">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0.84</v>
      </c>
      <c r="P1000" s="72">
        <f t="shared" si="387"/>
        <v>0.29166666666666663</v>
      </c>
      <c r="Q1000" s="72">
        <f t="shared" si="388"/>
        <v>0</v>
      </c>
      <c r="R1000" s="72">
        <f t="shared" si="389"/>
        <v>0</v>
      </c>
      <c r="S1000" s="72">
        <f t="shared" si="390"/>
        <v>0.9882352941176471</v>
      </c>
      <c r="T1000" s="72">
        <f t="shared" si="391"/>
        <v>0.9882352941176471</v>
      </c>
      <c r="U1000" s="72">
        <f t="shared" si="392"/>
        <v>1</v>
      </c>
    </row>
    <row r="1001" spans="1:21" x14ac:dyDescent="0.25">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0.84</v>
      </c>
      <c r="P1001" s="72">
        <f t="shared" si="387"/>
        <v>0.375</v>
      </c>
      <c r="Q1001" s="72">
        <f t="shared" si="388"/>
        <v>0</v>
      </c>
      <c r="R1001" s="72">
        <f t="shared" si="389"/>
        <v>0</v>
      </c>
      <c r="S1001" s="72">
        <f t="shared" si="390"/>
        <v>0.9882352941176471</v>
      </c>
      <c r="T1001" s="72">
        <f t="shared" si="391"/>
        <v>0.9882352941176471</v>
      </c>
      <c r="U1001" s="72">
        <f t="shared" si="392"/>
        <v>1</v>
      </c>
    </row>
    <row r="1002" spans="1:21" x14ac:dyDescent="0.25">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0.84</v>
      </c>
      <c r="P1002" s="72">
        <f t="shared" si="387"/>
        <v>0.45833333333333337</v>
      </c>
      <c r="Q1002" s="72">
        <f t="shared" si="388"/>
        <v>0</v>
      </c>
      <c r="R1002" s="72">
        <f t="shared" si="389"/>
        <v>0</v>
      </c>
      <c r="S1002" s="72">
        <f t="shared" si="390"/>
        <v>0.9882352941176471</v>
      </c>
      <c r="T1002" s="72">
        <f t="shared" si="391"/>
        <v>0.9882352941176471</v>
      </c>
      <c r="U1002" s="72">
        <f t="shared" si="392"/>
        <v>1</v>
      </c>
    </row>
    <row r="1003" spans="1:21" x14ac:dyDescent="0.25">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0.84</v>
      </c>
      <c r="P1003" s="72">
        <f t="shared" si="387"/>
        <v>0.54166666666666674</v>
      </c>
      <c r="Q1003" s="72">
        <f t="shared" si="388"/>
        <v>0</v>
      </c>
      <c r="R1003" s="72">
        <f t="shared" si="389"/>
        <v>0</v>
      </c>
      <c r="S1003" s="72">
        <f t="shared" si="390"/>
        <v>0.9882352941176471</v>
      </c>
      <c r="T1003" s="72">
        <f t="shared" si="391"/>
        <v>0.9882352941176471</v>
      </c>
      <c r="U1003" s="72">
        <f t="shared" si="392"/>
        <v>1</v>
      </c>
    </row>
    <row r="1004" spans="1:21" x14ac:dyDescent="0.25">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0.84</v>
      </c>
      <c r="P1004" s="72">
        <f t="shared" si="387"/>
        <v>0.625</v>
      </c>
      <c r="Q1004" s="72">
        <f t="shared" si="388"/>
        <v>0</v>
      </c>
      <c r="R1004" s="72">
        <f t="shared" si="389"/>
        <v>0</v>
      </c>
      <c r="S1004" s="72">
        <f t="shared" si="390"/>
        <v>0.9882352941176471</v>
      </c>
      <c r="T1004" s="72">
        <f t="shared" si="391"/>
        <v>0.9882352941176471</v>
      </c>
      <c r="U1004" s="72">
        <f t="shared" si="392"/>
        <v>1</v>
      </c>
    </row>
    <row r="1005" spans="1:21" x14ac:dyDescent="0.25">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0.84</v>
      </c>
      <c r="P1005" s="72">
        <f t="shared" si="387"/>
        <v>0.70833333333333326</v>
      </c>
      <c r="Q1005" s="72">
        <f t="shared" si="388"/>
        <v>0</v>
      </c>
      <c r="R1005" s="72">
        <f t="shared" si="389"/>
        <v>0</v>
      </c>
      <c r="S1005" s="72">
        <f t="shared" si="390"/>
        <v>0.9882352941176471</v>
      </c>
      <c r="T1005" s="72">
        <f t="shared" si="391"/>
        <v>0.9882352941176471</v>
      </c>
      <c r="U1005" s="72">
        <f t="shared" si="392"/>
        <v>1</v>
      </c>
    </row>
    <row r="1006" spans="1:21" x14ac:dyDescent="0.25">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0.84</v>
      </c>
      <c r="P1006" s="72">
        <f t="shared" si="387"/>
        <v>0.79166666666666663</v>
      </c>
      <c r="Q1006" s="72">
        <f t="shared" si="388"/>
        <v>0</v>
      </c>
      <c r="R1006" s="72">
        <f t="shared" si="389"/>
        <v>0</v>
      </c>
      <c r="S1006" s="72">
        <f t="shared" si="390"/>
        <v>0.9882352941176471</v>
      </c>
      <c r="T1006" s="72">
        <f t="shared" si="391"/>
        <v>0.9882352941176471</v>
      </c>
      <c r="U1006" s="72">
        <f t="shared" si="392"/>
        <v>1</v>
      </c>
    </row>
    <row r="1007" spans="1:21" x14ac:dyDescent="0.25">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0.84</v>
      </c>
      <c r="P1007" s="72">
        <f t="shared" si="387"/>
        <v>0.875</v>
      </c>
      <c r="Q1007" s="72">
        <f t="shared" si="388"/>
        <v>0</v>
      </c>
      <c r="R1007" s="72">
        <f t="shared" si="389"/>
        <v>0</v>
      </c>
      <c r="S1007" s="72">
        <f t="shared" si="390"/>
        <v>0.9882352941176471</v>
      </c>
      <c r="T1007" s="72">
        <f t="shared" si="391"/>
        <v>0.9882352941176471</v>
      </c>
      <c r="U1007" s="72">
        <f t="shared" si="392"/>
        <v>1</v>
      </c>
    </row>
    <row r="1008" spans="1:21" x14ac:dyDescent="0.25">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0.84</v>
      </c>
      <c r="P1008" s="72">
        <f t="shared" si="387"/>
        <v>0.95833333333333337</v>
      </c>
      <c r="Q1008" s="72">
        <f t="shared" si="388"/>
        <v>0</v>
      </c>
      <c r="R1008" s="72">
        <f t="shared" si="389"/>
        <v>0</v>
      </c>
      <c r="S1008" s="72">
        <f t="shared" si="390"/>
        <v>0.9882352941176471</v>
      </c>
      <c r="T1008" s="72">
        <f t="shared" si="391"/>
        <v>0.9882352941176471</v>
      </c>
      <c r="U1008" s="72">
        <f t="shared" si="392"/>
        <v>1</v>
      </c>
    </row>
    <row r="1009" spans="1:21" x14ac:dyDescent="0.25">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0.84</v>
      </c>
      <c r="P1009" s="72">
        <f t="shared" si="387"/>
        <v>0.95833333333333337</v>
      </c>
      <c r="Q1009" s="72">
        <f t="shared" si="388"/>
        <v>4.166666666666663E-2</v>
      </c>
      <c r="R1009" s="72">
        <f t="shared" si="389"/>
        <v>0</v>
      </c>
      <c r="S1009" s="72">
        <f t="shared" si="390"/>
        <v>0.9882352941176471</v>
      </c>
      <c r="T1009" s="72">
        <f t="shared" si="391"/>
        <v>0.9882352941176471</v>
      </c>
      <c r="U1009" s="72">
        <f t="shared" si="392"/>
        <v>1</v>
      </c>
    </row>
    <row r="1010" spans="1:21" x14ac:dyDescent="0.25">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0.84</v>
      </c>
      <c r="P1010" s="72">
        <f t="shared" si="387"/>
        <v>0.875</v>
      </c>
      <c r="Q1010" s="72">
        <f t="shared" si="388"/>
        <v>0.125</v>
      </c>
      <c r="R1010" s="72">
        <f t="shared" si="389"/>
        <v>0</v>
      </c>
      <c r="S1010" s="72">
        <f t="shared" si="390"/>
        <v>0.9882352941176471</v>
      </c>
      <c r="T1010" s="72">
        <f t="shared" si="391"/>
        <v>0.9882352941176471</v>
      </c>
      <c r="U1010" s="72">
        <f t="shared" si="392"/>
        <v>1</v>
      </c>
    </row>
    <row r="1011" spans="1:21" x14ac:dyDescent="0.25">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0.84</v>
      </c>
      <c r="P1011" s="72">
        <f t="shared" si="387"/>
        <v>0.79166666666666663</v>
      </c>
      <c r="Q1011" s="72">
        <f t="shared" si="388"/>
        <v>0.20833333333333337</v>
      </c>
      <c r="R1011" s="72">
        <f t="shared" si="389"/>
        <v>0</v>
      </c>
      <c r="S1011" s="72">
        <f t="shared" si="390"/>
        <v>0.9882352941176471</v>
      </c>
      <c r="T1011" s="72">
        <f t="shared" si="391"/>
        <v>0.9882352941176471</v>
      </c>
      <c r="U1011" s="72">
        <f t="shared" si="392"/>
        <v>1</v>
      </c>
    </row>
    <row r="1012" spans="1:21" x14ac:dyDescent="0.25">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0.84</v>
      </c>
      <c r="P1012" s="72">
        <f t="shared" si="387"/>
        <v>0.70833333333333337</v>
      </c>
      <c r="Q1012" s="72">
        <f t="shared" si="388"/>
        <v>0.29166666666666663</v>
      </c>
      <c r="R1012" s="72">
        <f t="shared" si="389"/>
        <v>0</v>
      </c>
      <c r="S1012" s="72">
        <f t="shared" si="390"/>
        <v>0.9882352941176471</v>
      </c>
      <c r="T1012" s="72">
        <f t="shared" si="391"/>
        <v>0.9882352941176471</v>
      </c>
      <c r="U1012" s="72">
        <f t="shared" si="392"/>
        <v>1</v>
      </c>
    </row>
    <row r="1013" spans="1:21" x14ac:dyDescent="0.25">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0.84</v>
      </c>
      <c r="P1013" s="72">
        <f t="shared" si="387"/>
        <v>0.625</v>
      </c>
      <c r="Q1013" s="72">
        <f t="shared" si="388"/>
        <v>0.375</v>
      </c>
      <c r="R1013" s="72">
        <f t="shared" si="389"/>
        <v>0</v>
      </c>
      <c r="S1013" s="72">
        <f t="shared" si="390"/>
        <v>0.9882352941176471</v>
      </c>
      <c r="T1013" s="72">
        <f t="shared" si="391"/>
        <v>0.9882352941176471</v>
      </c>
      <c r="U1013" s="72">
        <f t="shared" si="392"/>
        <v>1</v>
      </c>
    </row>
    <row r="1014" spans="1:21" x14ac:dyDescent="0.25">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0.84</v>
      </c>
      <c r="P1014" s="72">
        <f t="shared" si="387"/>
        <v>0.54166666666666663</v>
      </c>
      <c r="Q1014" s="72">
        <f t="shared" si="388"/>
        <v>0.45833333333333337</v>
      </c>
      <c r="R1014" s="72">
        <f t="shared" si="389"/>
        <v>0</v>
      </c>
      <c r="S1014" s="72">
        <f t="shared" si="390"/>
        <v>0.9882352941176471</v>
      </c>
      <c r="T1014" s="72">
        <f t="shared" si="391"/>
        <v>0.9882352941176471</v>
      </c>
      <c r="U1014" s="72">
        <f t="shared" si="392"/>
        <v>1</v>
      </c>
    </row>
    <row r="1015" spans="1:21" x14ac:dyDescent="0.25">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0.84</v>
      </c>
      <c r="P1015" s="72">
        <f t="shared" si="387"/>
        <v>0.45833333333333331</v>
      </c>
      <c r="Q1015" s="72">
        <f t="shared" si="388"/>
        <v>0.54166666666666674</v>
      </c>
      <c r="R1015" s="72">
        <f t="shared" si="389"/>
        <v>0</v>
      </c>
      <c r="S1015" s="72">
        <f t="shared" si="390"/>
        <v>0.9882352941176471</v>
      </c>
      <c r="T1015" s="72">
        <f t="shared" si="391"/>
        <v>0.9882352941176471</v>
      </c>
      <c r="U1015" s="72">
        <f t="shared" si="392"/>
        <v>1</v>
      </c>
    </row>
    <row r="1016" spans="1:21" x14ac:dyDescent="0.25">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0.84</v>
      </c>
      <c r="P1016" s="72">
        <f t="shared" si="387"/>
        <v>0.375</v>
      </c>
      <c r="Q1016" s="72">
        <f t="shared" si="388"/>
        <v>0.625</v>
      </c>
      <c r="R1016" s="72">
        <f t="shared" si="389"/>
        <v>0</v>
      </c>
      <c r="S1016" s="72">
        <f t="shared" si="390"/>
        <v>0.9882352941176471</v>
      </c>
      <c r="T1016" s="72">
        <f t="shared" si="391"/>
        <v>0.9882352941176471</v>
      </c>
      <c r="U1016" s="72">
        <f t="shared" si="392"/>
        <v>1</v>
      </c>
    </row>
    <row r="1017" spans="1:21" x14ac:dyDescent="0.25">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0.84</v>
      </c>
      <c r="P1017" s="72">
        <f t="shared" si="387"/>
        <v>0.29166666666666669</v>
      </c>
      <c r="Q1017" s="72">
        <f t="shared" si="388"/>
        <v>0.70833333333333326</v>
      </c>
      <c r="R1017" s="72">
        <f t="shared" si="389"/>
        <v>0</v>
      </c>
      <c r="S1017" s="72">
        <f t="shared" si="390"/>
        <v>0.9882352941176471</v>
      </c>
      <c r="T1017" s="72">
        <f t="shared" si="391"/>
        <v>0.9882352941176471</v>
      </c>
      <c r="U1017" s="72">
        <f t="shared" si="392"/>
        <v>1</v>
      </c>
    </row>
    <row r="1018" spans="1:21" x14ac:dyDescent="0.25">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0.84</v>
      </c>
      <c r="P1018" s="72">
        <f t="shared" si="387"/>
        <v>0.20833333333333334</v>
      </c>
      <c r="Q1018" s="72">
        <f t="shared" si="388"/>
        <v>0.79166666666666663</v>
      </c>
      <c r="R1018" s="72">
        <f t="shared" si="389"/>
        <v>0</v>
      </c>
      <c r="S1018" s="72">
        <f t="shared" si="390"/>
        <v>0.9882352941176471</v>
      </c>
      <c r="T1018" s="72">
        <f t="shared" si="391"/>
        <v>0.9882352941176471</v>
      </c>
      <c r="U1018" s="72">
        <f t="shared" si="392"/>
        <v>1</v>
      </c>
    </row>
    <row r="1019" spans="1:21" x14ac:dyDescent="0.25">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0.84</v>
      </c>
      <c r="P1019" s="72">
        <f t="shared" si="387"/>
        <v>0.125</v>
      </c>
      <c r="Q1019" s="72">
        <f t="shared" si="388"/>
        <v>0.875</v>
      </c>
      <c r="R1019" s="72">
        <f t="shared" si="389"/>
        <v>0</v>
      </c>
      <c r="S1019" s="72">
        <f t="shared" si="390"/>
        <v>0.9882352941176471</v>
      </c>
      <c r="T1019" s="72">
        <f t="shared" si="391"/>
        <v>0.9882352941176471</v>
      </c>
      <c r="U1019" s="72">
        <f t="shared" si="392"/>
        <v>1</v>
      </c>
    </row>
    <row r="1020" spans="1:21" x14ac:dyDescent="0.25">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0.84</v>
      </c>
      <c r="P1020" s="72">
        <f t="shared" si="387"/>
        <v>4.1666666666666664E-2</v>
      </c>
      <c r="Q1020" s="72">
        <f t="shared" si="388"/>
        <v>0.95833333333333337</v>
      </c>
      <c r="R1020" s="72">
        <f t="shared" si="389"/>
        <v>0</v>
      </c>
      <c r="S1020" s="72">
        <f t="shared" si="390"/>
        <v>0.9882352941176471</v>
      </c>
      <c r="T1020" s="72">
        <f t="shared" si="391"/>
        <v>0.9882352941176471</v>
      </c>
      <c r="U1020" s="72">
        <f t="shared" si="392"/>
        <v>1</v>
      </c>
    </row>
    <row r="1021" spans="1:21" x14ac:dyDescent="0.25">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0.84</v>
      </c>
      <c r="P1021" s="72">
        <f t="shared" si="387"/>
        <v>0</v>
      </c>
      <c r="Q1021" s="72">
        <f t="shared" si="388"/>
        <v>0.95833333333333337</v>
      </c>
      <c r="R1021" s="72">
        <f t="shared" si="389"/>
        <v>4.166666666666663E-2</v>
      </c>
      <c r="S1021" s="72">
        <f t="shared" si="390"/>
        <v>0.9882352941176471</v>
      </c>
      <c r="T1021" s="72">
        <f t="shared" si="391"/>
        <v>0.9882352941176471</v>
      </c>
      <c r="U1021" s="72">
        <f t="shared" si="392"/>
        <v>1</v>
      </c>
    </row>
    <row r="1022" spans="1:21" x14ac:dyDescent="0.25">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0.84</v>
      </c>
      <c r="P1022" s="72">
        <f t="shared" si="387"/>
        <v>0</v>
      </c>
      <c r="Q1022" s="72">
        <f t="shared" si="388"/>
        <v>0.875</v>
      </c>
      <c r="R1022" s="72">
        <f t="shared" si="389"/>
        <v>0.125</v>
      </c>
      <c r="S1022" s="72">
        <f t="shared" si="390"/>
        <v>0.9882352941176471</v>
      </c>
      <c r="T1022" s="72">
        <f t="shared" si="391"/>
        <v>0.9882352941176471</v>
      </c>
      <c r="U1022" s="72">
        <f t="shared" si="392"/>
        <v>1</v>
      </c>
    </row>
    <row r="1023" spans="1:21" x14ac:dyDescent="0.25">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0.84</v>
      </c>
      <c r="P1023" s="72">
        <f t="shared" si="387"/>
        <v>0</v>
      </c>
      <c r="Q1023" s="72">
        <f t="shared" si="388"/>
        <v>0.79166666666666663</v>
      </c>
      <c r="R1023" s="72">
        <f t="shared" si="389"/>
        <v>0.20833333333333337</v>
      </c>
      <c r="S1023" s="72">
        <f t="shared" si="390"/>
        <v>0.9882352941176471</v>
      </c>
      <c r="T1023" s="72">
        <f t="shared" si="391"/>
        <v>0.9882352941176471</v>
      </c>
      <c r="U1023" s="72">
        <f t="shared" si="392"/>
        <v>1</v>
      </c>
    </row>
    <row r="1024" spans="1:21" x14ac:dyDescent="0.25">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0.84</v>
      </c>
      <c r="P1024" s="72">
        <f t="shared" si="387"/>
        <v>0</v>
      </c>
      <c r="Q1024" s="72">
        <f t="shared" si="388"/>
        <v>0.70833333333333337</v>
      </c>
      <c r="R1024" s="72">
        <f t="shared" si="389"/>
        <v>0.29166666666666663</v>
      </c>
      <c r="S1024" s="72">
        <f t="shared" si="390"/>
        <v>0.9882352941176471</v>
      </c>
      <c r="T1024" s="72">
        <f t="shared" si="391"/>
        <v>0.9882352941176471</v>
      </c>
      <c r="U1024" s="72">
        <f t="shared" si="392"/>
        <v>1</v>
      </c>
    </row>
    <row r="1025" spans="1:21" x14ac:dyDescent="0.25">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0.84</v>
      </c>
      <c r="P1025" s="72">
        <f t="shared" si="387"/>
        <v>0</v>
      </c>
      <c r="Q1025" s="72">
        <f t="shared" si="388"/>
        <v>0.625</v>
      </c>
      <c r="R1025" s="72">
        <f t="shared" si="389"/>
        <v>0.375</v>
      </c>
      <c r="S1025" s="72">
        <f t="shared" si="390"/>
        <v>0.9882352941176471</v>
      </c>
      <c r="T1025" s="72">
        <f t="shared" si="391"/>
        <v>0.9882352941176471</v>
      </c>
      <c r="U1025" s="72">
        <f t="shared" si="392"/>
        <v>1</v>
      </c>
    </row>
    <row r="1026" spans="1:21" x14ac:dyDescent="0.25">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0.84</v>
      </c>
      <c r="P1026" s="72">
        <f t="shared" si="387"/>
        <v>0</v>
      </c>
      <c r="Q1026" s="72">
        <f t="shared" si="388"/>
        <v>0.54166666666666663</v>
      </c>
      <c r="R1026" s="72">
        <f t="shared" si="389"/>
        <v>0.45833333333333337</v>
      </c>
      <c r="S1026" s="72">
        <f t="shared" si="390"/>
        <v>0.9882352941176471</v>
      </c>
      <c r="T1026" s="72">
        <f t="shared" si="391"/>
        <v>0.9882352941176471</v>
      </c>
      <c r="U1026" s="72">
        <f t="shared" si="392"/>
        <v>1</v>
      </c>
    </row>
    <row r="1027" spans="1:21" x14ac:dyDescent="0.25">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0.84</v>
      </c>
      <c r="P1027" s="72">
        <f t="shared" si="387"/>
        <v>0</v>
      </c>
      <c r="Q1027" s="72">
        <f t="shared" si="388"/>
        <v>0.45833333333333331</v>
      </c>
      <c r="R1027" s="72">
        <f t="shared" si="389"/>
        <v>0.54166666666666674</v>
      </c>
      <c r="S1027" s="72">
        <f t="shared" si="390"/>
        <v>0.9882352941176471</v>
      </c>
      <c r="T1027" s="72">
        <f t="shared" si="391"/>
        <v>0.9882352941176471</v>
      </c>
      <c r="U1027" s="72">
        <f t="shared" si="392"/>
        <v>1</v>
      </c>
    </row>
    <row r="1028" spans="1:21" x14ac:dyDescent="0.25">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0.84</v>
      </c>
      <c r="P1028" s="72">
        <f t="shared" si="387"/>
        <v>0</v>
      </c>
      <c r="Q1028" s="72">
        <f t="shared" si="388"/>
        <v>0.375</v>
      </c>
      <c r="R1028" s="72">
        <f t="shared" si="389"/>
        <v>0.625</v>
      </c>
      <c r="S1028" s="72">
        <f t="shared" si="390"/>
        <v>1.0277647058823529</v>
      </c>
      <c r="T1028" s="72">
        <f t="shared" si="391"/>
        <v>0.9882352941176471</v>
      </c>
      <c r="U1028" s="72">
        <f t="shared" si="392"/>
        <v>1.04</v>
      </c>
    </row>
    <row r="1029" spans="1:21" x14ac:dyDescent="0.25">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0.84</v>
      </c>
      <c r="P1029" s="72">
        <f t="shared" si="387"/>
        <v>0</v>
      </c>
      <c r="Q1029" s="72">
        <f t="shared" si="388"/>
        <v>0.29166666666666669</v>
      </c>
      <c r="R1029" s="72">
        <f t="shared" si="389"/>
        <v>0.70833333333333326</v>
      </c>
      <c r="S1029" s="72">
        <f t="shared" si="390"/>
        <v>1.0277647058823529</v>
      </c>
      <c r="T1029" s="72">
        <f t="shared" si="391"/>
        <v>0.9882352941176471</v>
      </c>
      <c r="U1029" s="72">
        <f t="shared" si="392"/>
        <v>1.04</v>
      </c>
    </row>
    <row r="1030" spans="1:21" x14ac:dyDescent="0.25">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0.84</v>
      </c>
      <c r="P1030" s="72">
        <f t="shared" si="387"/>
        <v>0</v>
      </c>
      <c r="Q1030" s="72">
        <f t="shared" si="388"/>
        <v>0.20833333333333334</v>
      </c>
      <c r="R1030" s="72">
        <f t="shared" si="389"/>
        <v>0.79166666666666663</v>
      </c>
      <c r="S1030" s="72">
        <f t="shared" si="390"/>
        <v>1.0277647058823529</v>
      </c>
      <c r="T1030" s="72">
        <f t="shared" si="391"/>
        <v>0.9882352941176471</v>
      </c>
      <c r="U1030" s="72">
        <f t="shared" si="392"/>
        <v>1.04</v>
      </c>
    </row>
    <row r="1031" spans="1:21" x14ac:dyDescent="0.25">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0.84</v>
      </c>
      <c r="P1031" s="72">
        <f t="shared" si="387"/>
        <v>0</v>
      </c>
      <c r="Q1031" s="72">
        <f t="shared" si="388"/>
        <v>0.125</v>
      </c>
      <c r="R1031" s="72">
        <f t="shared" si="389"/>
        <v>0.875</v>
      </c>
      <c r="S1031" s="72">
        <f t="shared" si="390"/>
        <v>1.0277647058823529</v>
      </c>
      <c r="T1031" s="72">
        <f t="shared" si="391"/>
        <v>0.9882352941176471</v>
      </c>
      <c r="U1031" s="72">
        <f t="shared" si="392"/>
        <v>1.04</v>
      </c>
    </row>
    <row r="1032" spans="1:21" x14ac:dyDescent="0.25">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0.84</v>
      </c>
      <c r="P1032" s="72">
        <f t="shared" si="387"/>
        <v>0</v>
      </c>
      <c r="Q1032" s="72">
        <f t="shared" si="388"/>
        <v>4.1666666666666664E-2</v>
      </c>
      <c r="R1032" s="72">
        <f t="shared" si="389"/>
        <v>0.95833333333333337</v>
      </c>
      <c r="S1032" s="72">
        <f t="shared" si="390"/>
        <v>1.0277647058823529</v>
      </c>
      <c r="T1032" s="72">
        <f t="shared" si="391"/>
        <v>0.9882352941176471</v>
      </c>
      <c r="U1032" s="72">
        <f t="shared" si="392"/>
        <v>1.04</v>
      </c>
    </row>
    <row r="1033" spans="1:21" x14ac:dyDescent="0.25">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0.84</v>
      </c>
      <c r="P1033" s="72">
        <f t="shared" si="387"/>
        <v>0</v>
      </c>
      <c r="Q1033" s="72">
        <f t="shared" si="388"/>
        <v>0</v>
      </c>
      <c r="R1033" s="72">
        <f t="shared" si="389"/>
        <v>0.95833333333333337</v>
      </c>
      <c r="S1033" s="72">
        <f t="shared" si="390"/>
        <v>1.0277647058823529</v>
      </c>
      <c r="T1033" s="72">
        <f t="shared" si="391"/>
        <v>0.9882352941176471</v>
      </c>
      <c r="U1033" s="72">
        <f t="shared" si="392"/>
        <v>1.04</v>
      </c>
    </row>
    <row r="1034" spans="1:21" x14ac:dyDescent="0.25">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0.84</v>
      </c>
      <c r="P1034" s="72">
        <f t="shared" si="387"/>
        <v>0</v>
      </c>
      <c r="Q1034" s="72">
        <f t="shared" si="388"/>
        <v>0</v>
      </c>
      <c r="R1034" s="72">
        <f t="shared" si="389"/>
        <v>0.875</v>
      </c>
      <c r="S1034" s="72">
        <f t="shared" si="390"/>
        <v>1.0277647058823529</v>
      </c>
      <c r="T1034" s="72">
        <f t="shared" si="391"/>
        <v>0.9882352941176471</v>
      </c>
      <c r="U1034" s="72">
        <f t="shared" si="392"/>
        <v>1.04</v>
      </c>
    </row>
    <row r="1035" spans="1:21" x14ac:dyDescent="0.25">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0.84</v>
      </c>
      <c r="P1035" s="72">
        <f t="shared" si="387"/>
        <v>0</v>
      </c>
      <c r="Q1035" s="72">
        <f t="shared" si="388"/>
        <v>0</v>
      </c>
      <c r="R1035" s="72">
        <f t="shared" si="389"/>
        <v>0.79166666666666663</v>
      </c>
      <c r="S1035" s="72">
        <f t="shared" si="390"/>
        <v>1.0277647058823529</v>
      </c>
      <c r="T1035" s="72">
        <f t="shared" si="391"/>
        <v>0.9882352941176471</v>
      </c>
      <c r="U1035" s="72">
        <f t="shared" si="392"/>
        <v>1.04</v>
      </c>
    </row>
    <row r="1036" spans="1:21" x14ac:dyDescent="0.25">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0.84</v>
      </c>
      <c r="P1036" s="72">
        <f t="shared" si="387"/>
        <v>0</v>
      </c>
      <c r="Q1036" s="72">
        <f t="shared" si="388"/>
        <v>0</v>
      </c>
      <c r="R1036" s="72">
        <f t="shared" si="389"/>
        <v>0.70833333333333337</v>
      </c>
      <c r="S1036" s="72">
        <f t="shared" si="390"/>
        <v>1.0277647058823529</v>
      </c>
      <c r="T1036" s="72">
        <f t="shared" si="391"/>
        <v>0.9882352941176471</v>
      </c>
      <c r="U1036" s="72">
        <f t="shared" si="392"/>
        <v>1.04</v>
      </c>
    </row>
    <row r="1037" spans="1:21" x14ac:dyDescent="0.25">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0.84</v>
      </c>
      <c r="P1037" s="72">
        <f t="shared" si="387"/>
        <v>0</v>
      </c>
      <c r="Q1037" s="72">
        <f t="shared" si="388"/>
        <v>0</v>
      </c>
      <c r="R1037" s="72">
        <f t="shared" si="389"/>
        <v>0.625</v>
      </c>
      <c r="S1037" s="72">
        <f t="shared" si="390"/>
        <v>1.0277647058823529</v>
      </c>
      <c r="T1037" s="72">
        <f t="shared" si="391"/>
        <v>0.9882352941176471</v>
      </c>
      <c r="U1037" s="72">
        <f t="shared" si="392"/>
        <v>1.04</v>
      </c>
    </row>
    <row r="1038" spans="1:21" x14ac:dyDescent="0.25">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0.84</v>
      </c>
      <c r="P1038" s="72">
        <f t="shared" si="387"/>
        <v>0</v>
      </c>
      <c r="Q1038" s="72">
        <f t="shared" si="388"/>
        <v>0</v>
      </c>
      <c r="R1038" s="72">
        <f t="shared" si="389"/>
        <v>0.54166666666666663</v>
      </c>
      <c r="S1038" s="72">
        <f t="shared" si="390"/>
        <v>1.0277647058823529</v>
      </c>
      <c r="T1038" s="72">
        <f t="shared" si="391"/>
        <v>0.9882352941176471</v>
      </c>
      <c r="U1038" s="72">
        <f t="shared" si="392"/>
        <v>1.04</v>
      </c>
    </row>
    <row r="1039" spans="1:21" x14ac:dyDescent="0.25">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0.84</v>
      </c>
      <c r="P1039" s="72">
        <f t="shared" si="387"/>
        <v>0</v>
      </c>
      <c r="Q1039" s="72">
        <f t="shared" si="388"/>
        <v>0</v>
      </c>
      <c r="R1039" s="72">
        <f t="shared" si="389"/>
        <v>0.45833333333333331</v>
      </c>
      <c r="S1039" s="72">
        <f t="shared" si="390"/>
        <v>1.0277647058823529</v>
      </c>
      <c r="T1039" s="72">
        <f t="shared" si="391"/>
        <v>0.9882352941176471</v>
      </c>
      <c r="U1039" s="72">
        <f t="shared" si="392"/>
        <v>1.04</v>
      </c>
    </row>
    <row r="1040" spans="1:21" x14ac:dyDescent="0.25">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0.84</v>
      </c>
      <c r="P1040" s="72">
        <f t="shared" si="387"/>
        <v>0</v>
      </c>
      <c r="Q1040" s="72">
        <f t="shared" si="388"/>
        <v>0</v>
      </c>
      <c r="R1040" s="72">
        <f t="shared" si="389"/>
        <v>0.375</v>
      </c>
      <c r="S1040" s="72">
        <f t="shared" si="390"/>
        <v>1.0277647058823529</v>
      </c>
      <c r="T1040" s="72">
        <f t="shared" si="391"/>
        <v>0.9882352941176471</v>
      </c>
      <c r="U1040" s="72">
        <f t="shared" si="392"/>
        <v>1.04</v>
      </c>
    </row>
    <row r="1041" spans="1:21" x14ac:dyDescent="0.25">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0.84</v>
      </c>
      <c r="P1041" s="72">
        <f t="shared" si="387"/>
        <v>0</v>
      </c>
      <c r="Q1041" s="72">
        <f t="shared" si="388"/>
        <v>0</v>
      </c>
      <c r="R1041" s="72">
        <f t="shared" si="389"/>
        <v>0.29166666666666669</v>
      </c>
      <c r="S1041" s="72">
        <f t="shared" si="390"/>
        <v>1.0277647058823529</v>
      </c>
      <c r="T1041" s="72">
        <f t="shared" si="391"/>
        <v>0.9882352941176471</v>
      </c>
      <c r="U1041" s="72">
        <f t="shared" si="392"/>
        <v>1.04</v>
      </c>
    </row>
    <row r="1042" spans="1:21" x14ac:dyDescent="0.25">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0.84</v>
      </c>
      <c r="P1042" s="72">
        <f t="shared" si="387"/>
        <v>0</v>
      </c>
      <c r="Q1042" s="72">
        <f t="shared" si="388"/>
        <v>0</v>
      </c>
      <c r="R1042" s="72">
        <f t="shared" si="389"/>
        <v>0.20833333333333334</v>
      </c>
      <c r="S1042" s="72">
        <f t="shared" si="390"/>
        <v>1.0277647058823529</v>
      </c>
      <c r="T1042" s="72">
        <f t="shared" si="391"/>
        <v>0.9882352941176471</v>
      </c>
      <c r="U1042" s="72">
        <f t="shared" si="392"/>
        <v>1.04</v>
      </c>
    </row>
    <row r="1043" spans="1:21" x14ac:dyDescent="0.25">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0.84</v>
      </c>
      <c r="P1043" s="72">
        <f t="shared" si="387"/>
        <v>0</v>
      </c>
      <c r="Q1043" s="72">
        <f t="shared" si="388"/>
        <v>0</v>
      </c>
      <c r="R1043" s="72">
        <f t="shared" si="389"/>
        <v>0.125</v>
      </c>
      <c r="S1043" s="72">
        <f t="shared" si="390"/>
        <v>1.0277647058823529</v>
      </c>
      <c r="T1043" s="72">
        <f t="shared" si="391"/>
        <v>0.9882352941176471</v>
      </c>
      <c r="U1043" s="72">
        <f t="shared" si="392"/>
        <v>1.04</v>
      </c>
    </row>
    <row r="1044" spans="1:21" x14ac:dyDescent="0.25">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0.84</v>
      </c>
      <c r="P1044" s="72">
        <f t="shared" si="387"/>
        <v>0</v>
      </c>
      <c r="Q1044" s="72">
        <f t="shared" si="388"/>
        <v>0</v>
      </c>
      <c r="R1044" s="72">
        <f t="shared" si="389"/>
        <v>4.1666666666666664E-2</v>
      </c>
      <c r="S1044" s="72">
        <f t="shared" si="390"/>
        <v>1.0277647058823529</v>
      </c>
      <c r="T1044" s="72">
        <f t="shared" si="391"/>
        <v>0.9882352941176471</v>
      </c>
      <c r="U1044" s="72">
        <f t="shared" si="392"/>
        <v>1.04</v>
      </c>
    </row>
    <row r="1045" spans="1:21" x14ac:dyDescent="0.25">
      <c r="A1045" s="77" t="s">
        <v>1209</v>
      </c>
      <c r="B1045" s="50">
        <f>EXP(SUMPRODUCT((rl_key=$A$994)*(rl_cons="Y")*rl_ln1p))</f>
        <v>1</v>
      </c>
      <c r="C1045" s="50">
        <f>SUMPRODUCT($H$997:$H$1044,$P$997:$P$1044,$U$997:$U$1044)/SUMPRODUCT($H$997:$H$1044,$P$997:$P$1044)</f>
        <v>1</v>
      </c>
      <c r="D1045" s="50">
        <f>SUMPRODUCT($H$997:$H$1044,$Q$997:$Q$1044,$U$997:$U$1044)/SUMPRODUCT($H$997:$H$1044,$Q$997:$Q$1044)</f>
        <v>1.0034722222222223</v>
      </c>
      <c r="E1045" s="50">
        <f>SUMPRODUCT($H$997:$H$1044,$R$997:$R$1044,$U$997:$U$1044)/SUMPRODUCT($H$997:$H$1044,$R$997:$R$1044)</f>
        <v>1.0331944444444445</v>
      </c>
      <c r="F1045" s="169">
        <f>SUMPRODUCT($H$997:$H$1044,$Q$997:$Q$1044,$O$997:$O$1044)/SUMPRODUCT($H$997:$H$1044,$Q$997:$Q$1044)</f>
        <v>0.84</v>
      </c>
      <c r="G1045" s="169">
        <f>SUMPRODUCT($H$997:$H$1044,$R$997:$R$1044,$O$997:$O$1044)/SUMPRODUCT($H$997:$H$1044,$R$997:$R$1044)</f>
        <v>0.84</v>
      </c>
    </row>
    <row r="1048" spans="1:21" x14ac:dyDescent="0.25">
      <c r="A1048" s="77" t="str">
        <f>INDEX(lr_key,19)</f>
        <v>BU-A|PA</v>
      </c>
      <c r="B1048" s="77" t="str">
        <f>INDEX(lr_state,19)</f>
        <v>PA</v>
      </c>
      <c r="C1048" s="52">
        <f>nr_TermMonths</f>
        <v>12</v>
      </c>
      <c r="D1048" s="52">
        <f>IF(COUNTIF(se_state,$B1048)=0,0,MATCH($B1048,se_state,0))</f>
        <v>0</v>
      </c>
      <c r="E1048" s="54">
        <f>IF($D1048=0,0,INDEX(se_sum,$D1048))</f>
        <v>0</v>
      </c>
      <c r="F1048" s="169">
        <f>IF(N(INDEX(lr_mind,19))=0,1,INDEX(lr_mind,19))</f>
        <v>0.85</v>
      </c>
      <c r="G1048" s="169">
        <f>IF(N(INDEX(lr_m0,19))=0,1,INDEX(lr_m0,19))</f>
        <v>0.84</v>
      </c>
      <c r="H1048" s="51">
        <f>IF(N(INDEX(lr_m0asof,19))=0,DATE(nr_PlanYear-1,10,1),INDEX(lr_m0asof,19))</f>
        <v>46295</v>
      </c>
      <c r="I1048" s="169">
        <f>IF(N(INDEX(lr_m1,19))=0,1,INDEX(lr_m1,19))</f>
        <v>0.85499999999999998</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25">
      <c r="A1049" s="77">
        <f>EDATE($H$1048,-12)+1</f>
        <v>45931</v>
      </c>
      <c r="B1049" s="77">
        <f>$H$1048+1</f>
        <v>46296</v>
      </c>
      <c r="C1049" s="77">
        <f>DATE(nr_PlanYear,12,31)+1</f>
        <v>46753</v>
      </c>
      <c r="D1049" s="77">
        <f>DATE(nr_PlanYear+1,12,31)+1</f>
        <v>47119</v>
      </c>
      <c r="E1049" s="77">
        <f>IF(N($J$1048)=0,$F$1049-($G$1049-$F$1049)/($C$1049-$B$1049)*($B$1049-$A$1049),$J$1048)</f>
        <v>0.82801969365426686</v>
      </c>
      <c r="F1049" s="77">
        <f>$G$1048</f>
        <v>0.84</v>
      </c>
      <c r="G1049" s="77">
        <f>$I$1048</f>
        <v>0.85499999999999998</v>
      </c>
      <c r="H1049" s="77">
        <f>IF(N($K$1048)=0,$I$1048,$K$1048)</f>
        <v>0.85499999999999998</v>
      </c>
      <c r="I1049" s="77">
        <f>($F$1049-$E$1049)/($B$1049-$A$1049)</f>
        <v>3.2822757111597549E-5</v>
      </c>
      <c r="J1049" s="77">
        <f>($G$1049-$F$1049)/($C$1049-$B$1049)</f>
        <v>3.2822757111597407E-5</v>
      </c>
      <c r="K1049" s="77">
        <f>($H$1049-$G$1049)/($D$1049-$C$1049)</f>
        <v>0</v>
      </c>
    </row>
    <row r="1050" spans="1:21" ht="24" x14ac:dyDescent="0.25">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25">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0.81956783369803055</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0.96419745140944768</v>
      </c>
      <c r="T1051" s="72">
        <f t="shared" ref="T1051:T1098" si="411">IF($G1051&lt;nr_MStartP,$S1051,$T1039*(1+IF($G1051&lt;nr_MStartP1,$M$1048,$N$1048)))</f>
        <v>0.96419745140944768</v>
      </c>
      <c r="U1051" s="72">
        <f t="shared" ref="U1051:U1098" si="412">IF($L$1048,$T1051,$N1051)</f>
        <v>1</v>
      </c>
    </row>
    <row r="1052" spans="1:21" x14ac:dyDescent="0.25">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0.82053610503282259</v>
      </c>
      <c r="P1052" s="72">
        <f t="shared" si="407"/>
        <v>0.125</v>
      </c>
      <c r="Q1052" s="72">
        <f t="shared" si="408"/>
        <v>0</v>
      </c>
      <c r="R1052" s="72">
        <f t="shared" si="409"/>
        <v>0</v>
      </c>
      <c r="S1052" s="72">
        <f t="shared" si="410"/>
        <v>0.96533659415626194</v>
      </c>
      <c r="T1052" s="72">
        <f t="shared" si="411"/>
        <v>0.96533659415626194</v>
      </c>
      <c r="U1052" s="72">
        <f t="shared" si="412"/>
        <v>1</v>
      </c>
    </row>
    <row r="1053" spans="1:21" x14ac:dyDescent="0.25">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0.82150437636761475</v>
      </c>
      <c r="P1053" s="72">
        <f t="shared" si="407"/>
        <v>0.20833333333333337</v>
      </c>
      <c r="Q1053" s="72">
        <f t="shared" si="408"/>
        <v>0</v>
      </c>
      <c r="R1053" s="72">
        <f t="shared" si="409"/>
        <v>0</v>
      </c>
      <c r="S1053" s="72">
        <f t="shared" si="410"/>
        <v>0.9664757369030762</v>
      </c>
      <c r="T1053" s="72">
        <f t="shared" si="411"/>
        <v>0.9664757369030762</v>
      </c>
      <c r="U1053" s="72">
        <f t="shared" si="412"/>
        <v>1</v>
      </c>
    </row>
    <row r="1054" spans="1:21" x14ac:dyDescent="0.25">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0.8225054704595185</v>
      </c>
      <c r="P1054" s="72">
        <f t="shared" si="407"/>
        <v>0.29166666666666663</v>
      </c>
      <c r="Q1054" s="72">
        <f t="shared" si="408"/>
        <v>0</v>
      </c>
      <c r="R1054" s="72">
        <f t="shared" si="409"/>
        <v>0</v>
      </c>
      <c r="S1054" s="72">
        <f t="shared" si="410"/>
        <v>0.96765349465825712</v>
      </c>
      <c r="T1054" s="72">
        <f t="shared" si="411"/>
        <v>0.96765349465825712</v>
      </c>
      <c r="U1054" s="72">
        <f t="shared" si="412"/>
        <v>1</v>
      </c>
    </row>
    <row r="1055" spans="1:21" x14ac:dyDescent="0.25">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0.82350656455142224</v>
      </c>
      <c r="P1055" s="72">
        <f t="shared" si="407"/>
        <v>0.375</v>
      </c>
      <c r="Q1055" s="72">
        <f t="shared" si="408"/>
        <v>0</v>
      </c>
      <c r="R1055" s="72">
        <f t="shared" si="409"/>
        <v>0</v>
      </c>
      <c r="S1055" s="72">
        <f t="shared" si="410"/>
        <v>0.96883125241343793</v>
      </c>
      <c r="T1055" s="72">
        <f t="shared" si="411"/>
        <v>0.96883125241343793</v>
      </c>
      <c r="U1055" s="72">
        <f t="shared" si="412"/>
        <v>1</v>
      </c>
    </row>
    <row r="1056" spans="1:21" x14ac:dyDescent="0.25">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0.82450765864332598</v>
      </c>
      <c r="P1056" s="72">
        <f t="shared" si="407"/>
        <v>0.45833333333333337</v>
      </c>
      <c r="Q1056" s="72">
        <f t="shared" si="408"/>
        <v>0</v>
      </c>
      <c r="R1056" s="72">
        <f t="shared" si="409"/>
        <v>0</v>
      </c>
      <c r="S1056" s="72">
        <f t="shared" si="410"/>
        <v>0.97000901016861885</v>
      </c>
      <c r="T1056" s="72">
        <f t="shared" si="411"/>
        <v>0.97000901016861885</v>
      </c>
      <c r="U1056" s="72">
        <f t="shared" si="412"/>
        <v>1</v>
      </c>
    </row>
    <row r="1057" spans="1:21" x14ac:dyDescent="0.25">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0.82550875273522961</v>
      </c>
      <c r="P1057" s="72">
        <f t="shared" si="407"/>
        <v>0.54166666666666674</v>
      </c>
      <c r="Q1057" s="72">
        <f t="shared" si="408"/>
        <v>0</v>
      </c>
      <c r="R1057" s="72">
        <f t="shared" si="409"/>
        <v>0</v>
      </c>
      <c r="S1057" s="72">
        <f t="shared" si="410"/>
        <v>0.97118676792379954</v>
      </c>
      <c r="T1057" s="72">
        <f t="shared" si="411"/>
        <v>0.97118676792379954</v>
      </c>
      <c r="U1057" s="72">
        <f t="shared" si="412"/>
        <v>1</v>
      </c>
    </row>
    <row r="1058" spans="1:21" x14ac:dyDescent="0.25">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0.82652625820568915</v>
      </c>
      <c r="P1058" s="72">
        <f t="shared" si="407"/>
        <v>0.625</v>
      </c>
      <c r="Q1058" s="72">
        <f t="shared" si="408"/>
        <v>0</v>
      </c>
      <c r="R1058" s="72">
        <f t="shared" si="409"/>
        <v>0</v>
      </c>
      <c r="S1058" s="72">
        <f t="shared" si="410"/>
        <v>0.97238383318316368</v>
      </c>
      <c r="T1058" s="72">
        <f t="shared" si="411"/>
        <v>0.97238383318316368</v>
      </c>
      <c r="U1058" s="72">
        <f t="shared" si="412"/>
        <v>1</v>
      </c>
    </row>
    <row r="1059" spans="1:21" x14ac:dyDescent="0.25">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0.82752735229759289</v>
      </c>
      <c r="P1059" s="72">
        <f t="shared" si="407"/>
        <v>0.70833333333333326</v>
      </c>
      <c r="Q1059" s="72">
        <f t="shared" si="408"/>
        <v>0</v>
      </c>
      <c r="R1059" s="72">
        <f t="shared" si="409"/>
        <v>0</v>
      </c>
      <c r="S1059" s="72">
        <f t="shared" si="410"/>
        <v>0.9735615909383446</v>
      </c>
      <c r="T1059" s="72">
        <f t="shared" si="411"/>
        <v>0.9735615909383446</v>
      </c>
      <c r="U1059" s="72">
        <f t="shared" si="412"/>
        <v>1</v>
      </c>
    </row>
    <row r="1060" spans="1:21" x14ac:dyDescent="0.25">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0.82852844638949663</v>
      </c>
      <c r="P1060" s="72">
        <f t="shared" si="407"/>
        <v>0.79166666666666663</v>
      </c>
      <c r="Q1060" s="72">
        <f t="shared" si="408"/>
        <v>0</v>
      </c>
      <c r="R1060" s="72">
        <f t="shared" si="409"/>
        <v>0</v>
      </c>
      <c r="S1060" s="72">
        <f t="shared" si="410"/>
        <v>0.97473934869352552</v>
      </c>
      <c r="T1060" s="72">
        <f t="shared" si="411"/>
        <v>0.97473934869352552</v>
      </c>
      <c r="U1060" s="72">
        <f t="shared" si="412"/>
        <v>1</v>
      </c>
    </row>
    <row r="1061" spans="1:21" x14ac:dyDescent="0.25">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0.82952954048140037</v>
      </c>
      <c r="P1061" s="72">
        <f t="shared" si="407"/>
        <v>0.875</v>
      </c>
      <c r="Q1061" s="72">
        <f t="shared" si="408"/>
        <v>0</v>
      </c>
      <c r="R1061" s="72">
        <f t="shared" si="409"/>
        <v>0</v>
      </c>
      <c r="S1061" s="72">
        <f t="shared" si="410"/>
        <v>0.97591710644870633</v>
      </c>
      <c r="T1061" s="72">
        <f t="shared" si="411"/>
        <v>0.97591710644870633</v>
      </c>
      <c r="U1061" s="72">
        <f t="shared" si="412"/>
        <v>1</v>
      </c>
    </row>
    <row r="1062" spans="1:21" x14ac:dyDescent="0.25">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0.83053063457330412</v>
      </c>
      <c r="P1062" s="72">
        <f t="shared" si="407"/>
        <v>0.95833333333333337</v>
      </c>
      <c r="Q1062" s="72">
        <f t="shared" si="408"/>
        <v>0</v>
      </c>
      <c r="R1062" s="72">
        <f t="shared" si="409"/>
        <v>0</v>
      </c>
      <c r="S1062" s="72">
        <f t="shared" si="410"/>
        <v>0.97709486420388725</v>
      </c>
      <c r="T1062" s="72">
        <f t="shared" si="411"/>
        <v>0.97709486420388725</v>
      </c>
      <c r="U1062" s="72">
        <f t="shared" si="412"/>
        <v>1</v>
      </c>
    </row>
    <row r="1063" spans="1:21" x14ac:dyDescent="0.25">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0.83154814004376365</v>
      </c>
      <c r="P1063" s="72">
        <f t="shared" si="407"/>
        <v>0.95833333333333337</v>
      </c>
      <c r="Q1063" s="72">
        <f t="shared" si="408"/>
        <v>4.166666666666663E-2</v>
      </c>
      <c r="R1063" s="72">
        <f t="shared" si="409"/>
        <v>0</v>
      </c>
      <c r="S1063" s="72">
        <f t="shared" si="410"/>
        <v>0.97829192946325139</v>
      </c>
      <c r="T1063" s="72">
        <f t="shared" si="411"/>
        <v>0.97829192946325139</v>
      </c>
      <c r="U1063" s="72">
        <f t="shared" si="412"/>
        <v>1</v>
      </c>
    </row>
    <row r="1064" spans="1:21" x14ac:dyDescent="0.25">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0.8325164113785557</v>
      </c>
      <c r="P1064" s="72">
        <f t="shared" si="407"/>
        <v>0.875</v>
      </c>
      <c r="Q1064" s="72">
        <f t="shared" si="408"/>
        <v>0.125</v>
      </c>
      <c r="R1064" s="72">
        <f t="shared" si="409"/>
        <v>0</v>
      </c>
      <c r="S1064" s="72">
        <f t="shared" si="410"/>
        <v>0.97943107221006553</v>
      </c>
      <c r="T1064" s="72">
        <f t="shared" si="411"/>
        <v>0.97943107221006553</v>
      </c>
      <c r="U1064" s="72">
        <f t="shared" si="412"/>
        <v>1</v>
      </c>
    </row>
    <row r="1065" spans="1:21" x14ac:dyDescent="0.25">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0.83348468271334786</v>
      </c>
      <c r="P1065" s="72">
        <f t="shared" si="407"/>
        <v>0.79166666666666663</v>
      </c>
      <c r="Q1065" s="72">
        <f t="shared" si="408"/>
        <v>0.20833333333333337</v>
      </c>
      <c r="R1065" s="72">
        <f t="shared" si="409"/>
        <v>0</v>
      </c>
      <c r="S1065" s="72">
        <f t="shared" si="410"/>
        <v>0.9805702149568799</v>
      </c>
      <c r="T1065" s="72">
        <f t="shared" si="411"/>
        <v>0.9805702149568799</v>
      </c>
      <c r="U1065" s="72">
        <f t="shared" si="412"/>
        <v>1</v>
      </c>
    </row>
    <row r="1066" spans="1:21" x14ac:dyDescent="0.25">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0.8344857768052516</v>
      </c>
      <c r="P1066" s="72">
        <f t="shared" si="407"/>
        <v>0.70833333333333337</v>
      </c>
      <c r="Q1066" s="72">
        <f t="shared" si="408"/>
        <v>0.29166666666666663</v>
      </c>
      <c r="R1066" s="72">
        <f t="shared" si="409"/>
        <v>0</v>
      </c>
      <c r="S1066" s="72">
        <f t="shared" si="410"/>
        <v>0.98174797271206071</v>
      </c>
      <c r="T1066" s="72">
        <f t="shared" si="411"/>
        <v>0.98174797271206071</v>
      </c>
      <c r="U1066" s="72">
        <f t="shared" si="412"/>
        <v>1</v>
      </c>
    </row>
    <row r="1067" spans="1:21" x14ac:dyDescent="0.25">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0.83548687089715534</v>
      </c>
      <c r="P1067" s="72">
        <f t="shared" si="407"/>
        <v>0.625</v>
      </c>
      <c r="Q1067" s="72">
        <f t="shared" si="408"/>
        <v>0.375</v>
      </c>
      <c r="R1067" s="72">
        <f t="shared" si="409"/>
        <v>0</v>
      </c>
      <c r="S1067" s="72">
        <f t="shared" si="410"/>
        <v>0.98292573046724163</v>
      </c>
      <c r="T1067" s="72">
        <f t="shared" si="411"/>
        <v>0.98292573046724163</v>
      </c>
      <c r="U1067" s="72">
        <f t="shared" si="412"/>
        <v>1</v>
      </c>
    </row>
    <row r="1068" spans="1:21" x14ac:dyDescent="0.25">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0.83648796498905909</v>
      </c>
      <c r="P1068" s="72">
        <f t="shared" si="407"/>
        <v>0.54166666666666663</v>
      </c>
      <c r="Q1068" s="72">
        <f t="shared" si="408"/>
        <v>0.45833333333333337</v>
      </c>
      <c r="R1068" s="72">
        <f t="shared" si="409"/>
        <v>0</v>
      </c>
      <c r="S1068" s="72">
        <f t="shared" si="410"/>
        <v>0.98410348822242244</v>
      </c>
      <c r="T1068" s="72">
        <f t="shared" si="411"/>
        <v>0.98410348822242244</v>
      </c>
      <c r="U1068" s="72">
        <f t="shared" si="412"/>
        <v>1</v>
      </c>
    </row>
    <row r="1069" spans="1:21" x14ac:dyDescent="0.25">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0.83748905908096272</v>
      </c>
      <c r="P1069" s="72">
        <f t="shared" si="407"/>
        <v>0.45833333333333331</v>
      </c>
      <c r="Q1069" s="72">
        <f t="shared" si="408"/>
        <v>0.54166666666666674</v>
      </c>
      <c r="R1069" s="72">
        <f t="shared" si="409"/>
        <v>0</v>
      </c>
      <c r="S1069" s="72">
        <f t="shared" si="410"/>
        <v>1.0345453082764835</v>
      </c>
      <c r="T1069" s="72">
        <f t="shared" si="411"/>
        <v>1.0345453082764835</v>
      </c>
      <c r="U1069" s="72">
        <f t="shared" si="412"/>
        <v>1.05</v>
      </c>
    </row>
    <row r="1070" spans="1:21" x14ac:dyDescent="0.25">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0.83850656455142225</v>
      </c>
      <c r="P1070" s="72">
        <f t="shared" si="407"/>
        <v>0.375</v>
      </c>
      <c r="Q1070" s="72">
        <f t="shared" si="408"/>
        <v>0.625</v>
      </c>
      <c r="R1070" s="72">
        <f t="shared" si="409"/>
        <v>0</v>
      </c>
      <c r="S1070" s="72">
        <f t="shared" si="410"/>
        <v>1.0358022267988158</v>
      </c>
      <c r="T1070" s="72">
        <f t="shared" si="411"/>
        <v>1.0358022267988158</v>
      </c>
      <c r="U1070" s="72">
        <f t="shared" si="412"/>
        <v>1.05</v>
      </c>
    </row>
    <row r="1071" spans="1:21" x14ac:dyDescent="0.25">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0.83950765864332599</v>
      </c>
      <c r="P1071" s="72">
        <f t="shared" si="407"/>
        <v>0.29166666666666669</v>
      </c>
      <c r="Q1071" s="72">
        <f t="shared" si="408"/>
        <v>0.70833333333333326</v>
      </c>
      <c r="R1071" s="72">
        <f t="shared" si="409"/>
        <v>0</v>
      </c>
      <c r="S1071" s="72">
        <f t="shared" si="410"/>
        <v>1.0370388724417559</v>
      </c>
      <c r="T1071" s="72">
        <f t="shared" si="411"/>
        <v>1.0370388724417559</v>
      </c>
      <c r="U1071" s="72">
        <f t="shared" si="412"/>
        <v>1.05</v>
      </c>
    </row>
    <row r="1072" spans="1:21" x14ac:dyDescent="0.25">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0.84050875273522974</v>
      </c>
      <c r="P1072" s="72">
        <f t="shared" si="407"/>
        <v>0.20833333333333334</v>
      </c>
      <c r="Q1072" s="72">
        <f t="shared" si="408"/>
        <v>0.79166666666666663</v>
      </c>
      <c r="R1072" s="72">
        <f t="shared" si="409"/>
        <v>0</v>
      </c>
      <c r="S1072" s="72">
        <f t="shared" si="410"/>
        <v>1.0382755180846956</v>
      </c>
      <c r="T1072" s="72">
        <f t="shared" si="411"/>
        <v>1.0382755180846956</v>
      </c>
      <c r="U1072" s="72">
        <f t="shared" si="412"/>
        <v>1.05</v>
      </c>
    </row>
    <row r="1073" spans="1:21" x14ac:dyDescent="0.25">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0.84150984682713348</v>
      </c>
      <c r="P1073" s="72">
        <f t="shared" si="407"/>
        <v>0.125</v>
      </c>
      <c r="Q1073" s="72">
        <f t="shared" si="408"/>
        <v>0.875</v>
      </c>
      <c r="R1073" s="72">
        <f t="shared" si="409"/>
        <v>0</v>
      </c>
      <c r="S1073" s="72">
        <f t="shared" si="410"/>
        <v>1.0395121637276357</v>
      </c>
      <c r="T1073" s="72">
        <f t="shared" si="411"/>
        <v>1.0395121637276357</v>
      </c>
      <c r="U1073" s="72">
        <f t="shared" si="412"/>
        <v>1.05</v>
      </c>
    </row>
    <row r="1074" spans="1:21" x14ac:dyDescent="0.25">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0.84251094091903722</v>
      </c>
      <c r="P1074" s="72">
        <f t="shared" si="407"/>
        <v>4.1666666666666664E-2</v>
      </c>
      <c r="Q1074" s="72">
        <f t="shared" si="408"/>
        <v>0.95833333333333337</v>
      </c>
      <c r="R1074" s="72">
        <f t="shared" si="409"/>
        <v>0</v>
      </c>
      <c r="S1074" s="72">
        <f t="shared" si="410"/>
        <v>1.0407488093705755</v>
      </c>
      <c r="T1074" s="72">
        <f t="shared" si="411"/>
        <v>1.0407488093705755</v>
      </c>
      <c r="U1074" s="72">
        <f t="shared" si="412"/>
        <v>1.05</v>
      </c>
    </row>
    <row r="1075" spans="1:21" x14ac:dyDescent="0.25">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0.84352844638949664</v>
      </c>
      <c r="P1075" s="72">
        <f t="shared" si="407"/>
        <v>0</v>
      </c>
      <c r="Q1075" s="72">
        <f t="shared" si="408"/>
        <v>0.95833333333333337</v>
      </c>
      <c r="R1075" s="72">
        <f t="shared" si="409"/>
        <v>4.166666666666663E-2</v>
      </c>
      <c r="S1075" s="72">
        <f t="shared" si="410"/>
        <v>1.0420057278929076</v>
      </c>
      <c r="T1075" s="72">
        <f t="shared" si="411"/>
        <v>0.97829192946325139</v>
      </c>
      <c r="U1075" s="72">
        <f t="shared" si="412"/>
        <v>1.05</v>
      </c>
    </row>
    <row r="1076" spans="1:21" x14ac:dyDescent="0.25">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0.8444967177242888</v>
      </c>
      <c r="P1076" s="72">
        <f t="shared" si="407"/>
        <v>0</v>
      </c>
      <c r="Q1076" s="72">
        <f t="shared" si="408"/>
        <v>0.875</v>
      </c>
      <c r="R1076" s="72">
        <f t="shared" si="409"/>
        <v>0.125</v>
      </c>
      <c r="S1076" s="72">
        <f t="shared" si="410"/>
        <v>1.0432018277770627</v>
      </c>
      <c r="T1076" s="72">
        <f t="shared" si="411"/>
        <v>0.97943107221006553</v>
      </c>
      <c r="U1076" s="72">
        <f t="shared" si="412"/>
        <v>1.05</v>
      </c>
    </row>
    <row r="1077" spans="1:21" x14ac:dyDescent="0.25">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0.84546498905908096</v>
      </c>
      <c r="P1077" s="72">
        <f t="shared" si="407"/>
        <v>0</v>
      </c>
      <c r="Q1077" s="72">
        <f t="shared" si="408"/>
        <v>0.79166666666666663</v>
      </c>
      <c r="R1077" s="72">
        <f t="shared" si="409"/>
        <v>0.20833333333333337</v>
      </c>
      <c r="S1077" s="72">
        <f t="shared" si="410"/>
        <v>1.0443979276612176</v>
      </c>
      <c r="T1077" s="72">
        <f t="shared" si="411"/>
        <v>0.9805702149568799</v>
      </c>
      <c r="U1077" s="72">
        <f t="shared" si="412"/>
        <v>1.05</v>
      </c>
    </row>
    <row r="1078" spans="1:21" x14ac:dyDescent="0.25">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0.8464660831509847</v>
      </c>
      <c r="P1078" s="72">
        <f t="shared" si="407"/>
        <v>0</v>
      </c>
      <c r="Q1078" s="72">
        <f t="shared" si="408"/>
        <v>0.70833333333333337</v>
      </c>
      <c r="R1078" s="72">
        <f t="shared" si="409"/>
        <v>0.29166666666666663</v>
      </c>
      <c r="S1078" s="72">
        <f t="shared" si="410"/>
        <v>1.0456345733041577</v>
      </c>
      <c r="T1078" s="72">
        <f t="shared" si="411"/>
        <v>0.98174797271206071</v>
      </c>
      <c r="U1078" s="72">
        <f t="shared" si="412"/>
        <v>1.05</v>
      </c>
    </row>
    <row r="1079" spans="1:21" x14ac:dyDescent="0.25">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0.84746717724288834</v>
      </c>
      <c r="P1079" s="72">
        <f t="shared" si="407"/>
        <v>0</v>
      </c>
      <c r="Q1079" s="72">
        <f t="shared" si="408"/>
        <v>0.625</v>
      </c>
      <c r="R1079" s="72">
        <f t="shared" si="409"/>
        <v>0.375</v>
      </c>
      <c r="S1079" s="72">
        <f t="shared" si="410"/>
        <v>1.0468712189470974</v>
      </c>
      <c r="T1079" s="72">
        <f t="shared" si="411"/>
        <v>0.98292573046724163</v>
      </c>
      <c r="U1079" s="72">
        <f t="shared" si="412"/>
        <v>1.05</v>
      </c>
    </row>
    <row r="1080" spans="1:21" x14ac:dyDescent="0.25">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0.84846827133479208</v>
      </c>
      <c r="P1080" s="72">
        <f t="shared" si="407"/>
        <v>0</v>
      </c>
      <c r="Q1080" s="72">
        <f t="shared" si="408"/>
        <v>0.54166666666666663</v>
      </c>
      <c r="R1080" s="72">
        <f t="shared" si="409"/>
        <v>0.45833333333333337</v>
      </c>
      <c r="S1080" s="72">
        <f t="shared" si="410"/>
        <v>1.0481078645900375</v>
      </c>
      <c r="T1080" s="72">
        <f t="shared" si="411"/>
        <v>0.98410348822242244</v>
      </c>
      <c r="U1080" s="72">
        <f t="shared" si="412"/>
        <v>1.05</v>
      </c>
    </row>
    <row r="1081" spans="1:21" x14ac:dyDescent="0.25">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0.84946936542669582</v>
      </c>
      <c r="P1081" s="72">
        <f t="shared" si="407"/>
        <v>0</v>
      </c>
      <c r="Q1081" s="72">
        <f t="shared" si="408"/>
        <v>0.45833333333333331</v>
      </c>
      <c r="R1081" s="72">
        <f t="shared" si="409"/>
        <v>0.54166666666666674</v>
      </c>
      <c r="S1081" s="72">
        <f t="shared" si="410"/>
        <v>1.0493445102329773</v>
      </c>
      <c r="T1081" s="72">
        <f t="shared" si="411"/>
        <v>1.0345453082764835</v>
      </c>
      <c r="U1081" s="72">
        <f t="shared" si="412"/>
        <v>1.05</v>
      </c>
    </row>
    <row r="1082" spans="1:21" x14ac:dyDescent="0.25">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0.85048687089715536</v>
      </c>
      <c r="P1082" s="72">
        <f t="shared" si="407"/>
        <v>0</v>
      </c>
      <c r="Q1082" s="72">
        <f t="shared" si="408"/>
        <v>0.375</v>
      </c>
      <c r="R1082" s="72">
        <f t="shared" si="409"/>
        <v>0.625</v>
      </c>
      <c r="S1082" s="72">
        <f t="shared" si="410"/>
        <v>1.0506014287553096</v>
      </c>
      <c r="T1082" s="72">
        <f t="shared" si="411"/>
        <v>1.0358022267988158</v>
      </c>
      <c r="U1082" s="72">
        <f t="shared" si="412"/>
        <v>1.05</v>
      </c>
    </row>
    <row r="1083" spans="1:21" x14ac:dyDescent="0.25">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0.8514879649890591</v>
      </c>
      <c r="P1083" s="72">
        <f t="shared" si="407"/>
        <v>0</v>
      </c>
      <c r="Q1083" s="72">
        <f t="shared" si="408"/>
        <v>0.29166666666666669</v>
      </c>
      <c r="R1083" s="72">
        <f t="shared" si="409"/>
        <v>0.70833333333333326</v>
      </c>
      <c r="S1083" s="72">
        <f t="shared" si="410"/>
        <v>1.0518380743982496</v>
      </c>
      <c r="T1083" s="72">
        <f t="shared" si="411"/>
        <v>1.0370388724417559</v>
      </c>
      <c r="U1083" s="72">
        <f t="shared" si="412"/>
        <v>1.05</v>
      </c>
    </row>
    <row r="1084" spans="1:21" x14ac:dyDescent="0.25">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0.85248905908096273</v>
      </c>
      <c r="P1084" s="72">
        <f t="shared" si="407"/>
        <v>0</v>
      </c>
      <c r="Q1084" s="72">
        <f t="shared" si="408"/>
        <v>0.20833333333333334</v>
      </c>
      <c r="R1084" s="72">
        <f t="shared" si="409"/>
        <v>0.79166666666666663</v>
      </c>
      <c r="S1084" s="72">
        <f t="shared" si="410"/>
        <v>1.0530747200411892</v>
      </c>
      <c r="T1084" s="72">
        <f t="shared" si="411"/>
        <v>1.0382755180846956</v>
      </c>
      <c r="U1084" s="72">
        <f t="shared" si="412"/>
        <v>1.05</v>
      </c>
    </row>
    <row r="1085" spans="1:21" x14ac:dyDescent="0.25">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0.85349015317286647</v>
      </c>
      <c r="P1085" s="72">
        <f t="shared" si="407"/>
        <v>0</v>
      </c>
      <c r="Q1085" s="72">
        <f t="shared" si="408"/>
        <v>0.125</v>
      </c>
      <c r="R1085" s="72">
        <f t="shared" si="409"/>
        <v>0.875</v>
      </c>
      <c r="S1085" s="72">
        <f t="shared" si="410"/>
        <v>1.0543113656841294</v>
      </c>
      <c r="T1085" s="72">
        <f t="shared" si="411"/>
        <v>1.0395121637276357</v>
      </c>
      <c r="U1085" s="72">
        <f t="shared" si="412"/>
        <v>1.05</v>
      </c>
    </row>
    <row r="1086" spans="1:21" x14ac:dyDescent="0.25">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0.85449124726477022</v>
      </c>
      <c r="P1086" s="72">
        <f t="shared" si="407"/>
        <v>0</v>
      </c>
      <c r="Q1086" s="72">
        <f t="shared" si="408"/>
        <v>4.1666666666666664E-2</v>
      </c>
      <c r="R1086" s="72">
        <f t="shared" si="409"/>
        <v>0.95833333333333337</v>
      </c>
      <c r="S1086" s="72">
        <f t="shared" si="410"/>
        <v>1.0555480113270692</v>
      </c>
      <c r="T1086" s="72">
        <f t="shared" si="411"/>
        <v>1.0407488093705755</v>
      </c>
      <c r="U1086" s="72">
        <f t="shared" si="412"/>
        <v>1.05</v>
      </c>
    </row>
    <row r="1087" spans="1:21" x14ac:dyDescent="0.25">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0.85499999999999998</v>
      </c>
      <c r="P1087" s="72">
        <f t="shared" si="407"/>
        <v>0</v>
      </c>
      <c r="Q1087" s="72">
        <f t="shared" si="408"/>
        <v>0</v>
      </c>
      <c r="R1087" s="72">
        <f t="shared" si="409"/>
        <v>0.95833333333333337</v>
      </c>
      <c r="S1087" s="72">
        <f t="shared" si="410"/>
        <v>1.0561764705882353</v>
      </c>
      <c r="T1087" s="72">
        <f t="shared" si="411"/>
        <v>0.97829192946325139</v>
      </c>
      <c r="U1087" s="72">
        <f t="shared" si="412"/>
        <v>1.05</v>
      </c>
    </row>
    <row r="1088" spans="1:21" x14ac:dyDescent="0.25">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0.85499999999999998</v>
      </c>
      <c r="P1088" s="72">
        <f t="shared" si="407"/>
        <v>0</v>
      </c>
      <c r="Q1088" s="72">
        <f t="shared" si="408"/>
        <v>0</v>
      </c>
      <c r="R1088" s="72">
        <f t="shared" si="409"/>
        <v>0.875</v>
      </c>
      <c r="S1088" s="72">
        <f t="shared" si="410"/>
        <v>1.0561764705882353</v>
      </c>
      <c r="T1088" s="72">
        <f t="shared" si="411"/>
        <v>0.97943107221006553</v>
      </c>
      <c r="U1088" s="72">
        <f t="shared" si="412"/>
        <v>1.05</v>
      </c>
    </row>
    <row r="1089" spans="1:21" x14ac:dyDescent="0.25">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0.85499999999999998</v>
      </c>
      <c r="P1089" s="72">
        <f t="shared" si="407"/>
        <v>0</v>
      </c>
      <c r="Q1089" s="72">
        <f t="shared" si="408"/>
        <v>0</v>
      </c>
      <c r="R1089" s="72">
        <f t="shared" si="409"/>
        <v>0.79166666666666663</v>
      </c>
      <c r="S1089" s="72">
        <f t="shared" si="410"/>
        <v>1.0561764705882353</v>
      </c>
      <c r="T1089" s="72">
        <f t="shared" si="411"/>
        <v>0.9805702149568799</v>
      </c>
      <c r="U1089" s="72">
        <f t="shared" si="412"/>
        <v>1.05</v>
      </c>
    </row>
    <row r="1090" spans="1:21" x14ac:dyDescent="0.25">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0.85499999999999998</v>
      </c>
      <c r="P1090" s="72">
        <f t="shared" si="407"/>
        <v>0</v>
      </c>
      <c r="Q1090" s="72">
        <f t="shared" si="408"/>
        <v>0</v>
      </c>
      <c r="R1090" s="72">
        <f t="shared" si="409"/>
        <v>0.70833333333333337</v>
      </c>
      <c r="S1090" s="72">
        <f t="shared" si="410"/>
        <v>1.0561764705882353</v>
      </c>
      <c r="T1090" s="72">
        <f t="shared" si="411"/>
        <v>0.98174797271206071</v>
      </c>
      <c r="U1090" s="72">
        <f t="shared" si="412"/>
        <v>1.05</v>
      </c>
    </row>
    <row r="1091" spans="1:21" x14ac:dyDescent="0.25">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0.85499999999999998</v>
      </c>
      <c r="P1091" s="72">
        <f t="shared" si="407"/>
        <v>0</v>
      </c>
      <c r="Q1091" s="72">
        <f t="shared" si="408"/>
        <v>0</v>
      </c>
      <c r="R1091" s="72">
        <f t="shared" si="409"/>
        <v>0.625</v>
      </c>
      <c r="S1091" s="72">
        <f t="shared" si="410"/>
        <v>1.0561764705882353</v>
      </c>
      <c r="T1091" s="72">
        <f t="shared" si="411"/>
        <v>0.98292573046724163</v>
      </c>
      <c r="U1091" s="72">
        <f t="shared" si="412"/>
        <v>1.05</v>
      </c>
    </row>
    <row r="1092" spans="1:21" x14ac:dyDescent="0.25">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0.85499999999999998</v>
      </c>
      <c r="P1092" s="72">
        <f t="shared" si="407"/>
        <v>0</v>
      </c>
      <c r="Q1092" s="72">
        <f t="shared" si="408"/>
        <v>0</v>
      </c>
      <c r="R1092" s="72">
        <f t="shared" si="409"/>
        <v>0.54166666666666663</v>
      </c>
      <c r="S1092" s="72">
        <f t="shared" si="410"/>
        <v>1.0561764705882353</v>
      </c>
      <c r="T1092" s="72">
        <f t="shared" si="411"/>
        <v>0.98410348822242244</v>
      </c>
      <c r="U1092" s="72">
        <f t="shared" si="412"/>
        <v>1.05</v>
      </c>
    </row>
    <row r="1093" spans="1:21" x14ac:dyDescent="0.25">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0.85499999999999998</v>
      </c>
      <c r="P1093" s="72">
        <f t="shared" si="407"/>
        <v>0</v>
      </c>
      <c r="Q1093" s="72">
        <f t="shared" si="408"/>
        <v>0</v>
      </c>
      <c r="R1093" s="72">
        <f t="shared" si="409"/>
        <v>0.45833333333333331</v>
      </c>
      <c r="S1093" s="72">
        <f t="shared" si="410"/>
        <v>1.0561764705882353</v>
      </c>
      <c r="T1093" s="72">
        <f t="shared" si="411"/>
        <v>1.0345453082764835</v>
      </c>
      <c r="U1093" s="72">
        <f t="shared" si="412"/>
        <v>1.05</v>
      </c>
    </row>
    <row r="1094" spans="1:21" x14ac:dyDescent="0.25">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0.85499999999999998</v>
      </c>
      <c r="P1094" s="72">
        <f t="shared" si="407"/>
        <v>0</v>
      </c>
      <c r="Q1094" s="72">
        <f t="shared" si="408"/>
        <v>0</v>
      </c>
      <c r="R1094" s="72">
        <f t="shared" si="409"/>
        <v>0.375</v>
      </c>
      <c r="S1094" s="72">
        <f t="shared" si="410"/>
        <v>1.0561764705882353</v>
      </c>
      <c r="T1094" s="72">
        <f t="shared" si="411"/>
        <v>1.0358022267988158</v>
      </c>
      <c r="U1094" s="72">
        <f t="shared" si="412"/>
        <v>1.05</v>
      </c>
    </row>
    <row r="1095" spans="1:21" x14ac:dyDescent="0.25">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0.85499999999999998</v>
      </c>
      <c r="P1095" s="72">
        <f t="shared" si="407"/>
        <v>0</v>
      </c>
      <c r="Q1095" s="72">
        <f t="shared" si="408"/>
        <v>0</v>
      </c>
      <c r="R1095" s="72">
        <f t="shared" si="409"/>
        <v>0.29166666666666669</v>
      </c>
      <c r="S1095" s="72">
        <f t="shared" si="410"/>
        <v>1.0561764705882353</v>
      </c>
      <c r="T1095" s="72">
        <f t="shared" si="411"/>
        <v>1.0370388724417559</v>
      </c>
      <c r="U1095" s="72">
        <f t="shared" si="412"/>
        <v>1.05</v>
      </c>
    </row>
    <row r="1096" spans="1:21" x14ac:dyDescent="0.25">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0.85499999999999998</v>
      </c>
      <c r="P1096" s="72">
        <f t="shared" si="407"/>
        <v>0</v>
      </c>
      <c r="Q1096" s="72">
        <f t="shared" si="408"/>
        <v>0</v>
      </c>
      <c r="R1096" s="72">
        <f t="shared" si="409"/>
        <v>0.20833333333333334</v>
      </c>
      <c r="S1096" s="72">
        <f t="shared" si="410"/>
        <v>1.0561764705882353</v>
      </c>
      <c r="T1096" s="72">
        <f t="shared" si="411"/>
        <v>1.0382755180846956</v>
      </c>
      <c r="U1096" s="72">
        <f t="shared" si="412"/>
        <v>1.05</v>
      </c>
    </row>
    <row r="1097" spans="1:21" x14ac:dyDescent="0.25">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0.85499999999999998</v>
      </c>
      <c r="P1097" s="72">
        <f t="shared" si="407"/>
        <v>0</v>
      </c>
      <c r="Q1097" s="72">
        <f t="shared" si="408"/>
        <v>0</v>
      </c>
      <c r="R1097" s="72">
        <f t="shared" si="409"/>
        <v>0.125</v>
      </c>
      <c r="S1097" s="72">
        <f t="shared" si="410"/>
        <v>1.0561764705882353</v>
      </c>
      <c r="T1097" s="72">
        <f t="shared" si="411"/>
        <v>1.0395121637276357</v>
      </c>
      <c r="U1097" s="72">
        <f t="shared" si="412"/>
        <v>1.05</v>
      </c>
    </row>
    <row r="1098" spans="1:21" x14ac:dyDescent="0.25">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0.85499999999999998</v>
      </c>
      <c r="P1098" s="72">
        <f t="shared" si="407"/>
        <v>0</v>
      </c>
      <c r="Q1098" s="72">
        <f t="shared" si="408"/>
        <v>0</v>
      </c>
      <c r="R1098" s="72">
        <f t="shared" si="409"/>
        <v>4.1666666666666664E-2</v>
      </c>
      <c r="S1098" s="72">
        <f t="shared" si="410"/>
        <v>1.0561764705882353</v>
      </c>
      <c r="T1098" s="72">
        <f t="shared" si="411"/>
        <v>1.0407488093705755</v>
      </c>
      <c r="U1098" s="72">
        <f t="shared" si="412"/>
        <v>1.05</v>
      </c>
    </row>
    <row r="1099" spans="1:21" x14ac:dyDescent="0.25">
      <c r="A1099" s="77" t="s">
        <v>1209</v>
      </c>
      <c r="B1099" s="50">
        <f>EXP(SUMPRODUCT((rl_key=$A$1048)*(rl_cons="Y")*rl_ln1p))</f>
        <v>1.05</v>
      </c>
      <c r="C1099" s="50">
        <f>SUMPRODUCT($H$1051:$H$1098,$P$1051:$P$1098,$U$1051:$U$1098)/SUMPRODUCT($H$1051:$H$1098,$P$1051:$P$1098)</f>
        <v>1.0062499999999999</v>
      </c>
      <c r="D1099" s="50">
        <f>SUMPRODUCT($H$1051:$H$1098,$Q$1051:$Q$1098,$U$1051:$U$1098)/SUMPRODUCT($H$1051:$H$1098,$Q$1051:$Q$1098)</f>
        <v>1.04375</v>
      </c>
      <c r="E1099" s="50">
        <f>SUMPRODUCT($H$1051:$H$1098,$R$1051:$R$1098,$U$1051:$U$1098)/SUMPRODUCT($H$1051:$H$1098,$R$1051:$R$1098)</f>
        <v>1.05</v>
      </c>
      <c r="F1099" s="169">
        <f>SUMPRODUCT($H$1051:$H$1098,$Q$1051:$Q$1098,$O$1051:$O$1098)/SUMPRODUCT($H$1051:$H$1098,$Q$1051:$Q$1098)</f>
        <v>0.84299370897155379</v>
      </c>
      <c r="G1099" s="169">
        <f>SUMPRODUCT($H$1051:$H$1098,$R$1051:$R$1098,$O$1051:$O$1098)/SUMPRODUCT($H$1051:$H$1098,$R$1051:$R$1098)</f>
        <v>0.85298453455506928</v>
      </c>
    </row>
    <row r="1102" spans="1:21" x14ac:dyDescent="0.25">
      <c r="A1102" s="77" t="str">
        <f>INDEX(lr_key,20)</f>
        <v>BU-A|TN</v>
      </c>
      <c r="B1102" s="77" t="str">
        <f>INDEX(lr_state,20)</f>
        <v>TN</v>
      </c>
      <c r="C1102" s="52">
        <f>nr_TermMonths</f>
        <v>12</v>
      </c>
      <c r="D1102" s="52">
        <f>IF(COUNTIF(se_state,$B1102)=0,0,MATCH($B1102,se_state,0))</f>
        <v>0</v>
      </c>
      <c r="E1102" s="54">
        <f>IF($D1102=0,0,INDEX(se_sum,$D1102))</f>
        <v>0</v>
      </c>
      <c r="F1102" s="169">
        <f>IF(N(INDEX(lr_mind,20))=0,1,INDEX(lr_mind,20))</f>
        <v>0.85</v>
      </c>
      <c r="G1102" s="169">
        <f>IF(N(INDEX(lr_m0,20))=0,1,INDEX(lr_m0,20))</f>
        <v>0.84</v>
      </c>
      <c r="H1102" s="51">
        <f>IF(N(INDEX(lr_m0asof,20))=0,DATE(nr_PlanYear-1,10,1),INDEX(lr_m0asof,20))</f>
        <v>46295</v>
      </c>
      <c r="I1102" s="169">
        <f>IF(N(INDEX(lr_m1,20))=0,1,INDEX(lr_m1,20))</f>
        <v>0.83499999999999996</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25">
      <c r="A1103" s="77">
        <f>EDATE($H$1102,-12)+1</f>
        <v>45931</v>
      </c>
      <c r="B1103" s="77">
        <f>$H$1102+1</f>
        <v>46296</v>
      </c>
      <c r="C1103" s="77">
        <f>DATE(nr_PlanYear,12,31)+1</f>
        <v>46753</v>
      </c>
      <c r="D1103" s="77">
        <f>DATE(nr_PlanYear+1,12,31)+1</f>
        <v>47119</v>
      </c>
      <c r="E1103" s="77">
        <f>IF(N($J$1102)=0,$F$1103-($G$1103-$F$1103)/($C$1103-$B$1103)*($B$1103-$A$1103),$J$1102)</f>
        <v>0.84399343544857763</v>
      </c>
      <c r="F1103" s="77">
        <f>$G$1102</f>
        <v>0.84</v>
      </c>
      <c r="G1103" s="77">
        <f>$I$1102</f>
        <v>0.83499999999999996</v>
      </c>
      <c r="H1103" s="77">
        <f>IF(N($K$1102)=0,$I$1102,$K$1102)</f>
        <v>0.83499999999999996</v>
      </c>
      <c r="I1103" s="77">
        <f>($F$1103-$E$1103)/($B$1103-$A$1103)</f>
        <v>-1.0940919037199081E-5</v>
      </c>
      <c r="J1103" s="77">
        <f>($G$1103-$F$1103)/($C$1103-$B$1103)</f>
        <v>-1.0940919037199135E-5</v>
      </c>
      <c r="K1103" s="77">
        <f>($H$1103-$G$1103)/($D$1103-$C$1103)</f>
        <v>0</v>
      </c>
    </row>
    <row r="1104" spans="1:21" ht="24" x14ac:dyDescent="0.25">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25">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0.84681072210065644</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0.99624790835371346</v>
      </c>
      <c r="T1105" s="72">
        <f t="shared" ref="T1105:T1152" si="431">IF($G1105&lt;nr_MStartP,$S1105,$T1093*(1+IF($G1105&lt;nr_MStartP1,$M$1102,$N$1102)))</f>
        <v>0.99624790835371346</v>
      </c>
      <c r="U1105" s="72">
        <f t="shared" ref="U1105:U1152" si="432">IF($L$1102,$T1105,$N1105)</f>
        <v>1</v>
      </c>
    </row>
    <row r="1106" spans="1:21" x14ac:dyDescent="0.25">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0.84648796498905898</v>
      </c>
      <c r="P1106" s="72">
        <f t="shared" si="427"/>
        <v>0.125</v>
      </c>
      <c r="Q1106" s="72">
        <f t="shared" si="428"/>
        <v>0</v>
      </c>
      <c r="R1106" s="72">
        <f t="shared" si="429"/>
        <v>0</v>
      </c>
      <c r="S1106" s="72">
        <f t="shared" si="430"/>
        <v>0.99586819410477534</v>
      </c>
      <c r="T1106" s="72">
        <f t="shared" si="431"/>
        <v>0.99586819410477534</v>
      </c>
      <c r="U1106" s="72">
        <f t="shared" si="432"/>
        <v>1</v>
      </c>
    </row>
    <row r="1107" spans="1:21" x14ac:dyDescent="0.25">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0.84616520787746163</v>
      </c>
      <c r="P1107" s="72">
        <f t="shared" si="427"/>
        <v>0.20833333333333337</v>
      </c>
      <c r="Q1107" s="72">
        <f t="shared" si="428"/>
        <v>0</v>
      </c>
      <c r="R1107" s="72">
        <f t="shared" si="429"/>
        <v>0</v>
      </c>
      <c r="S1107" s="72">
        <f t="shared" si="430"/>
        <v>0.99548847985583722</v>
      </c>
      <c r="T1107" s="72">
        <f t="shared" si="431"/>
        <v>0.99548847985583722</v>
      </c>
      <c r="U1107" s="72">
        <f t="shared" si="432"/>
        <v>1</v>
      </c>
    </row>
    <row r="1108" spans="1:21" x14ac:dyDescent="0.25">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0.84583150984682709</v>
      </c>
      <c r="P1108" s="72">
        <f t="shared" si="427"/>
        <v>0.29166666666666663</v>
      </c>
      <c r="Q1108" s="72">
        <f t="shared" si="428"/>
        <v>0</v>
      </c>
      <c r="R1108" s="72">
        <f t="shared" si="429"/>
        <v>0</v>
      </c>
      <c r="S1108" s="72">
        <f t="shared" si="430"/>
        <v>0.99509589393744369</v>
      </c>
      <c r="T1108" s="72">
        <f t="shared" si="431"/>
        <v>0.99509589393744369</v>
      </c>
      <c r="U1108" s="72">
        <f t="shared" si="432"/>
        <v>1</v>
      </c>
    </row>
    <row r="1109" spans="1:21" x14ac:dyDescent="0.25">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0.84549781181619255</v>
      </c>
      <c r="P1109" s="72">
        <f t="shared" si="427"/>
        <v>0.375</v>
      </c>
      <c r="Q1109" s="72">
        <f t="shared" si="428"/>
        <v>0</v>
      </c>
      <c r="R1109" s="72">
        <f t="shared" si="429"/>
        <v>0</v>
      </c>
      <c r="S1109" s="72">
        <f t="shared" si="430"/>
        <v>0.99470330801905005</v>
      </c>
      <c r="T1109" s="72">
        <f t="shared" si="431"/>
        <v>0.99470330801905005</v>
      </c>
      <c r="U1109" s="72">
        <f t="shared" si="432"/>
        <v>1</v>
      </c>
    </row>
    <row r="1110" spans="1:21" x14ac:dyDescent="0.25">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0.84516411378555789</v>
      </c>
      <c r="P1110" s="72">
        <f t="shared" si="427"/>
        <v>0.45833333333333337</v>
      </c>
      <c r="Q1110" s="72">
        <f t="shared" si="428"/>
        <v>0</v>
      </c>
      <c r="R1110" s="72">
        <f t="shared" si="429"/>
        <v>0</v>
      </c>
      <c r="S1110" s="72">
        <f t="shared" si="430"/>
        <v>0.99431072210065641</v>
      </c>
      <c r="T1110" s="72">
        <f t="shared" si="431"/>
        <v>0.99431072210065641</v>
      </c>
      <c r="U1110" s="72">
        <f t="shared" si="432"/>
        <v>1</v>
      </c>
    </row>
    <row r="1111" spans="1:21" x14ac:dyDescent="0.25">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0.84483041575492335</v>
      </c>
      <c r="P1111" s="72">
        <f t="shared" si="427"/>
        <v>0.54166666666666674</v>
      </c>
      <c r="Q1111" s="72">
        <f t="shared" si="428"/>
        <v>0</v>
      </c>
      <c r="R1111" s="72">
        <f t="shared" si="429"/>
        <v>0</v>
      </c>
      <c r="S1111" s="72">
        <f t="shared" si="430"/>
        <v>0.99391813618226277</v>
      </c>
      <c r="T1111" s="72">
        <f t="shared" si="431"/>
        <v>0.99391813618226277</v>
      </c>
      <c r="U1111" s="72">
        <f t="shared" si="432"/>
        <v>1</v>
      </c>
    </row>
    <row r="1112" spans="1:21" x14ac:dyDescent="0.25">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0.84449124726477021</v>
      </c>
      <c r="P1112" s="72">
        <f t="shared" si="427"/>
        <v>0.625</v>
      </c>
      <c r="Q1112" s="72">
        <f t="shared" si="428"/>
        <v>0</v>
      </c>
      <c r="R1112" s="72">
        <f t="shared" si="429"/>
        <v>0</v>
      </c>
      <c r="S1112" s="72">
        <f t="shared" si="430"/>
        <v>0.99351911442914143</v>
      </c>
      <c r="T1112" s="72">
        <f t="shared" si="431"/>
        <v>0.99351911442914143</v>
      </c>
      <c r="U1112" s="72">
        <f t="shared" si="432"/>
        <v>1</v>
      </c>
    </row>
    <row r="1113" spans="1:21" x14ac:dyDescent="0.25">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0.84415754923413566</v>
      </c>
      <c r="P1113" s="72">
        <f t="shared" si="427"/>
        <v>0.70833333333333326</v>
      </c>
      <c r="Q1113" s="72">
        <f t="shared" si="428"/>
        <v>0</v>
      </c>
      <c r="R1113" s="72">
        <f t="shared" si="429"/>
        <v>0</v>
      </c>
      <c r="S1113" s="72">
        <f t="shared" si="430"/>
        <v>0.9931265285107479</v>
      </c>
      <c r="T1113" s="72">
        <f t="shared" si="431"/>
        <v>0.9931265285107479</v>
      </c>
      <c r="U1113" s="72">
        <f t="shared" si="432"/>
        <v>1</v>
      </c>
    </row>
    <row r="1114" spans="1:21" x14ac:dyDescent="0.25">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0.84382385120350101</v>
      </c>
      <c r="P1114" s="72">
        <f t="shared" si="427"/>
        <v>0.79166666666666663</v>
      </c>
      <c r="Q1114" s="72">
        <f t="shared" si="428"/>
        <v>0</v>
      </c>
      <c r="R1114" s="72">
        <f t="shared" si="429"/>
        <v>0</v>
      </c>
      <c r="S1114" s="72">
        <f t="shared" si="430"/>
        <v>0.99273394259235415</v>
      </c>
      <c r="T1114" s="72">
        <f t="shared" si="431"/>
        <v>0.99273394259235415</v>
      </c>
      <c r="U1114" s="72">
        <f t="shared" si="432"/>
        <v>1</v>
      </c>
    </row>
    <row r="1115" spans="1:21" x14ac:dyDescent="0.25">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0.84349015317286646</v>
      </c>
      <c r="P1115" s="72">
        <f t="shared" si="427"/>
        <v>0.875</v>
      </c>
      <c r="Q1115" s="72">
        <f t="shared" si="428"/>
        <v>0</v>
      </c>
      <c r="R1115" s="72">
        <f t="shared" si="429"/>
        <v>0</v>
      </c>
      <c r="S1115" s="72">
        <f t="shared" si="430"/>
        <v>0.99234135667396062</v>
      </c>
      <c r="T1115" s="72">
        <f t="shared" si="431"/>
        <v>0.99234135667396062</v>
      </c>
      <c r="U1115" s="72">
        <f t="shared" si="432"/>
        <v>1</v>
      </c>
    </row>
    <row r="1116" spans="1:21" x14ac:dyDescent="0.25">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0.84315645514223192</v>
      </c>
      <c r="P1116" s="72">
        <f t="shared" si="427"/>
        <v>0.95833333333333337</v>
      </c>
      <c r="Q1116" s="72">
        <f t="shared" si="428"/>
        <v>0</v>
      </c>
      <c r="R1116" s="72">
        <f t="shared" si="429"/>
        <v>0</v>
      </c>
      <c r="S1116" s="72">
        <f t="shared" si="430"/>
        <v>0.99194877075556698</v>
      </c>
      <c r="T1116" s="72">
        <f t="shared" si="431"/>
        <v>0.99194877075556698</v>
      </c>
      <c r="U1116" s="72">
        <f t="shared" si="432"/>
        <v>1</v>
      </c>
    </row>
    <row r="1117" spans="1:21" x14ac:dyDescent="0.25">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0.84281728665207878</v>
      </c>
      <c r="P1117" s="72">
        <f t="shared" si="427"/>
        <v>0.95833333333333337</v>
      </c>
      <c r="Q1117" s="72">
        <f t="shared" si="428"/>
        <v>4.166666666666663E-2</v>
      </c>
      <c r="R1117" s="72">
        <f t="shared" si="429"/>
        <v>0</v>
      </c>
      <c r="S1117" s="72">
        <f t="shared" si="430"/>
        <v>0.99154974900244564</v>
      </c>
      <c r="T1117" s="72">
        <f t="shared" si="431"/>
        <v>0.99154974900244564</v>
      </c>
      <c r="U1117" s="72">
        <f t="shared" si="432"/>
        <v>1</v>
      </c>
    </row>
    <row r="1118" spans="1:21" x14ac:dyDescent="0.25">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0.84249452954048132</v>
      </c>
      <c r="P1118" s="72">
        <f t="shared" si="427"/>
        <v>0.875</v>
      </c>
      <c r="Q1118" s="72">
        <f t="shared" si="428"/>
        <v>0.125</v>
      </c>
      <c r="R1118" s="72">
        <f t="shared" si="429"/>
        <v>0</v>
      </c>
      <c r="S1118" s="72">
        <f t="shared" si="430"/>
        <v>0.99117003475350751</v>
      </c>
      <c r="T1118" s="72">
        <f t="shared" si="431"/>
        <v>0.99117003475350751</v>
      </c>
      <c r="U1118" s="72">
        <f t="shared" si="432"/>
        <v>1</v>
      </c>
    </row>
    <row r="1119" spans="1:21" x14ac:dyDescent="0.25">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0.84217177242888397</v>
      </c>
      <c r="P1119" s="72">
        <f t="shared" si="427"/>
        <v>0.79166666666666663</v>
      </c>
      <c r="Q1119" s="72">
        <f t="shared" si="428"/>
        <v>0.20833333333333337</v>
      </c>
      <c r="R1119" s="72">
        <f t="shared" si="429"/>
        <v>0</v>
      </c>
      <c r="S1119" s="72">
        <f t="shared" si="430"/>
        <v>0.99079032050456939</v>
      </c>
      <c r="T1119" s="72">
        <f t="shared" si="431"/>
        <v>0.99079032050456939</v>
      </c>
      <c r="U1119" s="72">
        <f t="shared" si="432"/>
        <v>1</v>
      </c>
    </row>
    <row r="1120" spans="1:21" x14ac:dyDescent="0.25">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0.84183807439824943</v>
      </c>
      <c r="P1120" s="72">
        <f t="shared" si="427"/>
        <v>0.70833333333333337</v>
      </c>
      <c r="Q1120" s="72">
        <f t="shared" si="428"/>
        <v>0.29166666666666663</v>
      </c>
      <c r="R1120" s="72">
        <f t="shared" si="429"/>
        <v>0</v>
      </c>
      <c r="S1120" s="72">
        <f t="shared" si="430"/>
        <v>0.99039773458617586</v>
      </c>
      <c r="T1120" s="72">
        <f t="shared" si="431"/>
        <v>0.99039773458617586</v>
      </c>
      <c r="U1120" s="72">
        <f t="shared" si="432"/>
        <v>1</v>
      </c>
    </row>
    <row r="1121" spans="1:21" x14ac:dyDescent="0.25">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0.84150437636761488</v>
      </c>
      <c r="P1121" s="72">
        <f t="shared" si="427"/>
        <v>0.625</v>
      </c>
      <c r="Q1121" s="72">
        <f t="shared" si="428"/>
        <v>0.375</v>
      </c>
      <c r="R1121" s="72">
        <f t="shared" si="429"/>
        <v>0</v>
      </c>
      <c r="S1121" s="72">
        <f t="shared" si="430"/>
        <v>0.99000514866778222</v>
      </c>
      <c r="T1121" s="72">
        <f t="shared" si="431"/>
        <v>0.99000514866778222</v>
      </c>
      <c r="U1121" s="72">
        <f t="shared" si="432"/>
        <v>1</v>
      </c>
    </row>
    <row r="1122" spans="1:21" x14ac:dyDescent="0.25">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0.84117067833698023</v>
      </c>
      <c r="P1122" s="72">
        <f t="shared" si="427"/>
        <v>0.54166666666666663</v>
      </c>
      <c r="Q1122" s="72">
        <f t="shared" si="428"/>
        <v>0.45833333333333337</v>
      </c>
      <c r="R1122" s="72">
        <f t="shared" si="429"/>
        <v>0</v>
      </c>
      <c r="S1122" s="72">
        <f t="shared" si="430"/>
        <v>0.98961256274938858</v>
      </c>
      <c r="T1122" s="72">
        <f t="shared" si="431"/>
        <v>0.98961256274938858</v>
      </c>
      <c r="U1122" s="72">
        <f t="shared" si="432"/>
        <v>1</v>
      </c>
    </row>
    <row r="1123" spans="1:21" x14ac:dyDescent="0.25">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0.84083698030634568</v>
      </c>
      <c r="P1123" s="72">
        <f t="shared" si="427"/>
        <v>0.45833333333333331</v>
      </c>
      <c r="Q1123" s="72">
        <f t="shared" si="428"/>
        <v>0.54166666666666674</v>
      </c>
      <c r="R1123" s="72">
        <f t="shared" si="429"/>
        <v>0</v>
      </c>
      <c r="S1123" s="72">
        <f t="shared" si="430"/>
        <v>0.98921997683099494</v>
      </c>
      <c r="T1123" s="72">
        <f t="shared" si="431"/>
        <v>0.98921997683099494</v>
      </c>
      <c r="U1123" s="72">
        <f t="shared" si="432"/>
        <v>1</v>
      </c>
    </row>
    <row r="1124" spans="1:21" x14ac:dyDescent="0.25">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0.84049781181619254</v>
      </c>
      <c r="P1124" s="72">
        <f t="shared" si="427"/>
        <v>0.375</v>
      </c>
      <c r="Q1124" s="72">
        <f t="shared" si="428"/>
        <v>0.625</v>
      </c>
      <c r="R1124" s="72">
        <f t="shared" si="429"/>
        <v>0</v>
      </c>
      <c r="S1124" s="72">
        <f t="shared" si="430"/>
        <v>1.0481502123825461</v>
      </c>
      <c r="T1124" s="72">
        <f t="shared" si="431"/>
        <v>1.0481502123825461</v>
      </c>
      <c r="U1124" s="72">
        <f t="shared" si="432"/>
        <v>1.06</v>
      </c>
    </row>
    <row r="1125" spans="1:21" x14ac:dyDescent="0.25">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0.840164113785558</v>
      </c>
      <c r="P1125" s="72">
        <f t="shared" si="427"/>
        <v>0.29166666666666669</v>
      </c>
      <c r="Q1125" s="72">
        <f t="shared" si="428"/>
        <v>0.70833333333333326</v>
      </c>
      <c r="R1125" s="72">
        <f t="shared" si="429"/>
        <v>0</v>
      </c>
      <c r="S1125" s="72">
        <f t="shared" si="430"/>
        <v>1.0477340713090488</v>
      </c>
      <c r="T1125" s="72">
        <f t="shared" si="431"/>
        <v>1.0477340713090488</v>
      </c>
      <c r="U1125" s="72">
        <f t="shared" si="432"/>
        <v>1.06</v>
      </c>
    </row>
    <row r="1126" spans="1:21" x14ac:dyDescent="0.25">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0.83983041575492334</v>
      </c>
      <c r="P1126" s="72">
        <f t="shared" si="427"/>
        <v>0.20833333333333334</v>
      </c>
      <c r="Q1126" s="72">
        <f t="shared" si="428"/>
        <v>0.79166666666666663</v>
      </c>
      <c r="R1126" s="72">
        <f t="shared" si="429"/>
        <v>0</v>
      </c>
      <c r="S1126" s="72">
        <f t="shared" si="430"/>
        <v>1.0473179302355515</v>
      </c>
      <c r="T1126" s="72">
        <f t="shared" si="431"/>
        <v>1.0473179302355515</v>
      </c>
      <c r="U1126" s="72">
        <f t="shared" si="432"/>
        <v>1.06</v>
      </c>
    </row>
    <row r="1127" spans="1:21" x14ac:dyDescent="0.25">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0.8394967177242888</v>
      </c>
      <c r="P1127" s="72">
        <f t="shared" si="427"/>
        <v>0.125</v>
      </c>
      <c r="Q1127" s="72">
        <f t="shared" si="428"/>
        <v>0.875</v>
      </c>
      <c r="R1127" s="72">
        <f t="shared" si="429"/>
        <v>0</v>
      </c>
      <c r="S1127" s="72">
        <f t="shared" si="430"/>
        <v>1.0469017891620542</v>
      </c>
      <c r="T1127" s="72">
        <f t="shared" si="431"/>
        <v>1.0469017891620542</v>
      </c>
      <c r="U1127" s="72">
        <f t="shared" si="432"/>
        <v>1.06</v>
      </c>
    </row>
    <row r="1128" spans="1:21" x14ac:dyDescent="0.25">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0.83916301969365426</v>
      </c>
      <c r="P1128" s="72">
        <f t="shared" si="427"/>
        <v>4.1666666666666664E-2</v>
      </c>
      <c r="Q1128" s="72">
        <f t="shared" si="428"/>
        <v>0.95833333333333337</v>
      </c>
      <c r="R1128" s="72">
        <f t="shared" si="429"/>
        <v>0</v>
      </c>
      <c r="S1128" s="72">
        <f t="shared" si="430"/>
        <v>1.0464856480885572</v>
      </c>
      <c r="T1128" s="72">
        <f t="shared" si="431"/>
        <v>1.0464856480885572</v>
      </c>
      <c r="U1128" s="72">
        <f t="shared" si="432"/>
        <v>1.06</v>
      </c>
    </row>
    <row r="1129" spans="1:21" x14ac:dyDescent="0.25">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0.83882385120350111</v>
      </c>
      <c r="P1129" s="72">
        <f t="shared" si="427"/>
        <v>0</v>
      </c>
      <c r="Q1129" s="72">
        <f t="shared" si="428"/>
        <v>0.95833333333333337</v>
      </c>
      <c r="R1129" s="72">
        <f t="shared" si="429"/>
        <v>4.166666666666663E-2</v>
      </c>
      <c r="S1129" s="72">
        <f t="shared" si="430"/>
        <v>1.0460626850302486</v>
      </c>
      <c r="T1129" s="72">
        <f t="shared" si="431"/>
        <v>0.99154974900244564</v>
      </c>
      <c r="U1129" s="72">
        <f t="shared" si="432"/>
        <v>1.06</v>
      </c>
    </row>
    <row r="1130" spans="1:21" x14ac:dyDescent="0.25">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0.83850109409190365</v>
      </c>
      <c r="P1130" s="72">
        <f t="shared" si="427"/>
        <v>0</v>
      </c>
      <c r="Q1130" s="72">
        <f t="shared" si="428"/>
        <v>0.875</v>
      </c>
      <c r="R1130" s="72">
        <f t="shared" si="429"/>
        <v>0.125</v>
      </c>
      <c r="S1130" s="72">
        <f t="shared" si="430"/>
        <v>1.0456601879263741</v>
      </c>
      <c r="T1130" s="72">
        <f t="shared" si="431"/>
        <v>0.99117003475350751</v>
      </c>
      <c r="U1130" s="72">
        <f t="shared" si="432"/>
        <v>1.06</v>
      </c>
    </row>
    <row r="1131" spans="1:21" x14ac:dyDescent="0.25">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0.8381783369803063</v>
      </c>
      <c r="P1131" s="72">
        <f t="shared" si="427"/>
        <v>0</v>
      </c>
      <c r="Q1131" s="72">
        <f t="shared" si="428"/>
        <v>0.79166666666666663</v>
      </c>
      <c r="R1131" s="72">
        <f t="shared" si="429"/>
        <v>0.20833333333333337</v>
      </c>
      <c r="S1131" s="72">
        <f t="shared" si="430"/>
        <v>1.0452576908224998</v>
      </c>
      <c r="T1131" s="72">
        <f t="shared" si="431"/>
        <v>0.99079032050456939</v>
      </c>
      <c r="U1131" s="72">
        <f t="shared" si="432"/>
        <v>1.06</v>
      </c>
    </row>
    <row r="1132" spans="1:21" x14ac:dyDescent="0.25">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0.83784463894967176</v>
      </c>
      <c r="P1132" s="72">
        <f t="shared" si="427"/>
        <v>0</v>
      </c>
      <c r="Q1132" s="72">
        <f t="shared" si="428"/>
        <v>0.70833333333333337</v>
      </c>
      <c r="R1132" s="72">
        <f t="shared" si="429"/>
        <v>0.29166666666666663</v>
      </c>
      <c r="S1132" s="72">
        <f t="shared" si="430"/>
        <v>1.0448415497490027</v>
      </c>
      <c r="T1132" s="72">
        <f t="shared" si="431"/>
        <v>0.99039773458617586</v>
      </c>
      <c r="U1132" s="72">
        <f t="shared" si="432"/>
        <v>1.06</v>
      </c>
    </row>
    <row r="1133" spans="1:21" x14ac:dyDescent="0.25">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0.83751094091903722</v>
      </c>
      <c r="P1133" s="72">
        <f t="shared" si="427"/>
        <v>0</v>
      </c>
      <c r="Q1133" s="72">
        <f t="shared" si="428"/>
        <v>0.625</v>
      </c>
      <c r="R1133" s="72">
        <f t="shared" si="429"/>
        <v>0.375</v>
      </c>
      <c r="S1133" s="72">
        <f t="shared" si="430"/>
        <v>1.0444254086755054</v>
      </c>
      <c r="T1133" s="72">
        <f t="shared" si="431"/>
        <v>0.99000514866778222</v>
      </c>
      <c r="U1133" s="72">
        <f t="shared" si="432"/>
        <v>1.06</v>
      </c>
    </row>
    <row r="1134" spans="1:21" x14ac:dyDescent="0.25">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0.83717724288840256</v>
      </c>
      <c r="P1134" s="72">
        <f t="shared" si="427"/>
        <v>0</v>
      </c>
      <c r="Q1134" s="72">
        <f t="shared" si="428"/>
        <v>0.54166666666666663</v>
      </c>
      <c r="R1134" s="72">
        <f t="shared" si="429"/>
        <v>0.45833333333333337</v>
      </c>
      <c r="S1134" s="72">
        <f t="shared" si="430"/>
        <v>1.0440092676020079</v>
      </c>
      <c r="T1134" s="72">
        <f t="shared" si="431"/>
        <v>0.98961256274938858</v>
      </c>
      <c r="U1134" s="72">
        <f t="shared" si="432"/>
        <v>1.06</v>
      </c>
    </row>
    <row r="1135" spans="1:21" x14ac:dyDescent="0.25">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0.83684354485776802</v>
      </c>
      <c r="P1135" s="72">
        <f t="shared" si="427"/>
        <v>0</v>
      </c>
      <c r="Q1135" s="72">
        <f t="shared" si="428"/>
        <v>0.45833333333333331</v>
      </c>
      <c r="R1135" s="72">
        <f t="shared" si="429"/>
        <v>0.54166666666666674</v>
      </c>
      <c r="S1135" s="72">
        <f t="shared" si="430"/>
        <v>1.0435931265285108</v>
      </c>
      <c r="T1135" s="72">
        <f t="shared" si="431"/>
        <v>0.98921997683099494</v>
      </c>
      <c r="U1135" s="72">
        <f t="shared" si="432"/>
        <v>1.06</v>
      </c>
    </row>
    <row r="1136" spans="1:21" x14ac:dyDescent="0.25">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0.83650437636761488</v>
      </c>
      <c r="P1136" s="72">
        <f t="shared" si="427"/>
        <v>0</v>
      </c>
      <c r="Q1136" s="72">
        <f t="shared" si="428"/>
        <v>0.375</v>
      </c>
      <c r="R1136" s="72">
        <f t="shared" si="429"/>
        <v>0.625</v>
      </c>
      <c r="S1136" s="72">
        <f t="shared" si="430"/>
        <v>1.0431701634702022</v>
      </c>
      <c r="T1136" s="72">
        <f t="shared" si="431"/>
        <v>1.0481502123825461</v>
      </c>
      <c r="U1136" s="72">
        <f t="shared" si="432"/>
        <v>1.06</v>
      </c>
    </row>
    <row r="1137" spans="1:21" x14ac:dyDescent="0.25">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0.83617067833698022</v>
      </c>
      <c r="P1137" s="72">
        <f t="shared" si="427"/>
        <v>0</v>
      </c>
      <c r="Q1137" s="72">
        <f t="shared" si="428"/>
        <v>0.29166666666666669</v>
      </c>
      <c r="R1137" s="72">
        <f t="shared" si="429"/>
        <v>0.70833333333333326</v>
      </c>
      <c r="S1137" s="72">
        <f t="shared" si="430"/>
        <v>1.0427540223967049</v>
      </c>
      <c r="T1137" s="72">
        <f t="shared" si="431"/>
        <v>1.0477340713090488</v>
      </c>
      <c r="U1137" s="72">
        <f t="shared" si="432"/>
        <v>1.06</v>
      </c>
    </row>
    <row r="1138" spans="1:21" x14ac:dyDescent="0.25">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0.83583698030634568</v>
      </c>
      <c r="P1138" s="72">
        <f t="shared" si="427"/>
        <v>0</v>
      </c>
      <c r="Q1138" s="72">
        <f t="shared" si="428"/>
        <v>0.20833333333333334</v>
      </c>
      <c r="R1138" s="72">
        <f t="shared" si="429"/>
        <v>0.79166666666666663</v>
      </c>
      <c r="S1138" s="72">
        <f t="shared" si="430"/>
        <v>1.0423378813232076</v>
      </c>
      <c r="T1138" s="72">
        <f t="shared" si="431"/>
        <v>1.0473179302355515</v>
      </c>
      <c r="U1138" s="72">
        <f t="shared" si="432"/>
        <v>1.06</v>
      </c>
    </row>
    <row r="1139" spans="1:21" x14ac:dyDescent="0.25">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0.83550328227571113</v>
      </c>
      <c r="P1139" s="72">
        <f t="shared" si="427"/>
        <v>0</v>
      </c>
      <c r="Q1139" s="72">
        <f t="shared" si="428"/>
        <v>0.125</v>
      </c>
      <c r="R1139" s="72">
        <f t="shared" si="429"/>
        <v>0.875</v>
      </c>
      <c r="S1139" s="72">
        <f t="shared" si="430"/>
        <v>1.0419217402497103</v>
      </c>
      <c r="T1139" s="72">
        <f t="shared" si="431"/>
        <v>1.0469017891620542</v>
      </c>
      <c r="U1139" s="72">
        <f t="shared" si="432"/>
        <v>1.06</v>
      </c>
    </row>
    <row r="1140" spans="1:21" x14ac:dyDescent="0.25">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0.83516958424507659</v>
      </c>
      <c r="P1140" s="72">
        <f t="shared" si="427"/>
        <v>0</v>
      </c>
      <c r="Q1140" s="72">
        <f t="shared" si="428"/>
        <v>4.1666666666666664E-2</v>
      </c>
      <c r="R1140" s="72">
        <f t="shared" si="429"/>
        <v>0.95833333333333337</v>
      </c>
      <c r="S1140" s="72">
        <f t="shared" si="430"/>
        <v>1.0415055991762132</v>
      </c>
      <c r="T1140" s="72">
        <f t="shared" si="431"/>
        <v>1.0464856480885572</v>
      </c>
      <c r="U1140" s="72">
        <f t="shared" si="432"/>
        <v>1.06</v>
      </c>
    </row>
    <row r="1141" spans="1:21" x14ac:dyDescent="0.25">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0.83499999999999996</v>
      </c>
      <c r="P1141" s="72">
        <f t="shared" si="427"/>
        <v>0</v>
      </c>
      <c r="Q1141" s="72">
        <f t="shared" si="428"/>
        <v>0</v>
      </c>
      <c r="R1141" s="72">
        <f t="shared" si="429"/>
        <v>0.95833333333333337</v>
      </c>
      <c r="S1141" s="72">
        <f t="shared" si="430"/>
        <v>1.0412941176470589</v>
      </c>
      <c r="T1141" s="72">
        <f t="shared" si="431"/>
        <v>0.99154974900244564</v>
      </c>
      <c r="U1141" s="72">
        <f t="shared" si="432"/>
        <v>1.06</v>
      </c>
    </row>
    <row r="1142" spans="1:21" x14ac:dyDescent="0.25">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0.83499999999999996</v>
      </c>
      <c r="P1142" s="72">
        <f t="shared" si="427"/>
        <v>0</v>
      </c>
      <c r="Q1142" s="72">
        <f t="shared" si="428"/>
        <v>0</v>
      </c>
      <c r="R1142" s="72">
        <f t="shared" si="429"/>
        <v>0.875</v>
      </c>
      <c r="S1142" s="72">
        <f t="shared" si="430"/>
        <v>1.0412941176470589</v>
      </c>
      <c r="T1142" s="72">
        <f t="shared" si="431"/>
        <v>0.99117003475350751</v>
      </c>
      <c r="U1142" s="72">
        <f t="shared" si="432"/>
        <v>1.06</v>
      </c>
    </row>
    <row r="1143" spans="1:21" x14ac:dyDescent="0.25">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0.83499999999999996</v>
      </c>
      <c r="P1143" s="72">
        <f t="shared" si="427"/>
        <v>0</v>
      </c>
      <c r="Q1143" s="72">
        <f t="shared" si="428"/>
        <v>0</v>
      </c>
      <c r="R1143" s="72">
        <f t="shared" si="429"/>
        <v>0.79166666666666663</v>
      </c>
      <c r="S1143" s="72">
        <f t="shared" si="430"/>
        <v>1.0412941176470589</v>
      </c>
      <c r="T1143" s="72">
        <f t="shared" si="431"/>
        <v>0.99079032050456939</v>
      </c>
      <c r="U1143" s="72">
        <f t="shared" si="432"/>
        <v>1.06</v>
      </c>
    </row>
    <row r="1144" spans="1:21" x14ac:dyDescent="0.25">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0.83499999999999996</v>
      </c>
      <c r="P1144" s="72">
        <f t="shared" si="427"/>
        <v>0</v>
      </c>
      <c r="Q1144" s="72">
        <f t="shared" si="428"/>
        <v>0</v>
      </c>
      <c r="R1144" s="72">
        <f t="shared" si="429"/>
        <v>0.70833333333333337</v>
      </c>
      <c r="S1144" s="72">
        <f t="shared" si="430"/>
        <v>1.0412941176470589</v>
      </c>
      <c r="T1144" s="72">
        <f t="shared" si="431"/>
        <v>0.99039773458617586</v>
      </c>
      <c r="U1144" s="72">
        <f t="shared" si="432"/>
        <v>1.06</v>
      </c>
    </row>
    <row r="1145" spans="1:21" x14ac:dyDescent="0.25">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0.83499999999999996</v>
      </c>
      <c r="P1145" s="72">
        <f t="shared" si="427"/>
        <v>0</v>
      </c>
      <c r="Q1145" s="72">
        <f t="shared" si="428"/>
        <v>0</v>
      </c>
      <c r="R1145" s="72">
        <f t="shared" si="429"/>
        <v>0.625</v>
      </c>
      <c r="S1145" s="72">
        <f t="shared" si="430"/>
        <v>1.0412941176470589</v>
      </c>
      <c r="T1145" s="72">
        <f t="shared" si="431"/>
        <v>0.99000514866778222</v>
      </c>
      <c r="U1145" s="72">
        <f t="shared" si="432"/>
        <v>1.06</v>
      </c>
    </row>
    <row r="1146" spans="1:21" x14ac:dyDescent="0.25">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0.83499999999999996</v>
      </c>
      <c r="P1146" s="72">
        <f t="shared" si="427"/>
        <v>0</v>
      </c>
      <c r="Q1146" s="72">
        <f t="shared" si="428"/>
        <v>0</v>
      </c>
      <c r="R1146" s="72">
        <f t="shared" si="429"/>
        <v>0.54166666666666663</v>
      </c>
      <c r="S1146" s="72">
        <f t="shared" si="430"/>
        <v>1.0412941176470589</v>
      </c>
      <c r="T1146" s="72">
        <f t="shared" si="431"/>
        <v>0.98961256274938858</v>
      </c>
      <c r="U1146" s="72">
        <f t="shared" si="432"/>
        <v>1.06</v>
      </c>
    </row>
    <row r="1147" spans="1:21" x14ac:dyDescent="0.25">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0.83499999999999996</v>
      </c>
      <c r="P1147" s="72">
        <f t="shared" si="427"/>
        <v>0</v>
      </c>
      <c r="Q1147" s="72">
        <f t="shared" si="428"/>
        <v>0</v>
      </c>
      <c r="R1147" s="72">
        <f t="shared" si="429"/>
        <v>0.45833333333333331</v>
      </c>
      <c r="S1147" s="72">
        <f t="shared" si="430"/>
        <v>1.0412941176470589</v>
      </c>
      <c r="T1147" s="72">
        <f t="shared" si="431"/>
        <v>0.98921997683099494</v>
      </c>
      <c r="U1147" s="72">
        <f t="shared" si="432"/>
        <v>1.06</v>
      </c>
    </row>
    <row r="1148" spans="1:21" x14ac:dyDescent="0.25">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0.83499999999999996</v>
      </c>
      <c r="P1148" s="72">
        <f t="shared" si="427"/>
        <v>0</v>
      </c>
      <c r="Q1148" s="72">
        <f t="shared" si="428"/>
        <v>0</v>
      </c>
      <c r="R1148" s="72">
        <f t="shared" si="429"/>
        <v>0.375</v>
      </c>
      <c r="S1148" s="72">
        <f t="shared" si="430"/>
        <v>1.0412941176470589</v>
      </c>
      <c r="T1148" s="72">
        <f t="shared" si="431"/>
        <v>1.0481502123825461</v>
      </c>
      <c r="U1148" s="72">
        <f t="shared" si="432"/>
        <v>1.06</v>
      </c>
    </row>
    <row r="1149" spans="1:21" x14ac:dyDescent="0.25">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0.83499999999999996</v>
      </c>
      <c r="P1149" s="72">
        <f t="shared" si="427"/>
        <v>0</v>
      </c>
      <c r="Q1149" s="72">
        <f t="shared" si="428"/>
        <v>0</v>
      </c>
      <c r="R1149" s="72">
        <f t="shared" si="429"/>
        <v>0.29166666666666669</v>
      </c>
      <c r="S1149" s="72">
        <f t="shared" si="430"/>
        <v>1.0412941176470589</v>
      </c>
      <c r="T1149" s="72">
        <f t="shared" si="431"/>
        <v>1.0477340713090488</v>
      </c>
      <c r="U1149" s="72">
        <f t="shared" si="432"/>
        <v>1.06</v>
      </c>
    </row>
    <row r="1150" spans="1:21" x14ac:dyDescent="0.25">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0.83499999999999996</v>
      </c>
      <c r="P1150" s="72">
        <f t="shared" si="427"/>
        <v>0</v>
      </c>
      <c r="Q1150" s="72">
        <f t="shared" si="428"/>
        <v>0</v>
      </c>
      <c r="R1150" s="72">
        <f t="shared" si="429"/>
        <v>0.20833333333333334</v>
      </c>
      <c r="S1150" s="72">
        <f t="shared" si="430"/>
        <v>1.0412941176470589</v>
      </c>
      <c r="T1150" s="72">
        <f t="shared" si="431"/>
        <v>1.0473179302355515</v>
      </c>
      <c r="U1150" s="72">
        <f t="shared" si="432"/>
        <v>1.06</v>
      </c>
    </row>
    <row r="1151" spans="1:21" x14ac:dyDescent="0.25">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0.83499999999999996</v>
      </c>
      <c r="P1151" s="72">
        <f t="shared" si="427"/>
        <v>0</v>
      </c>
      <c r="Q1151" s="72">
        <f t="shared" si="428"/>
        <v>0</v>
      </c>
      <c r="R1151" s="72">
        <f t="shared" si="429"/>
        <v>0.125</v>
      </c>
      <c r="S1151" s="72">
        <f t="shared" si="430"/>
        <v>1.0412941176470589</v>
      </c>
      <c r="T1151" s="72">
        <f t="shared" si="431"/>
        <v>1.0469017891620542</v>
      </c>
      <c r="U1151" s="72">
        <f t="shared" si="432"/>
        <v>1.06</v>
      </c>
    </row>
    <row r="1152" spans="1:21" x14ac:dyDescent="0.25">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0.83499999999999996</v>
      </c>
      <c r="P1152" s="72">
        <f t="shared" si="427"/>
        <v>0</v>
      </c>
      <c r="Q1152" s="72">
        <f t="shared" si="428"/>
        <v>0</v>
      </c>
      <c r="R1152" s="72">
        <f t="shared" si="429"/>
        <v>4.1666666666666664E-2</v>
      </c>
      <c r="S1152" s="72">
        <f t="shared" si="430"/>
        <v>1.0412941176470589</v>
      </c>
      <c r="T1152" s="72">
        <f t="shared" si="431"/>
        <v>1.0464856480885572</v>
      </c>
      <c r="U1152" s="72">
        <f t="shared" si="432"/>
        <v>1.06</v>
      </c>
    </row>
    <row r="1153" spans="1:21" x14ac:dyDescent="0.25">
      <c r="A1153" s="77" t="s">
        <v>1209</v>
      </c>
      <c r="B1153" s="50">
        <f>EXP(SUMPRODUCT((rl_key=$A$1102)*(rl_cons="Y")*rl_ln1p))</f>
        <v>1.06</v>
      </c>
      <c r="C1153" s="50">
        <f>SUMPRODUCT($H$1105:$H$1152,$P$1105:$P$1152,$U$1105:$U$1152)/SUMPRODUCT($H$1105:$H$1152,$P$1105:$P$1152)</f>
        <v>1.0052083333333335</v>
      </c>
      <c r="D1153" s="50">
        <f>SUMPRODUCT($H$1105:$H$1152,$Q$1105:$Q$1152,$U$1105:$U$1152)/SUMPRODUCT($H$1105:$H$1152,$Q$1105:$Q$1152)</f>
        <v>1.0497916666666667</v>
      </c>
      <c r="E1153" s="50">
        <f>SUMPRODUCT($H$1105:$H$1152,$R$1105:$R$1152,$U$1105:$U$1152)/SUMPRODUCT($H$1105:$H$1152,$R$1105:$R$1152)</f>
        <v>1.0600000000000003</v>
      </c>
      <c r="F1153" s="169">
        <f>SUMPRODUCT($H$1105:$H$1152,$Q$1105:$Q$1152,$O$1105:$O$1152)/SUMPRODUCT($H$1105:$H$1152,$Q$1105:$Q$1152)</f>
        <v>0.83900209700948214</v>
      </c>
      <c r="G1153" s="169">
        <f>SUMPRODUCT($H$1105:$H$1152,$R$1105:$R$1152,$O$1105:$O$1152)/SUMPRODUCT($H$1105:$H$1152,$R$1105:$R$1152)</f>
        <v>0.8356718218149769</v>
      </c>
    </row>
    <row r="1156" spans="1:21" x14ac:dyDescent="0.25">
      <c r="A1156" s="77" t="str">
        <f>INDEX(lr_key,21)</f>
        <v>BU-A|TX</v>
      </c>
      <c r="B1156" s="77" t="str">
        <f>INDEX(lr_state,21)</f>
        <v>TX</v>
      </c>
      <c r="C1156" s="52">
        <f>nr_TermMonths</f>
        <v>12</v>
      </c>
      <c r="D1156" s="52">
        <f>IF(COUNTIF(se_state,$B1156)=0,0,MATCH($B1156,se_state,0))</f>
        <v>0</v>
      </c>
      <c r="E1156" s="54">
        <f>IF($D1156=0,0,INDEX(se_sum,$D1156))</f>
        <v>0</v>
      </c>
      <c r="F1156" s="169">
        <f>IF(N(INDEX(lr_mind,21))=0,1,INDEX(lr_mind,21))</f>
        <v>0.85</v>
      </c>
      <c r="G1156" s="169">
        <f>IF(N(INDEX(lr_m0,21))=0,1,INDEX(lr_m0,21))</f>
        <v>0.84</v>
      </c>
      <c r="H1156" s="51">
        <f>IF(N(INDEX(lr_m0asof,21))=0,DATE(nr_PlanYear-1,10,1),INDEX(lr_m0asof,21))</f>
        <v>46295</v>
      </c>
      <c r="I1156" s="169">
        <f>IF(N(INDEX(lr_m1,21))=0,1,INDEX(lr_m1,21))</f>
        <v>0.85</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25">
      <c r="A1157" s="77">
        <f>EDATE($H$1156,-12)+1</f>
        <v>45931</v>
      </c>
      <c r="B1157" s="77">
        <f>$H$1156+1</f>
        <v>46296</v>
      </c>
      <c r="C1157" s="77">
        <f>DATE(nr_PlanYear,12,31)+1</f>
        <v>46753</v>
      </c>
      <c r="D1157" s="77">
        <f>DATE(nr_PlanYear+1,12,31)+1</f>
        <v>47119</v>
      </c>
      <c r="E1157" s="77">
        <f>IF(N($J$1156)=0,$F$1157-($G$1157-$F$1157)/($C$1157-$B$1157)*($B$1157-$A$1157),$J$1156)</f>
        <v>0.83201312910284464</v>
      </c>
      <c r="F1157" s="77">
        <f>$G$1156</f>
        <v>0.84</v>
      </c>
      <c r="G1157" s="77">
        <f>$I$1156</f>
        <v>0.85</v>
      </c>
      <c r="H1157" s="77">
        <f>IF(N($K$1156)=0,$I$1156,$K$1156)</f>
        <v>0.85</v>
      </c>
      <c r="I1157" s="77">
        <f>($F$1157-$E$1157)/($B$1157-$A$1157)</f>
        <v>2.1881838074398162E-5</v>
      </c>
      <c r="J1157" s="77">
        <f>($G$1157-$F$1157)/($C$1157-$B$1157)</f>
        <v>2.188183807439827E-5</v>
      </c>
      <c r="K1157" s="77">
        <f>($H$1157-$G$1157)/($D$1157-$C$1157)</f>
        <v>0</v>
      </c>
    </row>
    <row r="1158" spans="1:21" ht="24" x14ac:dyDescent="0.25">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25">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0.82637855579868713</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0.97221006564551427</v>
      </c>
      <c r="T1159" s="72">
        <f t="shared" ref="T1159:T1206" si="451">IF($G1159&lt;nr_MStartP,$S1159,$T1147*(1+IF($G1159&lt;nr_MStartP1,$M$1156,$N$1156)))</f>
        <v>0.97221006564551427</v>
      </c>
      <c r="U1159" s="72">
        <f t="shared" ref="U1159:U1206" si="452">IF($L$1156,$T1159,$N1159)</f>
        <v>1</v>
      </c>
    </row>
    <row r="1160" spans="1:21" x14ac:dyDescent="0.25">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0.82702407002188183</v>
      </c>
      <c r="P1160" s="72">
        <f t="shared" si="447"/>
        <v>0.125</v>
      </c>
      <c r="Q1160" s="72">
        <f t="shared" si="448"/>
        <v>0</v>
      </c>
      <c r="R1160" s="72">
        <f t="shared" si="449"/>
        <v>0</v>
      </c>
      <c r="S1160" s="72">
        <f t="shared" si="450"/>
        <v>0.9729694941433904</v>
      </c>
      <c r="T1160" s="72">
        <f t="shared" si="451"/>
        <v>0.9729694941433904</v>
      </c>
      <c r="U1160" s="72">
        <f t="shared" si="452"/>
        <v>1</v>
      </c>
    </row>
    <row r="1161" spans="1:21" x14ac:dyDescent="0.25">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0.82766958424507664</v>
      </c>
      <c r="P1161" s="72">
        <f t="shared" si="447"/>
        <v>0.20833333333333337</v>
      </c>
      <c r="Q1161" s="72">
        <f t="shared" si="448"/>
        <v>0</v>
      </c>
      <c r="R1161" s="72">
        <f t="shared" si="449"/>
        <v>0</v>
      </c>
      <c r="S1161" s="72">
        <f t="shared" si="450"/>
        <v>0.97372892264126665</v>
      </c>
      <c r="T1161" s="72">
        <f t="shared" si="451"/>
        <v>0.97372892264126665</v>
      </c>
      <c r="U1161" s="72">
        <f t="shared" si="452"/>
        <v>1</v>
      </c>
    </row>
    <row r="1162" spans="1:21" x14ac:dyDescent="0.25">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0.82833698030634573</v>
      </c>
      <c r="P1162" s="72">
        <f t="shared" si="447"/>
        <v>0.29166666666666663</v>
      </c>
      <c r="Q1162" s="72">
        <f t="shared" si="448"/>
        <v>0</v>
      </c>
      <c r="R1162" s="72">
        <f t="shared" si="449"/>
        <v>0</v>
      </c>
      <c r="S1162" s="72">
        <f t="shared" si="450"/>
        <v>0.97451409447805382</v>
      </c>
      <c r="T1162" s="72">
        <f t="shared" si="451"/>
        <v>0.97451409447805382</v>
      </c>
      <c r="U1162" s="72">
        <f t="shared" si="452"/>
        <v>1</v>
      </c>
    </row>
    <row r="1163" spans="1:21" x14ac:dyDescent="0.25">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0.82900437636761493</v>
      </c>
      <c r="P1163" s="72">
        <f t="shared" si="447"/>
        <v>0.375</v>
      </c>
      <c r="Q1163" s="72">
        <f t="shared" si="448"/>
        <v>0</v>
      </c>
      <c r="R1163" s="72">
        <f t="shared" si="449"/>
        <v>0</v>
      </c>
      <c r="S1163" s="72">
        <f t="shared" si="450"/>
        <v>0.9752992663148411</v>
      </c>
      <c r="T1163" s="72">
        <f t="shared" si="451"/>
        <v>0.9752992663148411</v>
      </c>
      <c r="U1163" s="72">
        <f t="shared" si="452"/>
        <v>1</v>
      </c>
    </row>
    <row r="1164" spans="1:21" x14ac:dyDescent="0.25">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0.82967177242888401</v>
      </c>
      <c r="P1164" s="72">
        <f t="shared" si="447"/>
        <v>0.45833333333333337</v>
      </c>
      <c r="Q1164" s="72">
        <f t="shared" si="448"/>
        <v>0</v>
      </c>
      <c r="R1164" s="72">
        <f t="shared" si="449"/>
        <v>0</v>
      </c>
      <c r="S1164" s="72">
        <f t="shared" si="450"/>
        <v>0.97608443815162826</v>
      </c>
      <c r="T1164" s="72">
        <f t="shared" si="451"/>
        <v>0.97608443815162826</v>
      </c>
      <c r="U1164" s="72">
        <f t="shared" si="452"/>
        <v>1</v>
      </c>
    </row>
    <row r="1165" spans="1:21" x14ac:dyDescent="0.25">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0.83033916849015321</v>
      </c>
      <c r="P1165" s="72">
        <f t="shared" si="447"/>
        <v>0.54166666666666674</v>
      </c>
      <c r="Q1165" s="72">
        <f t="shared" si="448"/>
        <v>0</v>
      </c>
      <c r="R1165" s="72">
        <f t="shared" si="449"/>
        <v>0</v>
      </c>
      <c r="S1165" s="72">
        <f t="shared" si="450"/>
        <v>0.97686960998841554</v>
      </c>
      <c r="T1165" s="72">
        <f t="shared" si="451"/>
        <v>0.97686960998841554</v>
      </c>
      <c r="U1165" s="72">
        <f t="shared" si="452"/>
        <v>1</v>
      </c>
    </row>
    <row r="1166" spans="1:21" x14ac:dyDescent="0.25">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0.83101750547045949</v>
      </c>
      <c r="P1166" s="72">
        <f t="shared" si="447"/>
        <v>0.625</v>
      </c>
      <c r="Q1166" s="72">
        <f t="shared" si="448"/>
        <v>0</v>
      </c>
      <c r="R1166" s="72">
        <f t="shared" si="449"/>
        <v>0</v>
      </c>
      <c r="S1166" s="72">
        <f t="shared" si="450"/>
        <v>0.97766765349465823</v>
      </c>
      <c r="T1166" s="72">
        <f t="shared" si="451"/>
        <v>0.97766765349465823</v>
      </c>
      <c r="U1166" s="72">
        <f t="shared" si="452"/>
        <v>1</v>
      </c>
    </row>
    <row r="1167" spans="1:21" x14ac:dyDescent="0.25">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0.83168490153172869</v>
      </c>
      <c r="P1167" s="72">
        <f t="shared" si="447"/>
        <v>0.70833333333333326</v>
      </c>
      <c r="Q1167" s="72">
        <f t="shared" si="448"/>
        <v>0</v>
      </c>
      <c r="R1167" s="72">
        <f t="shared" si="449"/>
        <v>0</v>
      </c>
      <c r="S1167" s="72">
        <f t="shared" si="450"/>
        <v>0.97845282533144551</v>
      </c>
      <c r="T1167" s="72">
        <f t="shared" si="451"/>
        <v>0.97845282533144551</v>
      </c>
      <c r="U1167" s="72">
        <f t="shared" si="452"/>
        <v>1</v>
      </c>
    </row>
    <row r="1168" spans="1:21" x14ac:dyDescent="0.25">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0.83235229759299778</v>
      </c>
      <c r="P1168" s="72">
        <f t="shared" si="447"/>
        <v>0.79166666666666663</v>
      </c>
      <c r="Q1168" s="72">
        <f t="shared" si="448"/>
        <v>0</v>
      </c>
      <c r="R1168" s="72">
        <f t="shared" si="449"/>
        <v>0</v>
      </c>
      <c r="S1168" s="72">
        <f t="shared" si="450"/>
        <v>0.97923799716823268</v>
      </c>
      <c r="T1168" s="72">
        <f t="shared" si="451"/>
        <v>0.97923799716823268</v>
      </c>
      <c r="U1168" s="72">
        <f t="shared" si="452"/>
        <v>1</v>
      </c>
    </row>
    <row r="1169" spans="1:21" x14ac:dyDescent="0.25">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0.83301969365426698</v>
      </c>
      <c r="P1169" s="72">
        <f t="shared" si="447"/>
        <v>0.875</v>
      </c>
      <c r="Q1169" s="72">
        <f t="shared" si="448"/>
        <v>0</v>
      </c>
      <c r="R1169" s="72">
        <f t="shared" si="449"/>
        <v>0</v>
      </c>
      <c r="S1169" s="72">
        <f t="shared" si="450"/>
        <v>0.98002316900501996</v>
      </c>
      <c r="T1169" s="72">
        <f t="shared" si="451"/>
        <v>0.98002316900501996</v>
      </c>
      <c r="U1169" s="72">
        <f t="shared" si="452"/>
        <v>1</v>
      </c>
    </row>
    <row r="1170" spans="1:21" x14ac:dyDescent="0.25">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0.83368708971553607</v>
      </c>
      <c r="P1170" s="72">
        <f t="shared" si="447"/>
        <v>0.95833333333333337</v>
      </c>
      <c r="Q1170" s="72">
        <f t="shared" si="448"/>
        <v>0</v>
      </c>
      <c r="R1170" s="72">
        <f t="shared" si="449"/>
        <v>0</v>
      </c>
      <c r="S1170" s="72">
        <f t="shared" si="450"/>
        <v>0.98080834084180712</v>
      </c>
      <c r="T1170" s="72">
        <f t="shared" si="451"/>
        <v>0.98080834084180712</v>
      </c>
      <c r="U1170" s="72">
        <f t="shared" si="452"/>
        <v>1</v>
      </c>
    </row>
    <row r="1171" spans="1:21" x14ac:dyDescent="0.25">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0.83436542669584246</v>
      </c>
      <c r="P1171" s="72">
        <f t="shared" si="447"/>
        <v>0.95833333333333337</v>
      </c>
      <c r="Q1171" s="72">
        <f t="shared" si="448"/>
        <v>4.166666666666663E-2</v>
      </c>
      <c r="R1171" s="72">
        <f t="shared" si="449"/>
        <v>0</v>
      </c>
      <c r="S1171" s="72">
        <f t="shared" si="450"/>
        <v>0.98160638434805003</v>
      </c>
      <c r="T1171" s="72">
        <f t="shared" si="451"/>
        <v>0.98160638434805003</v>
      </c>
      <c r="U1171" s="72">
        <f t="shared" si="452"/>
        <v>1</v>
      </c>
    </row>
    <row r="1172" spans="1:21" x14ac:dyDescent="0.25">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0.83501094091903716</v>
      </c>
      <c r="P1172" s="72">
        <f t="shared" si="447"/>
        <v>0.875</v>
      </c>
      <c r="Q1172" s="72">
        <f t="shared" si="448"/>
        <v>0.125</v>
      </c>
      <c r="R1172" s="72">
        <f t="shared" si="449"/>
        <v>0</v>
      </c>
      <c r="S1172" s="72">
        <f t="shared" si="450"/>
        <v>0.98236581284592606</v>
      </c>
      <c r="T1172" s="72">
        <f t="shared" si="451"/>
        <v>0.98236581284592606</v>
      </c>
      <c r="U1172" s="72">
        <f t="shared" si="452"/>
        <v>1</v>
      </c>
    </row>
    <row r="1173" spans="1:21" x14ac:dyDescent="0.25">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0.83565645514223197</v>
      </c>
      <c r="P1173" s="72">
        <f t="shared" si="447"/>
        <v>0.79166666666666663</v>
      </c>
      <c r="Q1173" s="72">
        <f t="shared" si="448"/>
        <v>0.20833333333333337</v>
      </c>
      <c r="R1173" s="72">
        <f t="shared" si="449"/>
        <v>0</v>
      </c>
      <c r="S1173" s="72">
        <f t="shared" si="450"/>
        <v>0.9831252413438023</v>
      </c>
      <c r="T1173" s="72">
        <f t="shared" si="451"/>
        <v>0.9831252413438023</v>
      </c>
      <c r="U1173" s="72">
        <f t="shared" si="452"/>
        <v>1</v>
      </c>
    </row>
    <row r="1174" spans="1:21" x14ac:dyDescent="0.25">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0.83632385120350106</v>
      </c>
      <c r="P1174" s="72">
        <f t="shared" si="447"/>
        <v>0.70833333333333337</v>
      </c>
      <c r="Q1174" s="72">
        <f t="shared" si="448"/>
        <v>0.29166666666666663</v>
      </c>
      <c r="R1174" s="72">
        <f t="shared" si="449"/>
        <v>0</v>
      </c>
      <c r="S1174" s="72">
        <f t="shared" si="450"/>
        <v>0.98391041318058947</v>
      </c>
      <c r="T1174" s="72">
        <f t="shared" si="451"/>
        <v>0.98391041318058947</v>
      </c>
      <c r="U1174" s="72">
        <f t="shared" si="452"/>
        <v>1</v>
      </c>
    </row>
    <row r="1175" spans="1:21" x14ac:dyDescent="0.25">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0.83699124726477026</v>
      </c>
      <c r="P1175" s="72">
        <f t="shared" si="447"/>
        <v>0.625</v>
      </c>
      <c r="Q1175" s="72">
        <f t="shared" si="448"/>
        <v>0.375</v>
      </c>
      <c r="R1175" s="72">
        <f t="shared" si="449"/>
        <v>0</v>
      </c>
      <c r="S1175" s="72">
        <f t="shared" si="450"/>
        <v>0.98469558501737675</v>
      </c>
      <c r="T1175" s="72">
        <f t="shared" si="451"/>
        <v>0.98469558501737675</v>
      </c>
      <c r="U1175" s="72">
        <f t="shared" si="452"/>
        <v>1</v>
      </c>
    </row>
    <row r="1176" spans="1:21" x14ac:dyDescent="0.25">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0.83765864332603934</v>
      </c>
      <c r="P1176" s="72">
        <f t="shared" si="447"/>
        <v>0.54166666666666663</v>
      </c>
      <c r="Q1176" s="72">
        <f t="shared" si="448"/>
        <v>0.45833333333333337</v>
      </c>
      <c r="R1176" s="72">
        <f t="shared" si="449"/>
        <v>0</v>
      </c>
      <c r="S1176" s="72">
        <f t="shared" si="450"/>
        <v>0.98548075685416392</v>
      </c>
      <c r="T1176" s="72">
        <f t="shared" si="451"/>
        <v>0.98548075685416392</v>
      </c>
      <c r="U1176" s="72">
        <f t="shared" si="452"/>
        <v>1</v>
      </c>
    </row>
    <row r="1177" spans="1:21" x14ac:dyDescent="0.25">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0.83832603938730854</v>
      </c>
      <c r="P1177" s="72">
        <f t="shared" si="447"/>
        <v>0.45833333333333331</v>
      </c>
      <c r="Q1177" s="72">
        <f t="shared" si="448"/>
        <v>0.54166666666666674</v>
      </c>
      <c r="R1177" s="72">
        <f t="shared" si="449"/>
        <v>0</v>
      </c>
      <c r="S1177" s="72">
        <f t="shared" si="450"/>
        <v>0.9862659286909512</v>
      </c>
      <c r="T1177" s="72">
        <f t="shared" si="451"/>
        <v>0.9862659286909512</v>
      </c>
      <c r="U1177" s="72">
        <f t="shared" si="452"/>
        <v>1</v>
      </c>
    </row>
    <row r="1178" spans="1:21" x14ac:dyDescent="0.25">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0.83900437636761482</v>
      </c>
      <c r="P1178" s="72">
        <f t="shared" si="447"/>
        <v>0.375</v>
      </c>
      <c r="Q1178" s="72">
        <f t="shared" si="448"/>
        <v>0.625</v>
      </c>
      <c r="R1178" s="72">
        <f t="shared" si="449"/>
        <v>0</v>
      </c>
      <c r="S1178" s="72">
        <f t="shared" si="450"/>
        <v>0.98706397219719388</v>
      </c>
      <c r="T1178" s="72">
        <f t="shared" si="451"/>
        <v>0.98706397219719388</v>
      </c>
      <c r="U1178" s="72">
        <f t="shared" si="452"/>
        <v>1</v>
      </c>
    </row>
    <row r="1179" spans="1:21" x14ac:dyDescent="0.25">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0.83967177242888402</v>
      </c>
      <c r="P1179" s="72">
        <f t="shared" si="447"/>
        <v>0.29166666666666669</v>
      </c>
      <c r="Q1179" s="72">
        <f t="shared" si="448"/>
        <v>0.70833333333333326</v>
      </c>
      <c r="R1179" s="72">
        <f t="shared" si="449"/>
        <v>0</v>
      </c>
      <c r="S1179" s="72">
        <f t="shared" si="450"/>
        <v>0.98784914403398127</v>
      </c>
      <c r="T1179" s="72">
        <f t="shared" si="451"/>
        <v>0.98784914403398127</v>
      </c>
      <c r="U1179" s="72">
        <f t="shared" si="452"/>
        <v>1</v>
      </c>
    </row>
    <row r="1180" spans="1:21" x14ac:dyDescent="0.25">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0.84033916849015311</v>
      </c>
      <c r="P1180" s="72">
        <f t="shared" si="447"/>
        <v>0.20833333333333334</v>
      </c>
      <c r="Q1180" s="72">
        <f t="shared" si="448"/>
        <v>0.79166666666666663</v>
      </c>
      <c r="R1180" s="72">
        <f t="shared" si="449"/>
        <v>0</v>
      </c>
      <c r="S1180" s="72">
        <f t="shared" si="450"/>
        <v>0.98863431587076844</v>
      </c>
      <c r="T1180" s="72">
        <f t="shared" si="451"/>
        <v>0.98863431587076844</v>
      </c>
      <c r="U1180" s="72">
        <f t="shared" si="452"/>
        <v>1</v>
      </c>
    </row>
    <row r="1181" spans="1:21" x14ac:dyDescent="0.25">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0.84100656455142231</v>
      </c>
      <c r="P1181" s="72">
        <f t="shared" si="447"/>
        <v>0.125</v>
      </c>
      <c r="Q1181" s="72">
        <f t="shared" si="448"/>
        <v>0.875</v>
      </c>
      <c r="R1181" s="72">
        <f t="shared" si="449"/>
        <v>0</v>
      </c>
      <c r="S1181" s="72">
        <f t="shared" si="450"/>
        <v>0.98941948770755572</v>
      </c>
      <c r="T1181" s="72">
        <f t="shared" si="451"/>
        <v>0.98941948770755572</v>
      </c>
      <c r="U1181" s="72">
        <f t="shared" si="452"/>
        <v>1</v>
      </c>
    </row>
    <row r="1182" spans="1:21" x14ac:dyDescent="0.25">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0.8416739606126914</v>
      </c>
      <c r="P1182" s="72">
        <f t="shared" si="447"/>
        <v>4.1666666666666664E-2</v>
      </c>
      <c r="Q1182" s="72">
        <f t="shared" si="448"/>
        <v>0.95833333333333337</v>
      </c>
      <c r="R1182" s="72">
        <f t="shared" si="449"/>
        <v>0</v>
      </c>
      <c r="S1182" s="72">
        <f t="shared" si="450"/>
        <v>0.99020465954434289</v>
      </c>
      <c r="T1182" s="72">
        <f t="shared" si="451"/>
        <v>0.99020465954434289</v>
      </c>
      <c r="U1182" s="72">
        <f t="shared" si="452"/>
        <v>1</v>
      </c>
    </row>
    <row r="1183" spans="1:21" x14ac:dyDescent="0.25">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0.84235229759299779</v>
      </c>
      <c r="P1183" s="72">
        <f t="shared" si="447"/>
        <v>0</v>
      </c>
      <c r="Q1183" s="72">
        <f t="shared" si="448"/>
        <v>0.95833333333333337</v>
      </c>
      <c r="R1183" s="72">
        <f t="shared" si="449"/>
        <v>4.166666666666663E-2</v>
      </c>
      <c r="S1183" s="72">
        <f t="shared" si="450"/>
        <v>0.99100270305058569</v>
      </c>
      <c r="T1183" s="72">
        <f t="shared" si="451"/>
        <v>0.98160638434805003</v>
      </c>
      <c r="U1183" s="72">
        <f t="shared" si="452"/>
        <v>1</v>
      </c>
    </row>
    <row r="1184" spans="1:21" x14ac:dyDescent="0.25">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0.84299781181619249</v>
      </c>
      <c r="P1184" s="72">
        <f t="shared" si="447"/>
        <v>0</v>
      </c>
      <c r="Q1184" s="72">
        <f t="shared" si="448"/>
        <v>0.875</v>
      </c>
      <c r="R1184" s="72">
        <f t="shared" si="449"/>
        <v>0.125</v>
      </c>
      <c r="S1184" s="72">
        <f t="shared" si="450"/>
        <v>0.99176213154846182</v>
      </c>
      <c r="T1184" s="72">
        <f t="shared" si="451"/>
        <v>0.98236581284592606</v>
      </c>
      <c r="U1184" s="72">
        <f t="shared" si="452"/>
        <v>1</v>
      </c>
    </row>
    <row r="1185" spans="1:21" x14ac:dyDescent="0.25">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0.8436433260393873</v>
      </c>
      <c r="P1185" s="72">
        <f t="shared" si="447"/>
        <v>0</v>
      </c>
      <c r="Q1185" s="72">
        <f t="shared" si="448"/>
        <v>0.79166666666666663</v>
      </c>
      <c r="R1185" s="72">
        <f t="shared" si="449"/>
        <v>0.20833333333333337</v>
      </c>
      <c r="S1185" s="72">
        <f t="shared" si="450"/>
        <v>0.99252156004633807</v>
      </c>
      <c r="T1185" s="72">
        <f t="shared" si="451"/>
        <v>0.9831252413438023</v>
      </c>
      <c r="U1185" s="72">
        <f t="shared" si="452"/>
        <v>1</v>
      </c>
    </row>
    <row r="1186" spans="1:21" x14ac:dyDescent="0.25">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0.84431072210065639</v>
      </c>
      <c r="P1186" s="72">
        <f t="shared" si="447"/>
        <v>0</v>
      </c>
      <c r="Q1186" s="72">
        <f t="shared" si="448"/>
        <v>0.70833333333333337</v>
      </c>
      <c r="R1186" s="72">
        <f t="shared" si="449"/>
        <v>0.29166666666666663</v>
      </c>
      <c r="S1186" s="72">
        <f t="shared" si="450"/>
        <v>0.99330673188312524</v>
      </c>
      <c r="T1186" s="72">
        <f t="shared" si="451"/>
        <v>0.98391041318058947</v>
      </c>
      <c r="U1186" s="72">
        <f t="shared" si="452"/>
        <v>1</v>
      </c>
    </row>
    <row r="1187" spans="1:21" x14ac:dyDescent="0.25">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0.84497811816192558</v>
      </c>
      <c r="P1187" s="72">
        <f t="shared" si="447"/>
        <v>0</v>
      </c>
      <c r="Q1187" s="72">
        <f t="shared" si="448"/>
        <v>0.625</v>
      </c>
      <c r="R1187" s="72">
        <f t="shared" si="449"/>
        <v>0.375</v>
      </c>
      <c r="S1187" s="72">
        <f t="shared" si="450"/>
        <v>0.99409190371991252</v>
      </c>
      <c r="T1187" s="72">
        <f t="shared" si="451"/>
        <v>0.98469558501737675</v>
      </c>
      <c r="U1187" s="72">
        <f t="shared" si="452"/>
        <v>1</v>
      </c>
    </row>
    <row r="1188" spans="1:21" x14ac:dyDescent="0.25">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0.84564551422319467</v>
      </c>
      <c r="P1188" s="72">
        <f t="shared" si="447"/>
        <v>0</v>
      </c>
      <c r="Q1188" s="72">
        <f t="shared" si="448"/>
        <v>0.54166666666666663</v>
      </c>
      <c r="R1188" s="72">
        <f t="shared" si="449"/>
        <v>0.45833333333333337</v>
      </c>
      <c r="S1188" s="72">
        <f t="shared" si="450"/>
        <v>0.99487707555669969</v>
      </c>
      <c r="T1188" s="72">
        <f t="shared" si="451"/>
        <v>0.98548075685416392</v>
      </c>
      <c r="U1188" s="72">
        <f t="shared" si="452"/>
        <v>1</v>
      </c>
    </row>
    <row r="1189" spans="1:21" x14ac:dyDescent="0.25">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0.84631291028446387</v>
      </c>
      <c r="P1189" s="72">
        <f t="shared" si="447"/>
        <v>0</v>
      </c>
      <c r="Q1189" s="72">
        <f t="shared" si="448"/>
        <v>0.45833333333333331</v>
      </c>
      <c r="R1189" s="72">
        <f t="shared" si="449"/>
        <v>0.54166666666666674</v>
      </c>
      <c r="S1189" s="72">
        <f t="shared" si="450"/>
        <v>0.99566224739348697</v>
      </c>
      <c r="T1189" s="72">
        <f t="shared" si="451"/>
        <v>0.9862659286909512</v>
      </c>
      <c r="U1189" s="72">
        <f t="shared" si="452"/>
        <v>1</v>
      </c>
    </row>
    <row r="1190" spans="1:21" x14ac:dyDescent="0.25">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0.84699124726477026</v>
      </c>
      <c r="P1190" s="72">
        <f t="shared" si="447"/>
        <v>0</v>
      </c>
      <c r="Q1190" s="72">
        <f t="shared" si="448"/>
        <v>0.375</v>
      </c>
      <c r="R1190" s="72">
        <f t="shared" si="449"/>
        <v>0.625</v>
      </c>
      <c r="S1190" s="72">
        <f t="shared" si="450"/>
        <v>0.99646029089972976</v>
      </c>
      <c r="T1190" s="72">
        <f t="shared" si="451"/>
        <v>0.98706397219719388</v>
      </c>
      <c r="U1190" s="72">
        <f t="shared" si="452"/>
        <v>1</v>
      </c>
    </row>
    <row r="1191" spans="1:21" x14ac:dyDescent="0.25">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0.84765864332603935</v>
      </c>
      <c r="P1191" s="72">
        <f t="shared" si="447"/>
        <v>0</v>
      </c>
      <c r="Q1191" s="72">
        <f t="shared" si="448"/>
        <v>0.29166666666666669</v>
      </c>
      <c r="R1191" s="72">
        <f t="shared" si="449"/>
        <v>0.70833333333333326</v>
      </c>
      <c r="S1191" s="72">
        <f t="shared" si="450"/>
        <v>0.99724546273651693</v>
      </c>
      <c r="T1191" s="72">
        <f t="shared" si="451"/>
        <v>0.98784914403398127</v>
      </c>
      <c r="U1191" s="72">
        <f t="shared" si="452"/>
        <v>1</v>
      </c>
    </row>
    <row r="1192" spans="1:21" x14ac:dyDescent="0.25">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0.84832603938730855</v>
      </c>
      <c r="P1192" s="72">
        <f t="shared" si="447"/>
        <v>0</v>
      </c>
      <c r="Q1192" s="72">
        <f t="shared" si="448"/>
        <v>0.20833333333333334</v>
      </c>
      <c r="R1192" s="72">
        <f t="shared" si="449"/>
        <v>0.79166666666666663</v>
      </c>
      <c r="S1192" s="72">
        <f t="shared" si="450"/>
        <v>0.99803063457330421</v>
      </c>
      <c r="T1192" s="72">
        <f t="shared" si="451"/>
        <v>0.98863431587076844</v>
      </c>
      <c r="U1192" s="72">
        <f t="shared" si="452"/>
        <v>1</v>
      </c>
    </row>
    <row r="1193" spans="1:21" x14ac:dyDescent="0.25">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0.84899343544857764</v>
      </c>
      <c r="P1193" s="72">
        <f t="shared" si="447"/>
        <v>0</v>
      </c>
      <c r="Q1193" s="72">
        <f t="shared" si="448"/>
        <v>0.125</v>
      </c>
      <c r="R1193" s="72">
        <f t="shared" si="449"/>
        <v>0.875</v>
      </c>
      <c r="S1193" s="72">
        <f t="shared" si="450"/>
        <v>0.99881580641009138</v>
      </c>
      <c r="T1193" s="72">
        <f t="shared" si="451"/>
        <v>0.98941948770755572</v>
      </c>
      <c r="U1193" s="72">
        <f t="shared" si="452"/>
        <v>1</v>
      </c>
    </row>
    <row r="1194" spans="1:21" x14ac:dyDescent="0.25">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0.84966083150984684</v>
      </c>
      <c r="P1194" s="72">
        <f t="shared" si="447"/>
        <v>0</v>
      </c>
      <c r="Q1194" s="72">
        <f t="shared" si="448"/>
        <v>4.1666666666666664E-2</v>
      </c>
      <c r="R1194" s="72">
        <f t="shared" si="449"/>
        <v>0.95833333333333337</v>
      </c>
      <c r="S1194" s="72">
        <f t="shared" si="450"/>
        <v>0.99960097824687866</v>
      </c>
      <c r="T1194" s="72">
        <f t="shared" si="451"/>
        <v>0.99020465954434289</v>
      </c>
      <c r="U1194" s="72">
        <f t="shared" si="452"/>
        <v>1</v>
      </c>
    </row>
    <row r="1195" spans="1:21" x14ac:dyDescent="0.25">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0.85</v>
      </c>
      <c r="P1195" s="72">
        <f t="shared" si="447"/>
        <v>0</v>
      </c>
      <c r="Q1195" s="72">
        <f t="shared" si="448"/>
        <v>0</v>
      </c>
      <c r="R1195" s="72">
        <f t="shared" si="449"/>
        <v>0.95833333333333337</v>
      </c>
      <c r="S1195" s="72">
        <f t="shared" si="450"/>
        <v>1</v>
      </c>
      <c r="T1195" s="72">
        <f t="shared" si="451"/>
        <v>0.98160638434805003</v>
      </c>
      <c r="U1195" s="72">
        <f t="shared" si="452"/>
        <v>1</v>
      </c>
    </row>
    <row r="1196" spans="1:21" x14ac:dyDescent="0.25">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0.85</v>
      </c>
      <c r="P1196" s="72">
        <f t="shared" si="447"/>
        <v>0</v>
      </c>
      <c r="Q1196" s="72">
        <f t="shared" si="448"/>
        <v>0</v>
      </c>
      <c r="R1196" s="72">
        <f t="shared" si="449"/>
        <v>0.875</v>
      </c>
      <c r="S1196" s="72">
        <f t="shared" si="450"/>
        <v>1</v>
      </c>
      <c r="T1196" s="72">
        <f t="shared" si="451"/>
        <v>0.98236581284592606</v>
      </c>
      <c r="U1196" s="72">
        <f t="shared" si="452"/>
        <v>1</v>
      </c>
    </row>
    <row r="1197" spans="1:21" x14ac:dyDescent="0.25">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0.85</v>
      </c>
      <c r="P1197" s="72">
        <f t="shared" si="447"/>
        <v>0</v>
      </c>
      <c r="Q1197" s="72">
        <f t="shared" si="448"/>
        <v>0</v>
      </c>
      <c r="R1197" s="72">
        <f t="shared" si="449"/>
        <v>0.79166666666666663</v>
      </c>
      <c r="S1197" s="72">
        <f t="shared" si="450"/>
        <v>1</v>
      </c>
      <c r="T1197" s="72">
        <f t="shared" si="451"/>
        <v>0.9831252413438023</v>
      </c>
      <c r="U1197" s="72">
        <f t="shared" si="452"/>
        <v>1</v>
      </c>
    </row>
    <row r="1198" spans="1:21" x14ac:dyDescent="0.25">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0.85</v>
      </c>
      <c r="P1198" s="72">
        <f t="shared" si="447"/>
        <v>0</v>
      </c>
      <c r="Q1198" s="72">
        <f t="shared" si="448"/>
        <v>0</v>
      </c>
      <c r="R1198" s="72">
        <f t="shared" si="449"/>
        <v>0.70833333333333337</v>
      </c>
      <c r="S1198" s="72">
        <f t="shared" si="450"/>
        <v>1</v>
      </c>
      <c r="T1198" s="72">
        <f t="shared" si="451"/>
        <v>0.98391041318058947</v>
      </c>
      <c r="U1198" s="72">
        <f t="shared" si="452"/>
        <v>1</v>
      </c>
    </row>
    <row r="1199" spans="1:21" x14ac:dyDescent="0.25">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0.85</v>
      </c>
      <c r="P1199" s="72">
        <f t="shared" si="447"/>
        <v>0</v>
      </c>
      <c r="Q1199" s="72">
        <f t="shared" si="448"/>
        <v>0</v>
      </c>
      <c r="R1199" s="72">
        <f t="shared" si="449"/>
        <v>0.625</v>
      </c>
      <c r="S1199" s="72">
        <f t="shared" si="450"/>
        <v>1</v>
      </c>
      <c r="T1199" s="72">
        <f t="shared" si="451"/>
        <v>0.98469558501737675</v>
      </c>
      <c r="U1199" s="72">
        <f t="shared" si="452"/>
        <v>1</v>
      </c>
    </row>
    <row r="1200" spans="1:21" x14ac:dyDescent="0.25">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0.85</v>
      </c>
      <c r="P1200" s="72">
        <f t="shared" si="447"/>
        <v>0</v>
      </c>
      <c r="Q1200" s="72">
        <f t="shared" si="448"/>
        <v>0</v>
      </c>
      <c r="R1200" s="72">
        <f t="shared" si="449"/>
        <v>0.54166666666666663</v>
      </c>
      <c r="S1200" s="72">
        <f t="shared" si="450"/>
        <v>1</v>
      </c>
      <c r="T1200" s="72">
        <f t="shared" si="451"/>
        <v>0.98548075685416392</v>
      </c>
      <c r="U1200" s="72">
        <f t="shared" si="452"/>
        <v>1</v>
      </c>
    </row>
    <row r="1201" spans="1:21" x14ac:dyDescent="0.25">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0.85</v>
      </c>
      <c r="P1201" s="72">
        <f t="shared" si="447"/>
        <v>0</v>
      </c>
      <c r="Q1201" s="72">
        <f t="shared" si="448"/>
        <v>0</v>
      </c>
      <c r="R1201" s="72">
        <f t="shared" si="449"/>
        <v>0.45833333333333331</v>
      </c>
      <c r="S1201" s="72">
        <f t="shared" si="450"/>
        <v>1</v>
      </c>
      <c r="T1201" s="72">
        <f t="shared" si="451"/>
        <v>0.9862659286909512</v>
      </c>
      <c r="U1201" s="72">
        <f t="shared" si="452"/>
        <v>1</v>
      </c>
    </row>
    <row r="1202" spans="1:21" x14ac:dyDescent="0.25">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0.85</v>
      </c>
      <c r="P1202" s="72">
        <f t="shared" si="447"/>
        <v>0</v>
      </c>
      <c r="Q1202" s="72">
        <f t="shared" si="448"/>
        <v>0</v>
      </c>
      <c r="R1202" s="72">
        <f t="shared" si="449"/>
        <v>0.375</v>
      </c>
      <c r="S1202" s="72">
        <f t="shared" si="450"/>
        <v>1</v>
      </c>
      <c r="T1202" s="72">
        <f t="shared" si="451"/>
        <v>0.98706397219719388</v>
      </c>
      <c r="U1202" s="72">
        <f t="shared" si="452"/>
        <v>1</v>
      </c>
    </row>
    <row r="1203" spans="1:21" x14ac:dyDescent="0.25">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0.85</v>
      </c>
      <c r="P1203" s="72">
        <f t="shared" si="447"/>
        <v>0</v>
      </c>
      <c r="Q1203" s="72">
        <f t="shared" si="448"/>
        <v>0</v>
      </c>
      <c r="R1203" s="72">
        <f t="shared" si="449"/>
        <v>0.29166666666666669</v>
      </c>
      <c r="S1203" s="72">
        <f t="shared" si="450"/>
        <v>1</v>
      </c>
      <c r="T1203" s="72">
        <f t="shared" si="451"/>
        <v>0.98784914403398127</v>
      </c>
      <c r="U1203" s="72">
        <f t="shared" si="452"/>
        <v>1</v>
      </c>
    </row>
    <row r="1204" spans="1:21" x14ac:dyDescent="0.25">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0.85</v>
      </c>
      <c r="P1204" s="72">
        <f t="shared" si="447"/>
        <v>0</v>
      </c>
      <c r="Q1204" s="72">
        <f t="shared" si="448"/>
        <v>0</v>
      </c>
      <c r="R1204" s="72">
        <f t="shared" si="449"/>
        <v>0.20833333333333334</v>
      </c>
      <c r="S1204" s="72">
        <f t="shared" si="450"/>
        <v>1</v>
      </c>
      <c r="T1204" s="72">
        <f t="shared" si="451"/>
        <v>0.98863431587076844</v>
      </c>
      <c r="U1204" s="72">
        <f t="shared" si="452"/>
        <v>1</v>
      </c>
    </row>
    <row r="1205" spans="1:21" x14ac:dyDescent="0.25">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0.85</v>
      </c>
      <c r="P1205" s="72">
        <f t="shared" si="447"/>
        <v>0</v>
      </c>
      <c r="Q1205" s="72">
        <f t="shared" si="448"/>
        <v>0</v>
      </c>
      <c r="R1205" s="72">
        <f t="shared" si="449"/>
        <v>0.125</v>
      </c>
      <c r="S1205" s="72">
        <f t="shared" si="450"/>
        <v>1</v>
      </c>
      <c r="T1205" s="72">
        <f t="shared" si="451"/>
        <v>0.98941948770755572</v>
      </c>
      <c r="U1205" s="72">
        <f t="shared" si="452"/>
        <v>1</v>
      </c>
    </row>
    <row r="1206" spans="1:21" x14ac:dyDescent="0.25">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0.85</v>
      </c>
      <c r="P1206" s="72">
        <f t="shared" si="447"/>
        <v>0</v>
      </c>
      <c r="Q1206" s="72">
        <f t="shared" si="448"/>
        <v>0</v>
      </c>
      <c r="R1206" s="72">
        <f t="shared" si="449"/>
        <v>4.1666666666666664E-2</v>
      </c>
      <c r="S1206" s="72">
        <f t="shared" si="450"/>
        <v>1</v>
      </c>
      <c r="T1206" s="72">
        <f t="shared" si="451"/>
        <v>0.99020465954434289</v>
      </c>
      <c r="U1206" s="72">
        <f t="shared" si="452"/>
        <v>1</v>
      </c>
    </row>
    <row r="1207" spans="1:21" x14ac:dyDescent="0.25">
      <c r="A1207" s="77" t="s">
        <v>1209</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0.84199580598103541</v>
      </c>
      <c r="G1207" s="169">
        <f>SUMPRODUCT($H$1159:$H$1206,$R$1159:$R$1206,$O$1159:$O$1206)/SUMPRODUCT($H$1159:$H$1206,$R$1159:$R$1206)</f>
        <v>0.84865635637004611</v>
      </c>
    </row>
    <row r="1210" spans="1:21" x14ac:dyDescent="0.25">
      <c r="A1210" s="77" t="str">
        <f>INDEX(lr_key,22)</f>
        <v>BU-B|AZ</v>
      </c>
      <c r="B1210" s="77" t="str">
        <f>INDEX(lr_state,22)</f>
        <v>AZ</v>
      </c>
      <c r="C1210" s="52">
        <f>nr_TermMonths</f>
        <v>12</v>
      </c>
      <c r="D1210" s="52">
        <f>IF(COUNTIF(se_state,$B1210)=0,0,MATCH($B1210,se_state,0))</f>
        <v>0</v>
      </c>
      <c r="E1210" s="54">
        <f>IF($D1210=0,0,INDEX(se_sum,$D1210))</f>
        <v>0</v>
      </c>
      <c r="F1210" s="169">
        <f>IF(N(INDEX(lr_mind,22))=0,1,INDEX(lr_mind,22))</f>
        <v>0.85</v>
      </c>
      <c r="G1210" s="169">
        <f>IF(N(INDEX(lr_m0,22))=0,1,INDEX(lr_m0,22))</f>
        <v>0.84</v>
      </c>
      <c r="H1210" s="51">
        <f>IF(N(INDEX(lr_m0asof,22))=0,DATE(nr_PlanYear-1,10,1),INDEX(lr_m0asof,22))</f>
        <v>46295</v>
      </c>
      <c r="I1210" s="169">
        <f>IF(N(INDEX(lr_m1,22))=0,1,INDEX(lr_m1,22))</f>
        <v>0.83</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25">
      <c r="A1211" s="77">
        <f>EDATE($H$1210,-12)+1</f>
        <v>45931</v>
      </c>
      <c r="B1211" s="77">
        <f>$H$1210+1</f>
        <v>46296</v>
      </c>
      <c r="C1211" s="77">
        <f>DATE(nr_PlanYear,12,31)+1</f>
        <v>46753</v>
      </c>
      <c r="D1211" s="77">
        <f>DATE(nr_PlanYear+1,12,31)+1</f>
        <v>47119</v>
      </c>
      <c r="E1211" s="77">
        <f>IF(N($J$1210)=0,$F$1211-($G$1211-$F$1211)/($C$1211-$B$1211)*($B$1211-$A$1211),$J$1210)</f>
        <v>0.8479868708971553</v>
      </c>
      <c r="F1211" s="77">
        <f>$G$1210</f>
        <v>0.84</v>
      </c>
      <c r="G1211" s="77">
        <f>$I$1210</f>
        <v>0.83</v>
      </c>
      <c r="H1211" s="77">
        <f>IF(N($K$1210)=0,$I$1210,$K$1210)</f>
        <v>0.83</v>
      </c>
      <c r="I1211" s="77">
        <f>($F$1211-$E$1211)/($B$1211-$A$1211)</f>
        <v>-2.1881838074398162E-5</v>
      </c>
      <c r="J1211" s="77">
        <f>($G$1211-$F$1211)/($C$1211-$B$1211)</f>
        <v>-2.188183807439827E-5</v>
      </c>
      <c r="K1211" s="77">
        <f>($H$1211-$G$1211)/($D$1211-$C$1211)</f>
        <v>0</v>
      </c>
    </row>
    <row r="1212" spans="1:21" ht="24" x14ac:dyDescent="0.25">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25">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0.85362144420131281</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1.0042605225897798</v>
      </c>
      <c r="T1213" s="72">
        <f t="shared" ref="T1213:T1260" si="471">IF($G1213&lt;nr_MStartP,$S1213,$T1201*(1+IF($G1213&lt;nr_MStartP1,$M$1210,$N$1210)))</f>
        <v>1.0042605225897798</v>
      </c>
      <c r="U1213" s="72">
        <f t="shared" ref="U1213:U1260" si="472">IF($L$1210,$T1213,$N1213)</f>
        <v>1</v>
      </c>
    </row>
    <row r="1214" spans="1:21" x14ac:dyDescent="0.25">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0.85297592997811811</v>
      </c>
      <c r="P1214" s="72">
        <f t="shared" si="467"/>
        <v>0.125</v>
      </c>
      <c r="Q1214" s="72">
        <f t="shared" si="468"/>
        <v>0</v>
      </c>
      <c r="R1214" s="72">
        <f t="shared" si="469"/>
        <v>0</v>
      </c>
      <c r="S1214" s="72">
        <f t="shared" si="470"/>
        <v>1.0035010940919036</v>
      </c>
      <c r="T1214" s="72">
        <f t="shared" si="471"/>
        <v>1.0035010940919036</v>
      </c>
      <c r="U1214" s="72">
        <f t="shared" si="472"/>
        <v>1</v>
      </c>
    </row>
    <row r="1215" spans="1:21" x14ac:dyDescent="0.25">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0.8523304157549233</v>
      </c>
      <c r="P1215" s="72">
        <f t="shared" si="467"/>
        <v>0.20833333333333337</v>
      </c>
      <c r="Q1215" s="72">
        <f t="shared" si="468"/>
        <v>0</v>
      </c>
      <c r="R1215" s="72">
        <f t="shared" si="469"/>
        <v>0</v>
      </c>
      <c r="S1215" s="72">
        <f t="shared" si="470"/>
        <v>1.0027416655940273</v>
      </c>
      <c r="T1215" s="72">
        <f t="shared" si="471"/>
        <v>1.0027416655940273</v>
      </c>
      <c r="U1215" s="72">
        <f t="shared" si="472"/>
        <v>1</v>
      </c>
    </row>
    <row r="1216" spans="1:21" x14ac:dyDescent="0.25">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0.85166301969365421</v>
      </c>
      <c r="P1216" s="72">
        <f t="shared" si="467"/>
        <v>0.29166666666666663</v>
      </c>
      <c r="Q1216" s="72">
        <f t="shared" si="468"/>
        <v>0</v>
      </c>
      <c r="R1216" s="72">
        <f t="shared" si="469"/>
        <v>0</v>
      </c>
      <c r="S1216" s="72">
        <f t="shared" si="470"/>
        <v>1.0019564937572403</v>
      </c>
      <c r="T1216" s="72">
        <f t="shared" si="471"/>
        <v>1.0019564937572403</v>
      </c>
      <c r="U1216" s="72">
        <f t="shared" si="472"/>
        <v>1</v>
      </c>
    </row>
    <row r="1217" spans="1:21" x14ac:dyDescent="0.25">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0.85099562363238501</v>
      </c>
      <c r="P1217" s="72">
        <f t="shared" si="467"/>
        <v>0.375</v>
      </c>
      <c r="Q1217" s="72">
        <f t="shared" si="468"/>
        <v>0</v>
      </c>
      <c r="R1217" s="72">
        <f t="shared" si="469"/>
        <v>0</v>
      </c>
      <c r="S1217" s="72">
        <f t="shared" si="470"/>
        <v>1.001171321920453</v>
      </c>
      <c r="T1217" s="72">
        <f t="shared" si="471"/>
        <v>1.001171321920453</v>
      </c>
      <c r="U1217" s="72">
        <f t="shared" si="472"/>
        <v>1</v>
      </c>
    </row>
    <row r="1218" spans="1:21" x14ac:dyDescent="0.25">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0.85032822757111592</v>
      </c>
      <c r="P1218" s="72">
        <f t="shared" si="467"/>
        <v>0.45833333333333337</v>
      </c>
      <c r="Q1218" s="72">
        <f t="shared" si="468"/>
        <v>0</v>
      </c>
      <c r="R1218" s="72">
        <f t="shared" si="469"/>
        <v>0</v>
      </c>
      <c r="S1218" s="72">
        <f t="shared" si="470"/>
        <v>1.0003861500836657</v>
      </c>
      <c r="T1218" s="72">
        <f t="shared" si="471"/>
        <v>1.0003861500836657</v>
      </c>
      <c r="U1218" s="72">
        <f t="shared" si="472"/>
        <v>1</v>
      </c>
    </row>
    <row r="1219" spans="1:21" x14ac:dyDescent="0.25">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0.84966083150984673</v>
      </c>
      <c r="P1219" s="72">
        <f t="shared" si="467"/>
        <v>0.54166666666666674</v>
      </c>
      <c r="Q1219" s="72">
        <f t="shared" si="468"/>
        <v>0</v>
      </c>
      <c r="R1219" s="72">
        <f t="shared" si="469"/>
        <v>0</v>
      </c>
      <c r="S1219" s="72">
        <f t="shared" si="470"/>
        <v>0.99960097824687855</v>
      </c>
      <c r="T1219" s="72">
        <f t="shared" si="471"/>
        <v>0.99960097824687855</v>
      </c>
      <c r="U1219" s="72">
        <f t="shared" si="472"/>
        <v>1</v>
      </c>
    </row>
    <row r="1220" spans="1:21" x14ac:dyDescent="0.25">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0.84898249452954044</v>
      </c>
      <c r="P1220" s="72">
        <f t="shared" si="467"/>
        <v>0.625</v>
      </c>
      <c r="Q1220" s="72">
        <f t="shared" si="468"/>
        <v>0</v>
      </c>
      <c r="R1220" s="72">
        <f t="shared" si="469"/>
        <v>0</v>
      </c>
      <c r="S1220" s="72">
        <f t="shared" si="470"/>
        <v>0.99880293474063586</v>
      </c>
      <c r="T1220" s="72">
        <f t="shared" si="471"/>
        <v>0.99880293474063586</v>
      </c>
      <c r="U1220" s="72">
        <f t="shared" si="472"/>
        <v>1</v>
      </c>
    </row>
    <row r="1221" spans="1:21" x14ac:dyDescent="0.25">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0.84831509846827124</v>
      </c>
      <c r="P1221" s="72">
        <f t="shared" si="467"/>
        <v>0.70833333333333326</v>
      </c>
      <c r="Q1221" s="72">
        <f t="shared" si="468"/>
        <v>0</v>
      </c>
      <c r="R1221" s="72">
        <f t="shared" si="469"/>
        <v>0</v>
      </c>
      <c r="S1221" s="72">
        <f t="shared" si="470"/>
        <v>0.99801776290384858</v>
      </c>
      <c r="T1221" s="72">
        <f t="shared" si="471"/>
        <v>0.99801776290384858</v>
      </c>
      <c r="U1221" s="72">
        <f t="shared" si="472"/>
        <v>1</v>
      </c>
    </row>
    <row r="1222" spans="1:21" x14ac:dyDescent="0.25">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0.84764770240700216</v>
      </c>
      <c r="P1222" s="72">
        <f t="shared" si="467"/>
        <v>0.79166666666666663</v>
      </c>
      <c r="Q1222" s="72">
        <f t="shared" si="468"/>
        <v>0</v>
      </c>
      <c r="R1222" s="72">
        <f t="shared" si="469"/>
        <v>0</v>
      </c>
      <c r="S1222" s="72">
        <f t="shared" si="470"/>
        <v>0.99723259106706141</v>
      </c>
      <c r="T1222" s="72">
        <f t="shared" si="471"/>
        <v>0.99723259106706141</v>
      </c>
      <c r="U1222" s="72">
        <f t="shared" si="472"/>
        <v>1</v>
      </c>
    </row>
    <row r="1223" spans="1:21" x14ac:dyDescent="0.25">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0.84698030634573296</v>
      </c>
      <c r="P1223" s="72">
        <f t="shared" si="467"/>
        <v>0.875</v>
      </c>
      <c r="Q1223" s="72">
        <f t="shared" si="468"/>
        <v>0</v>
      </c>
      <c r="R1223" s="72">
        <f t="shared" si="469"/>
        <v>0</v>
      </c>
      <c r="S1223" s="72">
        <f t="shared" si="470"/>
        <v>0.99644741923027413</v>
      </c>
      <c r="T1223" s="72">
        <f t="shared" si="471"/>
        <v>0.99644741923027413</v>
      </c>
      <c r="U1223" s="72">
        <f t="shared" si="472"/>
        <v>1</v>
      </c>
    </row>
    <row r="1224" spans="1:21" x14ac:dyDescent="0.25">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0.84631291028446387</v>
      </c>
      <c r="P1224" s="72">
        <f t="shared" si="467"/>
        <v>0.95833333333333337</v>
      </c>
      <c r="Q1224" s="72">
        <f t="shared" si="468"/>
        <v>0</v>
      </c>
      <c r="R1224" s="72">
        <f t="shared" si="469"/>
        <v>0</v>
      </c>
      <c r="S1224" s="72">
        <f t="shared" si="470"/>
        <v>0.99566224739348697</v>
      </c>
      <c r="T1224" s="72">
        <f t="shared" si="471"/>
        <v>0.99566224739348697</v>
      </c>
      <c r="U1224" s="72">
        <f t="shared" si="472"/>
        <v>1</v>
      </c>
    </row>
    <row r="1225" spans="1:21" x14ac:dyDescent="0.25">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0.84563457330415748</v>
      </c>
      <c r="P1225" s="72">
        <f t="shared" si="467"/>
        <v>0.95833333333333337</v>
      </c>
      <c r="Q1225" s="72">
        <f t="shared" si="468"/>
        <v>4.166666666666663E-2</v>
      </c>
      <c r="R1225" s="72">
        <f t="shared" si="469"/>
        <v>0</v>
      </c>
      <c r="S1225" s="72">
        <f t="shared" si="470"/>
        <v>0.99486420388724417</v>
      </c>
      <c r="T1225" s="72">
        <f t="shared" si="471"/>
        <v>0.99486420388724417</v>
      </c>
      <c r="U1225" s="72">
        <f t="shared" si="472"/>
        <v>1</v>
      </c>
    </row>
    <row r="1226" spans="1:21" x14ac:dyDescent="0.25">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0.84498905908096278</v>
      </c>
      <c r="P1226" s="72">
        <f t="shared" si="467"/>
        <v>0.875</v>
      </c>
      <c r="Q1226" s="72">
        <f t="shared" si="468"/>
        <v>0.125</v>
      </c>
      <c r="R1226" s="72">
        <f t="shared" si="469"/>
        <v>0</v>
      </c>
      <c r="S1226" s="72">
        <f t="shared" si="470"/>
        <v>0.99410477538936803</v>
      </c>
      <c r="T1226" s="72">
        <f t="shared" si="471"/>
        <v>0.99410477538936803</v>
      </c>
      <c r="U1226" s="72">
        <f t="shared" si="472"/>
        <v>1</v>
      </c>
    </row>
    <row r="1227" spans="1:21" x14ac:dyDescent="0.25">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0.84434354485776797</v>
      </c>
      <c r="P1227" s="72">
        <f t="shared" si="467"/>
        <v>0.79166666666666663</v>
      </c>
      <c r="Q1227" s="72">
        <f t="shared" si="468"/>
        <v>0.20833333333333337</v>
      </c>
      <c r="R1227" s="72">
        <f t="shared" si="469"/>
        <v>0</v>
      </c>
      <c r="S1227" s="72">
        <f t="shared" si="470"/>
        <v>0.99334534689149179</v>
      </c>
      <c r="T1227" s="72">
        <f t="shared" si="471"/>
        <v>0.99334534689149179</v>
      </c>
      <c r="U1227" s="72">
        <f t="shared" si="472"/>
        <v>1</v>
      </c>
    </row>
    <row r="1228" spans="1:21" x14ac:dyDescent="0.25">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0.84367614879649888</v>
      </c>
      <c r="P1228" s="72">
        <f t="shared" si="467"/>
        <v>0.70833333333333337</v>
      </c>
      <c r="Q1228" s="72">
        <f t="shared" si="468"/>
        <v>0.29166666666666663</v>
      </c>
      <c r="R1228" s="72">
        <f t="shared" si="469"/>
        <v>0</v>
      </c>
      <c r="S1228" s="72">
        <f t="shared" si="470"/>
        <v>0.99256017505470462</v>
      </c>
      <c r="T1228" s="72">
        <f t="shared" si="471"/>
        <v>0.99256017505470462</v>
      </c>
      <c r="U1228" s="72">
        <f t="shared" si="472"/>
        <v>1</v>
      </c>
    </row>
    <row r="1229" spans="1:21" x14ac:dyDescent="0.25">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0.84300875273522968</v>
      </c>
      <c r="P1229" s="72">
        <f t="shared" si="467"/>
        <v>0.625</v>
      </c>
      <c r="Q1229" s="72">
        <f t="shared" si="468"/>
        <v>0.375</v>
      </c>
      <c r="R1229" s="72">
        <f t="shared" si="469"/>
        <v>0</v>
      </c>
      <c r="S1229" s="72">
        <f t="shared" si="470"/>
        <v>0.99177500321791734</v>
      </c>
      <c r="T1229" s="72">
        <f t="shared" si="471"/>
        <v>0.99177500321791734</v>
      </c>
      <c r="U1229" s="72">
        <f t="shared" si="472"/>
        <v>1</v>
      </c>
    </row>
    <row r="1230" spans="1:21" x14ac:dyDescent="0.25">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0.8423413566739606</v>
      </c>
      <c r="P1230" s="72">
        <f t="shared" si="467"/>
        <v>0.54166666666666663</v>
      </c>
      <c r="Q1230" s="72">
        <f t="shared" si="468"/>
        <v>0.45833333333333337</v>
      </c>
      <c r="R1230" s="72">
        <f t="shared" si="469"/>
        <v>0</v>
      </c>
      <c r="S1230" s="72">
        <f t="shared" si="470"/>
        <v>0.99098983138113017</v>
      </c>
      <c r="T1230" s="72">
        <f t="shared" si="471"/>
        <v>0.99098983138113017</v>
      </c>
      <c r="U1230" s="72">
        <f t="shared" si="472"/>
        <v>1</v>
      </c>
    </row>
    <row r="1231" spans="1:21" x14ac:dyDescent="0.25">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0.8416739606126914</v>
      </c>
      <c r="P1231" s="72">
        <f t="shared" si="467"/>
        <v>0.45833333333333331</v>
      </c>
      <c r="Q1231" s="72">
        <f t="shared" si="468"/>
        <v>0.54166666666666674</v>
      </c>
      <c r="R1231" s="72">
        <f t="shared" si="469"/>
        <v>0</v>
      </c>
      <c r="S1231" s="72">
        <f t="shared" si="470"/>
        <v>0.99020465954434289</v>
      </c>
      <c r="T1231" s="72">
        <f t="shared" si="471"/>
        <v>0.99020465954434289</v>
      </c>
      <c r="U1231" s="72">
        <f t="shared" si="472"/>
        <v>1</v>
      </c>
    </row>
    <row r="1232" spans="1:21" x14ac:dyDescent="0.25">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0.84099562363238511</v>
      </c>
      <c r="P1232" s="72">
        <f t="shared" si="467"/>
        <v>0.375</v>
      </c>
      <c r="Q1232" s="72">
        <f t="shared" si="468"/>
        <v>0.625</v>
      </c>
      <c r="R1232" s="72">
        <f t="shared" si="469"/>
        <v>0</v>
      </c>
      <c r="S1232" s="72">
        <f t="shared" si="470"/>
        <v>0.98940661603810021</v>
      </c>
      <c r="T1232" s="72">
        <f t="shared" si="471"/>
        <v>0.98940661603810021</v>
      </c>
      <c r="U1232" s="72">
        <f t="shared" si="472"/>
        <v>1</v>
      </c>
    </row>
    <row r="1233" spans="1:21" x14ac:dyDescent="0.25">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0.84032822757111592</v>
      </c>
      <c r="P1233" s="72">
        <f t="shared" si="467"/>
        <v>0.29166666666666669</v>
      </c>
      <c r="Q1233" s="72">
        <f t="shared" si="468"/>
        <v>0.70833333333333326</v>
      </c>
      <c r="R1233" s="72">
        <f t="shared" si="469"/>
        <v>0</v>
      </c>
      <c r="S1233" s="72">
        <f t="shared" si="470"/>
        <v>0.98862144420131282</v>
      </c>
      <c r="T1233" s="72">
        <f t="shared" si="471"/>
        <v>0.98862144420131282</v>
      </c>
      <c r="U1233" s="72">
        <f t="shared" si="472"/>
        <v>1</v>
      </c>
    </row>
    <row r="1234" spans="1:21" x14ac:dyDescent="0.25">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0.83966083150984683</v>
      </c>
      <c r="P1234" s="72">
        <f t="shared" si="467"/>
        <v>0.20833333333333334</v>
      </c>
      <c r="Q1234" s="72">
        <f t="shared" si="468"/>
        <v>0.79166666666666663</v>
      </c>
      <c r="R1234" s="72">
        <f t="shared" si="469"/>
        <v>0</v>
      </c>
      <c r="S1234" s="72">
        <f t="shared" si="470"/>
        <v>1.0174713605354615</v>
      </c>
      <c r="T1234" s="72">
        <f t="shared" si="471"/>
        <v>1.0174713605354615</v>
      </c>
      <c r="U1234" s="72">
        <f t="shared" si="472"/>
        <v>1.03</v>
      </c>
    </row>
    <row r="1235" spans="1:21" x14ac:dyDescent="0.25">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0.83899343544857763</v>
      </c>
      <c r="P1235" s="72">
        <f t="shared" si="467"/>
        <v>0.125</v>
      </c>
      <c r="Q1235" s="72">
        <f t="shared" si="468"/>
        <v>0.875</v>
      </c>
      <c r="R1235" s="72">
        <f t="shared" si="469"/>
        <v>0</v>
      </c>
      <c r="S1235" s="72">
        <f t="shared" si="470"/>
        <v>1.0166626335435704</v>
      </c>
      <c r="T1235" s="72">
        <f t="shared" si="471"/>
        <v>1.0166626335435704</v>
      </c>
      <c r="U1235" s="72">
        <f t="shared" si="472"/>
        <v>1.03</v>
      </c>
    </row>
    <row r="1236" spans="1:21" x14ac:dyDescent="0.25">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0.83832603938730854</v>
      </c>
      <c r="P1236" s="72">
        <f t="shared" si="467"/>
        <v>4.1666666666666664E-2</v>
      </c>
      <c r="Q1236" s="72">
        <f t="shared" si="468"/>
        <v>0.95833333333333337</v>
      </c>
      <c r="R1236" s="72">
        <f t="shared" si="469"/>
        <v>0</v>
      </c>
      <c r="S1236" s="72">
        <f t="shared" si="470"/>
        <v>1.0158539065516798</v>
      </c>
      <c r="T1236" s="72">
        <f t="shared" si="471"/>
        <v>1.0158539065516798</v>
      </c>
      <c r="U1236" s="72">
        <f t="shared" si="472"/>
        <v>1.03</v>
      </c>
    </row>
    <row r="1237" spans="1:21" x14ac:dyDescent="0.25">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0.83764770240700215</v>
      </c>
      <c r="P1237" s="72">
        <f t="shared" si="467"/>
        <v>0</v>
      </c>
      <c r="Q1237" s="72">
        <f t="shared" si="468"/>
        <v>0.95833333333333337</v>
      </c>
      <c r="R1237" s="72">
        <f t="shared" si="469"/>
        <v>4.166666666666663E-2</v>
      </c>
      <c r="S1237" s="72">
        <f t="shared" si="470"/>
        <v>1.0150319217402497</v>
      </c>
      <c r="T1237" s="72">
        <f t="shared" si="471"/>
        <v>0.99486420388724417</v>
      </c>
      <c r="U1237" s="72">
        <f t="shared" si="472"/>
        <v>1.03</v>
      </c>
    </row>
    <row r="1238" spans="1:21" x14ac:dyDescent="0.25">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0.83700218818380745</v>
      </c>
      <c r="P1238" s="72">
        <f t="shared" si="467"/>
        <v>0</v>
      </c>
      <c r="Q1238" s="72">
        <f t="shared" si="468"/>
        <v>0.875</v>
      </c>
      <c r="R1238" s="72">
        <f t="shared" si="469"/>
        <v>0.125</v>
      </c>
      <c r="S1238" s="72">
        <f t="shared" si="470"/>
        <v>1.0548196988029348</v>
      </c>
      <c r="T1238" s="72">
        <f t="shared" si="471"/>
        <v>0.99410477538936803</v>
      </c>
      <c r="U1238" s="72">
        <f t="shared" si="472"/>
        <v>1.0712000000000002</v>
      </c>
    </row>
    <row r="1239" spans="1:21" x14ac:dyDescent="0.25">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0.83635667396061264</v>
      </c>
      <c r="P1239" s="72">
        <f t="shared" si="467"/>
        <v>0</v>
      </c>
      <c r="Q1239" s="72">
        <f t="shared" si="468"/>
        <v>0.79166666666666663</v>
      </c>
      <c r="R1239" s="72">
        <f t="shared" si="469"/>
        <v>0.20833333333333337</v>
      </c>
      <c r="S1239" s="72">
        <f t="shared" si="470"/>
        <v>1.0540061989960099</v>
      </c>
      <c r="T1239" s="72">
        <f t="shared" si="471"/>
        <v>0.99334534689149179</v>
      </c>
      <c r="U1239" s="72">
        <f t="shared" si="472"/>
        <v>1.0712000000000002</v>
      </c>
    </row>
    <row r="1240" spans="1:21" x14ac:dyDescent="0.25">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0.83568927789934355</v>
      </c>
      <c r="P1240" s="72">
        <f t="shared" si="467"/>
        <v>0</v>
      </c>
      <c r="Q1240" s="72">
        <f t="shared" si="468"/>
        <v>0.70833333333333337</v>
      </c>
      <c r="R1240" s="72">
        <f t="shared" si="469"/>
        <v>0.29166666666666663</v>
      </c>
      <c r="S1240" s="72">
        <f t="shared" si="470"/>
        <v>1.0531651229244436</v>
      </c>
      <c r="T1240" s="72">
        <f t="shared" si="471"/>
        <v>0.99256017505470462</v>
      </c>
      <c r="U1240" s="72">
        <f t="shared" si="472"/>
        <v>1.0712000000000002</v>
      </c>
    </row>
    <row r="1241" spans="1:21" x14ac:dyDescent="0.25">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0.83502188183807435</v>
      </c>
      <c r="P1241" s="72">
        <f t="shared" si="467"/>
        <v>0</v>
      </c>
      <c r="Q1241" s="72">
        <f t="shared" si="468"/>
        <v>0.625</v>
      </c>
      <c r="R1241" s="72">
        <f t="shared" si="469"/>
        <v>0.375</v>
      </c>
      <c r="S1241" s="72">
        <f t="shared" si="470"/>
        <v>1.0523240468528769</v>
      </c>
      <c r="T1241" s="72">
        <f t="shared" si="471"/>
        <v>0.99177500321791734</v>
      </c>
      <c r="U1241" s="72">
        <f t="shared" si="472"/>
        <v>1.0712000000000002</v>
      </c>
    </row>
    <row r="1242" spans="1:21" x14ac:dyDescent="0.25">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0.83435448577680527</v>
      </c>
      <c r="P1242" s="72">
        <f t="shared" si="467"/>
        <v>0</v>
      </c>
      <c r="Q1242" s="72">
        <f t="shared" si="468"/>
        <v>0.54166666666666663</v>
      </c>
      <c r="R1242" s="72">
        <f t="shared" si="469"/>
        <v>0.45833333333333337</v>
      </c>
      <c r="S1242" s="72">
        <f t="shared" si="470"/>
        <v>1.0514829707813105</v>
      </c>
      <c r="T1242" s="72">
        <f t="shared" si="471"/>
        <v>0.99098983138113017</v>
      </c>
      <c r="U1242" s="72">
        <f t="shared" si="472"/>
        <v>1.0712000000000002</v>
      </c>
    </row>
    <row r="1243" spans="1:21" x14ac:dyDescent="0.25">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0.83368708971553607</v>
      </c>
      <c r="P1243" s="72">
        <f t="shared" si="467"/>
        <v>0</v>
      </c>
      <c r="Q1243" s="72">
        <f t="shared" si="468"/>
        <v>0.45833333333333331</v>
      </c>
      <c r="R1243" s="72">
        <f t="shared" si="469"/>
        <v>0.54166666666666674</v>
      </c>
      <c r="S1243" s="72">
        <f t="shared" si="470"/>
        <v>1.050641894709744</v>
      </c>
      <c r="T1243" s="72">
        <f t="shared" si="471"/>
        <v>0.99020465954434289</v>
      </c>
      <c r="U1243" s="72">
        <f t="shared" si="472"/>
        <v>1.0712000000000002</v>
      </c>
    </row>
    <row r="1244" spans="1:21" x14ac:dyDescent="0.25">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0.83300875273522967</v>
      </c>
      <c r="P1244" s="72">
        <f t="shared" si="467"/>
        <v>0</v>
      </c>
      <c r="Q1244" s="72">
        <f t="shared" si="468"/>
        <v>0.375</v>
      </c>
      <c r="R1244" s="72">
        <f t="shared" si="469"/>
        <v>0.625</v>
      </c>
      <c r="S1244" s="72">
        <f t="shared" si="470"/>
        <v>1.0497870305058568</v>
      </c>
      <c r="T1244" s="72">
        <f t="shared" si="471"/>
        <v>0.98940661603810021</v>
      </c>
      <c r="U1244" s="72">
        <f t="shared" si="472"/>
        <v>1.0712000000000002</v>
      </c>
    </row>
    <row r="1245" spans="1:21" x14ac:dyDescent="0.25">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0.83234135667396059</v>
      </c>
      <c r="P1245" s="72">
        <f t="shared" si="467"/>
        <v>0</v>
      </c>
      <c r="Q1245" s="72">
        <f t="shared" si="468"/>
        <v>0.29166666666666669</v>
      </c>
      <c r="R1245" s="72">
        <f t="shared" si="469"/>
        <v>0.70833333333333326</v>
      </c>
      <c r="S1245" s="72">
        <f t="shared" si="470"/>
        <v>1.0489459544342903</v>
      </c>
      <c r="T1245" s="72">
        <f t="shared" si="471"/>
        <v>0.98862144420131282</v>
      </c>
      <c r="U1245" s="72">
        <f t="shared" si="472"/>
        <v>1.0712000000000002</v>
      </c>
    </row>
    <row r="1246" spans="1:21" x14ac:dyDescent="0.25">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0.83167396061269139</v>
      </c>
      <c r="P1246" s="72">
        <f t="shared" si="467"/>
        <v>0</v>
      </c>
      <c r="Q1246" s="72">
        <f t="shared" si="468"/>
        <v>0.20833333333333334</v>
      </c>
      <c r="R1246" s="72">
        <f t="shared" si="469"/>
        <v>0.79166666666666663</v>
      </c>
      <c r="S1246" s="72">
        <f t="shared" si="470"/>
        <v>1.0481048783627238</v>
      </c>
      <c r="T1246" s="72">
        <f t="shared" si="471"/>
        <v>1.0174713605354615</v>
      </c>
      <c r="U1246" s="72">
        <f t="shared" si="472"/>
        <v>1.0712000000000002</v>
      </c>
    </row>
    <row r="1247" spans="1:21" x14ac:dyDescent="0.25">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0.8310065645514223</v>
      </c>
      <c r="P1247" s="72">
        <f t="shared" si="467"/>
        <v>0</v>
      </c>
      <c r="Q1247" s="72">
        <f t="shared" si="468"/>
        <v>0.125</v>
      </c>
      <c r="R1247" s="72">
        <f t="shared" si="469"/>
        <v>0.875</v>
      </c>
      <c r="S1247" s="72">
        <f t="shared" si="470"/>
        <v>1.0472638022911573</v>
      </c>
      <c r="T1247" s="72">
        <f t="shared" si="471"/>
        <v>1.0166626335435704</v>
      </c>
      <c r="U1247" s="72">
        <f t="shared" si="472"/>
        <v>1.0712000000000002</v>
      </c>
    </row>
    <row r="1248" spans="1:21" x14ac:dyDescent="0.25">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0.8303391684901531</v>
      </c>
      <c r="P1248" s="72">
        <f t="shared" si="467"/>
        <v>0</v>
      </c>
      <c r="Q1248" s="72">
        <f t="shared" si="468"/>
        <v>4.1666666666666664E-2</v>
      </c>
      <c r="R1248" s="72">
        <f t="shared" si="469"/>
        <v>0.95833333333333337</v>
      </c>
      <c r="S1248" s="72">
        <f t="shared" si="470"/>
        <v>1.0464227262195909</v>
      </c>
      <c r="T1248" s="72">
        <f t="shared" si="471"/>
        <v>1.0158539065516798</v>
      </c>
      <c r="U1248" s="72">
        <f t="shared" si="472"/>
        <v>1.0712000000000002</v>
      </c>
    </row>
    <row r="1249" spans="1:21" x14ac:dyDescent="0.25">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0.83</v>
      </c>
      <c r="P1249" s="72">
        <f t="shared" si="467"/>
        <v>0</v>
      </c>
      <c r="Q1249" s="72">
        <f t="shared" si="468"/>
        <v>0</v>
      </c>
      <c r="R1249" s="72">
        <f t="shared" si="469"/>
        <v>0.95833333333333337</v>
      </c>
      <c r="S1249" s="72">
        <f t="shared" si="470"/>
        <v>1.0459952941176471</v>
      </c>
      <c r="T1249" s="72">
        <f t="shared" si="471"/>
        <v>0.99486420388724417</v>
      </c>
      <c r="U1249" s="72">
        <f t="shared" si="472"/>
        <v>1.0712000000000002</v>
      </c>
    </row>
    <row r="1250" spans="1:21" x14ac:dyDescent="0.25">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0.83</v>
      </c>
      <c r="P1250" s="72">
        <f t="shared" si="467"/>
        <v>0</v>
      </c>
      <c r="Q1250" s="72">
        <f t="shared" si="468"/>
        <v>0</v>
      </c>
      <c r="R1250" s="72">
        <f t="shared" si="469"/>
        <v>0.875</v>
      </c>
      <c r="S1250" s="72">
        <f t="shared" si="470"/>
        <v>1.0459952941176471</v>
      </c>
      <c r="T1250" s="72">
        <f t="shared" si="471"/>
        <v>0.99410477538936803</v>
      </c>
      <c r="U1250" s="72">
        <f t="shared" si="472"/>
        <v>1.0712000000000002</v>
      </c>
    </row>
    <row r="1251" spans="1:21" x14ac:dyDescent="0.25">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0.83</v>
      </c>
      <c r="P1251" s="72">
        <f t="shared" si="467"/>
        <v>0</v>
      </c>
      <c r="Q1251" s="72">
        <f t="shared" si="468"/>
        <v>0</v>
      </c>
      <c r="R1251" s="72">
        <f t="shared" si="469"/>
        <v>0.79166666666666663</v>
      </c>
      <c r="S1251" s="72">
        <f t="shared" si="470"/>
        <v>1.0459952941176471</v>
      </c>
      <c r="T1251" s="72">
        <f t="shared" si="471"/>
        <v>0.99334534689149179</v>
      </c>
      <c r="U1251" s="72">
        <f t="shared" si="472"/>
        <v>1.0712000000000002</v>
      </c>
    </row>
    <row r="1252" spans="1:21" x14ac:dyDescent="0.25">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0.83</v>
      </c>
      <c r="P1252" s="72">
        <f t="shared" si="467"/>
        <v>0</v>
      </c>
      <c r="Q1252" s="72">
        <f t="shared" si="468"/>
        <v>0</v>
      </c>
      <c r="R1252" s="72">
        <f t="shared" si="469"/>
        <v>0.70833333333333337</v>
      </c>
      <c r="S1252" s="72">
        <f t="shared" si="470"/>
        <v>1.0459952941176471</v>
      </c>
      <c r="T1252" s="72">
        <f t="shared" si="471"/>
        <v>0.99256017505470462</v>
      </c>
      <c r="U1252" s="72">
        <f t="shared" si="472"/>
        <v>1.0712000000000002</v>
      </c>
    </row>
    <row r="1253" spans="1:21" x14ac:dyDescent="0.25">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0.83</v>
      </c>
      <c r="P1253" s="72">
        <f t="shared" si="467"/>
        <v>0</v>
      </c>
      <c r="Q1253" s="72">
        <f t="shared" si="468"/>
        <v>0</v>
      </c>
      <c r="R1253" s="72">
        <f t="shared" si="469"/>
        <v>0.625</v>
      </c>
      <c r="S1253" s="72">
        <f t="shared" si="470"/>
        <v>1.0459952941176471</v>
      </c>
      <c r="T1253" s="72">
        <f t="shared" si="471"/>
        <v>0.99177500321791734</v>
      </c>
      <c r="U1253" s="72">
        <f t="shared" si="472"/>
        <v>1.0712000000000002</v>
      </c>
    </row>
    <row r="1254" spans="1:21" x14ac:dyDescent="0.25">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0.83</v>
      </c>
      <c r="P1254" s="72">
        <f t="shared" si="467"/>
        <v>0</v>
      </c>
      <c r="Q1254" s="72">
        <f t="shared" si="468"/>
        <v>0</v>
      </c>
      <c r="R1254" s="72">
        <f t="shared" si="469"/>
        <v>0.54166666666666663</v>
      </c>
      <c r="S1254" s="72">
        <f t="shared" si="470"/>
        <v>1.0459952941176471</v>
      </c>
      <c r="T1254" s="72">
        <f t="shared" si="471"/>
        <v>0.99098983138113017</v>
      </c>
      <c r="U1254" s="72">
        <f t="shared" si="472"/>
        <v>1.0712000000000002</v>
      </c>
    </row>
    <row r="1255" spans="1:21" x14ac:dyDescent="0.25">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0.83</v>
      </c>
      <c r="P1255" s="72">
        <f t="shared" si="467"/>
        <v>0</v>
      </c>
      <c r="Q1255" s="72">
        <f t="shared" si="468"/>
        <v>0</v>
      </c>
      <c r="R1255" s="72">
        <f t="shared" si="469"/>
        <v>0.45833333333333331</v>
      </c>
      <c r="S1255" s="72">
        <f t="shared" si="470"/>
        <v>1.0459952941176471</v>
      </c>
      <c r="T1255" s="72">
        <f t="shared" si="471"/>
        <v>0.99020465954434289</v>
      </c>
      <c r="U1255" s="72">
        <f t="shared" si="472"/>
        <v>1.0712000000000002</v>
      </c>
    </row>
    <row r="1256" spans="1:21" x14ac:dyDescent="0.25">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0.83</v>
      </c>
      <c r="P1256" s="72">
        <f t="shared" si="467"/>
        <v>0</v>
      </c>
      <c r="Q1256" s="72">
        <f t="shared" si="468"/>
        <v>0</v>
      </c>
      <c r="R1256" s="72">
        <f t="shared" si="469"/>
        <v>0.375</v>
      </c>
      <c r="S1256" s="72">
        <f t="shared" si="470"/>
        <v>1.0459952941176471</v>
      </c>
      <c r="T1256" s="72">
        <f t="shared" si="471"/>
        <v>0.98940661603810021</v>
      </c>
      <c r="U1256" s="72">
        <f t="shared" si="472"/>
        <v>1.0712000000000002</v>
      </c>
    </row>
    <row r="1257" spans="1:21" x14ac:dyDescent="0.25">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0.83</v>
      </c>
      <c r="P1257" s="72">
        <f t="shared" si="467"/>
        <v>0</v>
      </c>
      <c r="Q1257" s="72">
        <f t="shared" si="468"/>
        <v>0</v>
      </c>
      <c r="R1257" s="72">
        <f t="shared" si="469"/>
        <v>0.29166666666666669</v>
      </c>
      <c r="S1257" s="72">
        <f t="shared" si="470"/>
        <v>1.0459952941176471</v>
      </c>
      <c r="T1257" s="72">
        <f t="shared" si="471"/>
        <v>0.98862144420131282</v>
      </c>
      <c r="U1257" s="72">
        <f t="shared" si="472"/>
        <v>1.0712000000000002</v>
      </c>
    </row>
    <row r="1258" spans="1:21" x14ac:dyDescent="0.25">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0.83</v>
      </c>
      <c r="P1258" s="72">
        <f t="shared" si="467"/>
        <v>0</v>
      </c>
      <c r="Q1258" s="72">
        <f t="shared" si="468"/>
        <v>0</v>
      </c>
      <c r="R1258" s="72">
        <f t="shared" si="469"/>
        <v>0.20833333333333334</v>
      </c>
      <c r="S1258" s="72">
        <f t="shared" si="470"/>
        <v>1.0459952941176471</v>
      </c>
      <c r="T1258" s="72">
        <f t="shared" si="471"/>
        <v>1.0174713605354615</v>
      </c>
      <c r="U1258" s="72">
        <f t="shared" si="472"/>
        <v>1.0712000000000002</v>
      </c>
    </row>
    <row r="1259" spans="1:21" x14ac:dyDescent="0.25">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0.83</v>
      </c>
      <c r="P1259" s="72">
        <f t="shared" si="467"/>
        <v>0</v>
      </c>
      <c r="Q1259" s="72">
        <f t="shared" si="468"/>
        <v>0</v>
      </c>
      <c r="R1259" s="72">
        <f t="shared" si="469"/>
        <v>0.125</v>
      </c>
      <c r="S1259" s="72">
        <f t="shared" si="470"/>
        <v>1.0459952941176471</v>
      </c>
      <c r="T1259" s="72">
        <f t="shared" si="471"/>
        <v>1.0166626335435704</v>
      </c>
      <c r="U1259" s="72">
        <f t="shared" si="472"/>
        <v>1.0712000000000002</v>
      </c>
    </row>
    <row r="1260" spans="1:21" x14ac:dyDescent="0.25">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0.83</v>
      </c>
      <c r="P1260" s="72">
        <f t="shared" si="467"/>
        <v>0</v>
      </c>
      <c r="Q1260" s="72">
        <f t="shared" si="468"/>
        <v>0</v>
      </c>
      <c r="R1260" s="72">
        <f t="shared" si="469"/>
        <v>4.1666666666666664E-2</v>
      </c>
      <c r="S1260" s="72">
        <f t="shared" si="470"/>
        <v>1.0459952941176471</v>
      </c>
      <c r="T1260" s="72">
        <f t="shared" si="471"/>
        <v>1.0158539065516798</v>
      </c>
      <c r="U1260" s="72">
        <f t="shared" si="472"/>
        <v>1.0712000000000002</v>
      </c>
    </row>
    <row r="1261" spans="1:21" x14ac:dyDescent="0.25">
      <c r="A1261" s="77" t="s">
        <v>1209</v>
      </c>
      <c r="B1261" s="50">
        <f>EXP(SUMPRODUCT((rl_key=$A$1210)*(rl_cons="Y")*rl_ln1p))</f>
        <v>1.03</v>
      </c>
      <c r="C1261" s="50">
        <f>SUMPRODUCT($H$1213:$H$1260,$P$1213:$P$1260,$U$1213:$U$1260)/SUMPRODUCT($H$1213:$H$1260,$P$1213:$P$1260)</f>
        <v>1.0009375</v>
      </c>
      <c r="D1261" s="50">
        <f>SUMPRODUCT($H$1213:$H$1260,$Q$1213:$Q$1260,$U$1213:$U$1260)/SUMPRODUCT($H$1213:$H$1260,$Q$1213:$Q$1260)</f>
        <v>1.0388722222222222</v>
      </c>
      <c r="E1261" s="50">
        <f>SUMPRODUCT($H$1213:$H$1260,$R$1213:$R$1260,$U$1213:$U$1260)/SUMPRODUCT($H$1213:$H$1260,$R$1213:$R$1260)</f>
        <v>1.0710569444444447</v>
      </c>
      <c r="F1261" s="169">
        <f>SUMPRODUCT($H$1213:$H$1260,$Q$1213:$Q$1260,$O$1213:$O$1260)/SUMPRODUCT($H$1213:$H$1260,$Q$1213:$Q$1260)</f>
        <v>0.8380041940189642</v>
      </c>
      <c r="G1261" s="169">
        <f>SUMPRODUCT($H$1213:$H$1260,$R$1213:$R$1260,$O$1213:$O$1260)/SUMPRODUCT($H$1213:$H$1260,$R$1213:$R$1260)</f>
        <v>0.83134364362995383</v>
      </c>
    </row>
    <row r="1264" spans="1:21" x14ac:dyDescent="0.25">
      <c r="A1264" s="77" t="str">
        <f>INDEX(lr_key,23)</f>
        <v>BU-B|CA</v>
      </c>
      <c r="B1264" s="77" t="str">
        <f>INDEX(lr_state,23)</f>
        <v>CA</v>
      </c>
      <c r="C1264" s="52">
        <f>nr_TermMonths</f>
        <v>12</v>
      </c>
      <c r="D1264" s="52">
        <f>IF(COUNTIF(se_state,$B1264)=0,0,MATCH($B1264,se_state,0))</f>
        <v>0</v>
      </c>
      <c r="E1264" s="54">
        <f>IF($D1264=0,0,INDEX(se_sum,$D1264))</f>
        <v>0</v>
      </c>
      <c r="F1264" s="169">
        <f>IF(N(INDEX(lr_mind,23))=0,1,INDEX(lr_mind,23))</f>
        <v>0.85</v>
      </c>
      <c r="G1264" s="169">
        <f>IF(N(INDEX(lr_m0,23))=0,1,INDEX(lr_m0,23))</f>
        <v>0.84</v>
      </c>
      <c r="H1264" s="51">
        <f>IF(N(INDEX(lr_m0asof,23))=0,DATE(nr_PlanYear-1,10,1),INDEX(lr_m0asof,23))</f>
        <v>46295</v>
      </c>
      <c r="I1264" s="169">
        <f>IF(N(INDEX(lr_m1,23))=0,1,INDEX(lr_m1,23))</f>
        <v>0.84499999999999997</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25">
      <c r="A1265" s="77">
        <f>EDATE($H$1264,-12)+1</f>
        <v>45931</v>
      </c>
      <c r="B1265" s="77">
        <f>$H$1264+1</f>
        <v>46296</v>
      </c>
      <c r="C1265" s="77">
        <f>DATE(nr_PlanYear,12,31)+1</f>
        <v>46753</v>
      </c>
      <c r="D1265" s="77">
        <f>DATE(nr_PlanYear+1,12,31)+1</f>
        <v>47119</v>
      </c>
      <c r="E1265" s="77">
        <f>IF(N($J$1264)=0,$F$1265-($G$1265-$F$1265)/($C$1265-$B$1265)*($B$1265-$A$1265),$J$1264)</f>
        <v>0.8360065645514223</v>
      </c>
      <c r="F1265" s="77">
        <f>$G$1264</f>
        <v>0.84</v>
      </c>
      <c r="G1265" s="77">
        <f>$I$1264</f>
        <v>0.84499999999999997</v>
      </c>
      <c r="H1265" s="77">
        <f>IF(N($K$1264)=0,$I$1264,$K$1264)</f>
        <v>0.84499999999999997</v>
      </c>
      <c r="I1265" s="77">
        <f>($F$1265-$E$1265)/($B$1265-$A$1265)</f>
        <v>1.0940919037199081E-5</v>
      </c>
      <c r="J1265" s="77">
        <f>($G$1265-$F$1265)/($C$1265-$B$1265)</f>
        <v>1.0940919037199135E-5</v>
      </c>
      <c r="K1265" s="77">
        <f>($H$1265-$G$1265)/($D$1265-$C$1265)</f>
        <v>0</v>
      </c>
    </row>
    <row r="1266" spans="1:21" ht="24" x14ac:dyDescent="0.25">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25">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0.83318927789934349</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0.98022267988158063</v>
      </c>
      <c r="T1267" s="72">
        <f t="shared" ref="T1267:T1314" si="491">IF($G1267&lt;nr_MStartP,$S1267,$T1255*(1+IF($G1267&lt;nr_MStartP1,$M$1264,$N$1264)))</f>
        <v>0.98022267988158063</v>
      </c>
      <c r="U1267" s="72">
        <f t="shared" ref="U1267:U1314" si="492">IF($L$1264,$T1267,$N1267)</f>
        <v>1</v>
      </c>
    </row>
    <row r="1268" spans="1:21" x14ac:dyDescent="0.25">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0.83351203501094095</v>
      </c>
      <c r="P1268" s="72">
        <f t="shared" si="487"/>
        <v>0.125</v>
      </c>
      <c r="Q1268" s="72">
        <f t="shared" si="488"/>
        <v>0</v>
      </c>
      <c r="R1268" s="72">
        <f t="shared" si="489"/>
        <v>0</v>
      </c>
      <c r="S1268" s="72">
        <f t="shared" si="490"/>
        <v>0.98060239413051875</v>
      </c>
      <c r="T1268" s="72">
        <f t="shared" si="491"/>
        <v>0.98060239413051875</v>
      </c>
      <c r="U1268" s="72">
        <f t="shared" si="492"/>
        <v>1</v>
      </c>
    </row>
    <row r="1269" spans="1:21" x14ac:dyDescent="0.25">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0.8338347921225383</v>
      </c>
      <c r="P1269" s="72">
        <f t="shared" si="487"/>
        <v>0.20833333333333337</v>
      </c>
      <c r="Q1269" s="72">
        <f t="shared" si="488"/>
        <v>0</v>
      </c>
      <c r="R1269" s="72">
        <f t="shared" si="489"/>
        <v>0</v>
      </c>
      <c r="S1269" s="72">
        <f t="shared" si="490"/>
        <v>0.98098210837945687</v>
      </c>
      <c r="T1269" s="72">
        <f t="shared" si="491"/>
        <v>0.98098210837945687</v>
      </c>
      <c r="U1269" s="72">
        <f t="shared" si="492"/>
        <v>1</v>
      </c>
    </row>
    <row r="1270" spans="1:21" x14ac:dyDescent="0.25">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0.83416849015317285</v>
      </c>
      <c r="P1270" s="72">
        <f t="shared" si="487"/>
        <v>0.29166666666666663</v>
      </c>
      <c r="Q1270" s="72">
        <f t="shared" si="488"/>
        <v>0</v>
      </c>
      <c r="R1270" s="72">
        <f t="shared" si="489"/>
        <v>0</v>
      </c>
      <c r="S1270" s="72">
        <f t="shared" si="490"/>
        <v>0.9813746942978504</v>
      </c>
      <c r="T1270" s="72">
        <f t="shared" si="491"/>
        <v>0.9813746942978504</v>
      </c>
      <c r="U1270" s="72">
        <f t="shared" si="492"/>
        <v>1</v>
      </c>
    </row>
    <row r="1271" spans="1:21" x14ac:dyDescent="0.25">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0.83450218818380739</v>
      </c>
      <c r="P1271" s="72">
        <f t="shared" si="487"/>
        <v>0.375</v>
      </c>
      <c r="Q1271" s="72">
        <f t="shared" si="488"/>
        <v>0</v>
      </c>
      <c r="R1271" s="72">
        <f t="shared" si="489"/>
        <v>0</v>
      </c>
      <c r="S1271" s="72">
        <f t="shared" si="490"/>
        <v>0.98176728021624404</v>
      </c>
      <c r="T1271" s="72">
        <f t="shared" si="491"/>
        <v>0.98176728021624404</v>
      </c>
      <c r="U1271" s="72">
        <f t="shared" si="492"/>
        <v>1</v>
      </c>
    </row>
    <row r="1272" spans="1:21" x14ac:dyDescent="0.25">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0.83483588621444205</v>
      </c>
      <c r="P1272" s="72">
        <f t="shared" si="487"/>
        <v>0.45833333333333337</v>
      </c>
      <c r="Q1272" s="72">
        <f t="shared" si="488"/>
        <v>0</v>
      </c>
      <c r="R1272" s="72">
        <f t="shared" si="489"/>
        <v>0</v>
      </c>
      <c r="S1272" s="72">
        <f t="shared" si="490"/>
        <v>0.98215986613463768</v>
      </c>
      <c r="T1272" s="72">
        <f t="shared" si="491"/>
        <v>0.98215986613463768</v>
      </c>
      <c r="U1272" s="72">
        <f t="shared" si="492"/>
        <v>1</v>
      </c>
    </row>
    <row r="1273" spans="1:21" x14ac:dyDescent="0.25">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0.83516958424507659</v>
      </c>
      <c r="P1273" s="72">
        <f t="shared" si="487"/>
        <v>0.54166666666666674</v>
      </c>
      <c r="Q1273" s="72">
        <f t="shared" si="488"/>
        <v>0</v>
      </c>
      <c r="R1273" s="72">
        <f t="shared" si="489"/>
        <v>0</v>
      </c>
      <c r="S1273" s="72">
        <f t="shared" si="490"/>
        <v>0.98255245205303132</v>
      </c>
      <c r="T1273" s="72">
        <f t="shared" si="491"/>
        <v>0.98255245205303132</v>
      </c>
      <c r="U1273" s="72">
        <f t="shared" si="492"/>
        <v>1</v>
      </c>
    </row>
    <row r="1274" spans="1:21" x14ac:dyDescent="0.25">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0.83550875273522973</v>
      </c>
      <c r="P1274" s="72">
        <f t="shared" si="487"/>
        <v>0.625</v>
      </c>
      <c r="Q1274" s="72">
        <f t="shared" si="488"/>
        <v>0</v>
      </c>
      <c r="R1274" s="72">
        <f t="shared" si="489"/>
        <v>0</v>
      </c>
      <c r="S1274" s="72">
        <f t="shared" si="490"/>
        <v>0.98295147380615266</v>
      </c>
      <c r="T1274" s="72">
        <f t="shared" si="491"/>
        <v>0.98295147380615266</v>
      </c>
      <c r="U1274" s="72">
        <f t="shared" si="492"/>
        <v>1</v>
      </c>
    </row>
    <row r="1275" spans="1:21" x14ac:dyDescent="0.25">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0.83584245076586428</v>
      </c>
      <c r="P1275" s="72">
        <f t="shared" si="487"/>
        <v>0.70833333333333326</v>
      </c>
      <c r="Q1275" s="72">
        <f t="shared" si="488"/>
        <v>0</v>
      </c>
      <c r="R1275" s="72">
        <f t="shared" si="489"/>
        <v>0</v>
      </c>
      <c r="S1275" s="72">
        <f t="shared" si="490"/>
        <v>0.98334405972454619</v>
      </c>
      <c r="T1275" s="72">
        <f t="shared" si="491"/>
        <v>0.98334405972454619</v>
      </c>
      <c r="U1275" s="72">
        <f t="shared" si="492"/>
        <v>1</v>
      </c>
    </row>
    <row r="1276" spans="1:21" x14ac:dyDescent="0.25">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0.83617614879649893</v>
      </c>
      <c r="P1276" s="72">
        <f t="shared" si="487"/>
        <v>0.79166666666666663</v>
      </c>
      <c r="Q1276" s="72">
        <f t="shared" si="488"/>
        <v>0</v>
      </c>
      <c r="R1276" s="72">
        <f t="shared" si="489"/>
        <v>0</v>
      </c>
      <c r="S1276" s="72">
        <f t="shared" si="490"/>
        <v>0.98373664564293994</v>
      </c>
      <c r="T1276" s="72">
        <f t="shared" si="491"/>
        <v>0.98373664564293994</v>
      </c>
      <c r="U1276" s="72">
        <f t="shared" si="492"/>
        <v>1</v>
      </c>
    </row>
    <row r="1277" spans="1:21" x14ac:dyDescent="0.25">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0.83650984682713347</v>
      </c>
      <c r="P1277" s="72">
        <f t="shared" si="487"/>
        <v>0.875</v>
      </c>
      <c r="Q1277" s="72">
        <f t="shared" si="488"/>
        <v>0</v>
      </c>
      <c r="R1277" s="72">
        <f t="shared" si="489"/>
        <v>0</v>
      </c>
      <c r="S1277" s="72">
        <f t="shared" si="490"/>
        <v>0.98412923156133347</v>
      </c>
      <c r="T1277" s="72">
        <f t="shared" si="491"/>
        <v>0.98412923156133347</v>
      </c>
      <c r="U1277" s="72">
        <f t="shared" si="492"/>
        <v>1</v>
      </c>
    </row>
    <row r="1278" spans="1:21" x14ac:dyDescent="0.25">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0.83684354485776802</v>
      </c>
      <c r="P1278" s="72">
        <f t="shared" si="487"/>
        <v>0.95833333333333337</v>
      </c>
      <c r="Q1278" s="72">
        <f t="shared" si="488"/>
        <v>0</v>
      </c>
      <c r="R1278" s="72">
        <f t="shared" si="489"/>
        <v>0</v>
      </c>
      <c r="S1278" s="72">
        <f t="shared" si="490"/>
        <v>0.98452181747972711</v>
      </c>
      <c r="T1278" s="72">
        <f t="shared" si="491"/>
        <v>0.98452181747972711</v>
      </c>
      <c r="U1278" s="72">
        <f t="shared" si="492"/>
        <v>1</v>
      </c>
    </row>
    <row r="1279" spans="1:21" x14ac:dyDescent="0.25">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0.83718271334792116</v>
      </c>
      <c r="P1279" s="72">
        <f t="shared" si="487"/>
        <v>0.95833333333333337</v>
      </c>
      <c r="Q1279" s="72">
        <f t="shared" si="488"/>
        <v>4.166666666666663E-2</v>
      </c>
      <c r="R1279" s="72">
        <f t="shared" si="489"/>
        <v>0</v>
      </c>
      <c r="S1279" s="72">
        <f t="shared" si="490"/>
        <v>0.98492083923284846</v>
      </c>
      <c r="T1279" s="72">
        <f t="shared" si="491"/>
        <v>0.98492083923284846</v>
      </c>
      <c r="U1279" s="72">
        <f t="shared" si="492"/>
        <v>1</v>
      </c>
    </row>
    <row r="1280" spans="1:21" x14ac:dyDescent="0.25">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0.83750547045951862</v>
      </c>
      <c r="P1280" s="72">
        <f t="shared" si="487"/>
        <v>0.875</v>
      </c>
      <c r="Q1280" s="72">
        <f t="shared" si="488"/>
        <v>0.125</v>
      </c>
      <c r="R1280" s="72">
        <f t="shared" si="489"/>
        <v>0</v>
      </c>
      <c r="S1280" s="72">
        <f t="shared" si="490"/>
        <v>0.98530055348178669</v>
      </c>
      <c r="T1280" s="72">
        <f t="shared" si="491"/>
        <v>0.98530055348178669</v>
      </c>
      <c r="U1280" s="72">
        <f t="shared" si="492"/>
        <v>1</v>
      </c>
    </row>
    <row r="1281" spans="1:21" x14ac:dyDescent="0.25">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0.83782822757111597</v>
      </c>
      <c r="P1281" s="72">
        <f t="shared" si="487"/>
        <v>0.79166666666666663</v>
      </c>
      <c r="Q1281" s="72">
        <f t="shared" si="488"/>
        <v>0.20833333333333337</v>
      </c>
      <c r="R1281" s="72">
        <f t="shared" si="489"/>
        <v>0</v>
      </c>
      <c r="S1281" s="72">
        <f t="shared" si="490"/>
        <v>0.9856802677307247</v>
      </c>
      <c r="T1281" s="72">
        <f t="shared" si="491"/>
        <v>0.9856802677307247</v>
      </c>
      <c r="U1281" s="72">
        <f t="shared" si="492"/>
        <v>1</v>
      </c>
    </row>
    <row r="1282" spans="1:21" x14ac:dyDescent="0.25">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0.83816192560175051</v>
      </c>
      <c r="P1282" s="72">
        <f t="shared" si="487"/>
        <v>0.70833333333333337</v>
      </c>
      <c r="Q1282" s="72">
        <f t="shared" si="488"/>
        <v>0.29166666666666663</v>
      </c>
      <c r="R1282" s="72">
        <f t="shared" si="489"/>
        <v>0</v>
      </c>
      <c r="S1282" s="72">
        <f t="shared" si="490"/>
        <v>0.98607285364911823</v>
      </c>
      <c r="T1282" s="72">
        <f t="shared" si="491"/>
        <v>0.98607285364911823</v>
      </c>
      <c r="U1282" s="72">
        <f t="shared" si="492"/>
        <v>1</v>
      </c>
    </row>
    <row r="1283" spans="1:21" x14ac:dyDescent="0.25">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0.83849562363238506</v>
      </c>
      <c r="P1283" s="72">
        <f t="shared" si="487"/>
        <v>0.625</v>
      </c>
      <c r="Q1283" s="72">
        <f t="shared" si="488"/>
        <v>0.375</v>
      </c>
      <c r="R1283" s="72">
        <f t="shared" si="489"/>
        <v>0</v>
      </c>
      <c r="S1283" s="72">
        <f t="shared" si="490"/>
        <v>0.98646543956751187</v>
      </c>
      <c r="T1283" s="72">
        <f t="shared" si="491"/>
        <v>0.98646543956751187</v>
      </c>
      <c r="U1283" s="72">
        <f t="shared" si="492"/>
        <v>1</v>
      </c>
    </row>
    <row r="1284" spans="1:21" x14ac:dyDescent="0.25">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0.83882932166301971</v>
      </c>
      <c r="P1284" s="72">
        <f t="shared" si="487"/>
        <v>0.54166666666666663</v>
      </c>
      <c r="Q1284" s="72">
        <f t="shared" si="488"/>
        <v>0.45833333333333337</v>
      </c>
      <c r="R1284" s="72">
        <f t="shared" si="489"/>
        <v>0</v>
      </c>
      <c r="S1284" s="72">
        <f t="shared" si="490"/>
        <v>0.98685802548590562</v>
      </c>
      <c r="T1284" s="72">
        <f t="shared" si="491"/>
        <v>0.98685802548590562</v>
      </c>
      <c r="U1284" s="72">
        <f t="shared" si="492"/>
        <v>1</v>
      </c>
    </row>
    <row r="1285" spans="1:21" x14ac:dyDescent="0.25">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0.83916301969365426</v>
      </c>
      <c r="P1285" s="72">
        <f t="shared" si="487"/>
        <v>0.45833333333333331</v>
      </c>
      <c r="Q1285" s="72">
        <f t="shared" si="488"/>
        <v>0.54166666666666674</v>
      </c>
      <c r="R1285" s="72">
        <f t="shared" si="489"/>
        <v>0</v>
      </c>
      <c r="S1285" s="72">
        <f t="shared" si="490"/>
        <v>0.98725061140429915</v>
      </c>
      <c r="T1285" s="72">
        <f t="shared" si="491"/>
        <v>0.98725061140429915</v>
      </c>
      <c r="U1285" s="72">
        <f t="shared" si="492"/>
        <v>1</v>
      </c>
    </row>
    <row r="1286" spans="1:21" x14ac:dyDescent="0.25">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0.8395021881838074</v>
      </c>
      <c r="P1286" s="72">
        <f t="shared" si="487"/>
        <v>0.375</v>
      </c>
      <c r="Q1286" s="72">
        <f t="shared" si="488"/>
        <v>0.625</v>
      </c>
      <c r="R1286" s="72">
        <f t="shared" si="489"/>
        <v>0</v>
      </c>
      <c r="S1286" s="72">
        <f t="shared" si="490"/>
        <v>0.98764963315742049</v>
      </c>
      <c r="T1286" s="72">
        <f t="shared" si="491"/>
        <v>0.98764963315742049</v>
      </c>
      <c r="U1286" s="72">
        <f t="shared" si="492"/>
        <v>1</v>
      </c>
    </row>
    <row r="1287" spans="1:21" x14ac:dyDescent="0.25">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0.83983588621444194</v>
      </c>
      <c r="P1287" s="72">
        <f t="shared" si="487"/>
        <v>0.29166666666666669</v>
      </c>
      <c r="Q1287" s="72">
        <f t="shared" si="488"/>
        <v>0.70833333333333326</v>
      </c>
      <c r="R1287" s="72">
        <f t="shared" si="489"/>
        <v>0</v>
      </c>
      <c r="S1287" s="72">
        <f t="shared" si="490"/>
        <v>0.98804221907581402</v>
      </c>
      <c r="T1287" s="72">
        <f t="shared" si="491"/>
        <v>0.98804221907581402</v>
      </c>
      <c r="U1287" s="72">
        <f t="shared" si="492"/>
        <v>1</v>
      </c>
    </row>
    <row r="1288" spans="1:21" x14ac:dyDescent="0.25">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0.84016958424507659</v>
      </c>
      <c r="P1288" s="72">
        <f t="shared" si="487"/>
        <v>0.20833333333333334</v>
      </c>
      <c r="Q1288" s="72">
        <f t="shared" si="488"/>
        <v>0.79166666666666663</v>
      </c>
      <c r="R1288" s="72">
        <f t="shared" si="489"/>
        <v>0</v>
      </c>
      <c r="S1288" s="72">
        <f t="shared" si="490"/>
        <v>0.98843480499420777</v>
      </c>
      <c r="T1288" s="72">
        <f t="shared" si="491"/>
        <v>0.98843480499420777</v>
      </c>
      <c r="U1288" s="72">
        <f t="shared" si="492"/>
        <v>1</v>
      </c>
    </row>
    <row r="1289" spans="1:21" x14ac:dyDescent="0.25">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0.84050328227571114</v>
      </c>
      <c r="P1289" s="72">
        <f t="shared" si="487"/>
        <v>0.125</v>
      </c>
      <c r="Q1289" s="72">
        <f t="shared" si="488"/>
        <v>0.875</v>
      </c>
      <c r="R1289" s="72">
        <f t="shared" si="489"/>
        <v>0</v>
      </c>
      <c r="S1289" s="72">
        <f t="shared" si="490"/>
        <v>1.0283804865491055</v>
      </c>
      <c r="T1289" s="72">
        <f t="shared" si="491"/>
        <v>1.0283804865491055</v>
      </c>
      <c r="U1289" s="72">
        <f t="shared" si="492"/>
        <v>1.04</v>
      </c>
    </row>
    <row r="1290" spans="1:21" x14ac:dyDescent="0.25">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0.84083698030634568</v>
      </c>
      <c r="P1290" s="72">
        <f t="shared" si="487"/>
        <v>4.1666666666666664E-2</v>
      </c>
      <c r="Q1290" s="72">
        <f t="shared" si="488"/>
        <v>0.95833333333333337</v>
      </c>
      <c r="R1290" s="72">
        <f t="shared" si="489"/>
        <v>0</v>
      </c>
      <c r="S1290" s="72">
        <f t="shared" si="490"/>
        <v>1.0287887759042347</v>
      </c>
      <c r="T1290" s="72">
        <f t="shared" si="491"/>
        <v>1.0287887759042347</v>
      </c>
      <c r="U1290" s="72">
        <f t="shared" si="492"/>
        <v>1.04</v>
      </c>
    </row>
    <row r="1291" spans="1:21" x14ac:dyDescent="0.25">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0.84117614879649882</v>
      </c>
      <c r="P1291" s="72">
        <f t="shared" si="487"/>
        <v>0</v>
      </c>
      <c r="Q1291" s="72">
        <f t="shared" si="488"/>
        <v>0.95833333333333337</v>
      </c>
      <c r="R1291" s="72">
        <f t="shared" si="489"/>
        <v>4.166666666666663E-2</v>
      </c>
      <c r="S1291" s="72">
        <f t="shared" si="490"/>
        <v>1.0292037585274809</v>
      </c>
      <c r="T1291" s="72">
        <f t="shared" si="491"/>
        <v>0.98492083923284846</v>
      </c>
      <c r="U1291" s="72">
        <f t="shared" si="492"/>
        <v>1.04</v>
      </c>
    </row>
    <row r="1292" spans="1:21" x14ac:dyDescent="0.25">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0.84149890590809628</v>
      </c>
      <c r="P1292" s="72">
        <f t="shared" si="487"/>
        <v>0</v>
      </c>
      <c r="Q1292" s="72">
        <f t="shared" si="488"/>
        <v>0.875</v>
      </c>
      <c r="R1292" s="72">
        <f t="shared" si="489"/>
        <v>0.125</v>
      </c>
      <c r="S1292" s="72">
        <f t="shared" si="490"/>
        <v>1.0295986613463768</v>
      </c>
      <c r="T1292" s="72">
        <f t="shared" si="491"/>
        <v>0.98530055348178669</v>
      </c>
      <c r="U1292" s="72">
        <f t="shared" si="492"/>
        <v>1.04</v>
      </c>
    </row>
    <row r="1293" spans="1:21" x14ac:dyDescent="0.25">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0.84182166301969363</v>
      </c>
      <c r="P1293" s="72">
        <f t="shared" si="487"/>
        <v>0</v>
      </c>
      <c r="Q1293" s="72">
        <f t="shared" si="488"/>
        <v>0.79166666666666663</v>
      </c>
      <c r="R1293" s="72">
        <f t="shared" si="489"/>
        <v>0.20833333333333337</v>
      </c>
      <c r="S1293" s="72">
        <f t="shared" si="490"/>
        <v>1.0299935641652722</v>
      </c>
      <c r="T1293" s="72">
        <f t="shared" si="491"/>
        <v>0.9856802677307247</v>
      </c>
      <c r="U1293" s="72">
        <f t="shared" si="492"/>
        <v>1.04</v>
      </c>
    </row>
    <row r="1294" spans="1:21" x14ac:dyDescent="0.25">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0.84215536105032818</v>
      </c>
      <c r="P1294" s="72">
        <f t="shared" si="487"/>
        <v>0</v>
      </c>
      <c r="Q1294" s="72">
        <f t="shared" si="488"/>
        <v>0.70833333333333337</v>
      </c>
      <c r="R1294" s="72">
        <f t="shared" si="489"/>
        <v>0.29166666666666663</v>
      </c>
      <c r="S1294" s="72">
        <f t="shared" si="490"/>
        <v>1.0304018535204016</v>
      </c>
      <c r="T1294" s="72">
        <f t="shared" si="491"/>
        <v>0.98607285364911823</v>
      </c>
      <c r="U1294" s="72">
        <f t="shared" si="492"/>
        <v>1.04</v>
      </c>
    </row>
    <row r="1295" spans="1:21" x14ac:dyDescent="0.25">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0.84248905908096272</v>
      </c>
      <c r="P1295" s="72">
        <f t="shared" si="487"/>
        <v>0</v>
      </c>
      <c r="Q1295" s="72">
        <f t="shared" si="488"/>
        <v>0.625</v>
      </c>
      <c r="R1295" s="72">
        <f t="shared" si="489"/>
        <v>0.375</v>
      </c>
      <c r="S1295" s="72">
        <f t="shared" si="490"/>
        <v>1.030810142875531</v>
      </c>
      <c r="T1295" s="72">
        <f t="shared" si="491"/>
        <v>0.98646543956751187</v>
      </c>
      <c r="U1295" s="72">
        <f t="shared" si="492"/>
        <v>1.04</v>
      </c>
    </row>
    <row r="1296" spans="1:21" x14ac:dyDescent="0.25">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0.84282275711159738</v>
      </c>
      <c r="P1296" s="72">
        <f t="shared" si="487"/>
        <v>0</v>
      </c>
      <c r="Q1296" s="72">
        <f t="shared" si="488"/>
        <v>0.54166666666666663</v>
      </c>
      <c r="R1296" s="72">
        <f t="shared" si="489"/>
        <v>0.45833333333333337</v>
      </c>
      <c r="S1296" s="72">
        <f t="shared" si="490"/>
        <v>1.0312184322306603</v>
      </c>
      <c r="T1296" s="72">
        <f t="shared" si="491"/>
        <v>0.98685802548590562</v>
      </c>
      <c r="U1296" s="72">
        <f t="shared" si="492"/>
        <v>1.04</v>
      </c>
    </row>
    <row r="1297" spans="1:21" x14ac:dyDescent="0.25">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0.84315645514223192</v>
      </c>
      <c r="P1297" s="72">
        <f t="shared" si="487"/>
        <v>0</v>
      </c>
      <c r="Q1297" s="72">
        <f t="shared" si="488"/>
        <v>0.45833333333333331</v>
      </c>
      <c r="R1297" s="72">
        <f t="shared" si="489"/>
        <v>0.54166666666666674</v>
      </c>
      <c r="S1297" s="72">
        <f t="shared" si="490"/>
        <v>1.0316267215857897</v>
      </c>
      <c r="T1297" s="72">
        <f t="shared" si="491"/>
        <v>0.98725061140429915</v>
      </c>
      <c r="U1297" s="72">
        <f t="shared" si="492"/>
        <v>1.04</v>
      </c>
    </row>
    <row r="1298" spans="1:21" x14ac:dyDescent="0.25">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0.84349562363238506</v>
      </c>
      <c r="P1298" s="72">
        <f t="shared" si="487"/>
        <v>0</v>
      </c>
      <c r="Q1298" s="72">
        <f t="shared" si="488"/>
        <v>0.375</v>
      </c>
      <c r="R1298" s="72">
        <f t="shared" si="489"/>
        <v>0.625</v>
      </c>
      <c r="S1298" s="72">
        <f t="shared" si="490"/>
        <v>1.032041704209036</v>
      </c>
      <c r="T1298" s="72">
        <f t="shared" si="491"/>
        <v>0.98764963315742049</v>
      </c>
      <c r="U1298" s="72">
        <f t="shared" si="492"/>
        <v>1.04</v>
      </c>
    </row>
    <row r="1299" spans="1:21" x14ac:dyDescent="0.25">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0.84382932166301972</v>
      </c>
      <c r="P1299" s="72">
        <f t="shared" si="487"/>
        <v>0</v>
      </c>
      <c r="Q1299" s="72">
        <f t="shared" si="488"/>
        <v>0.29166666666666669</v>
      </c>
      <c r="R1299" s="72">
        <f t="shared" si="489"/>
        <v>0.70833333333333326</v>
      </c>
      <c r="S1299" s="72">
        <f t="shared" si="490"/>
        <v>1.0324499935641653</v>
      </c>
      <c r="T1299" s="72">
        <f t="shared" si="491"/>
        <v>0.98804221907581402</v>
      </c>
      <c r="U1299" s="72">
        <f t="shared" si="492"/>
        <v>1.04</v>
      </c>
    </row>
    <row r="1300" spans="1:21" x14ac:dyDescent="0.25">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0.84416301969365426</v>
      </c>
      <c r="P1300" s="72">
        <f t="shared" si="487"/>
        <v>0</v>
      </c>
      <c r="Q1300" s="72">
        <f t="shared" si="488"/>
        <v>0.20833333333333334</v>
      </c>
      <c r="R1300" s="72">
        <f t="shared" si="489"/>
        <v>0.79166666666666663</v>
      </c>
      <c r="S1300" s="72">
        <f t="shared" si="490"/>
        <v>1.0328582829192947</v>
      </c>
      <c r="T1300" s="72">
        <f t="shared" si="491"/>
        <v>0.98843480499420777</v>
      </c>
      <c r="U1300" s="72">
        <f t="shared" si="492"/>
        <v>1.04</v>
      </c>
    </row>
    <row r="1301" spans="1:21" x14ac:dyDescent="0.25">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0.8444967177242888</v>
      </c>
      <c r="P1301" s="72">
        <f t="shared" si="487"/>
        <v>0</v>
      </c>
      <c r="Q1301" s="72">
        <f t="shared" si="488"/>
        <v>0.125</v>
      </c>
      <c r="R1301" s="72">
        <f t="shared" si="489"/>
        <v>0.875</v>
      </c>
      <c r="S1301" s="72">
        <f t="shared" si="490"/>
        <v>1.0332665722744241</v>
      </c>
      <c r="T1301" s="72">
        <f t="shared" si="491"/>
        <v>1.0283804865491055</v>
      </c>
      <c r="U1301" s="72">
        <f t="shared" si="492"/>
        <v>1.04</v>
      </c>
    </row>
    <row r="1302" spans="1:21" x14ac:dyDescent="0.25">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0.84483041575492335</v>
      </c>
      <c r="P1302" s="72">
        <f t="shared" si="487"/>
        <v>0</v>
      </c>
      <c r="Q1302" s="72">
        <f t="shared" si="488"/>
        <v>4.1666666666666664E-2</v>
      </c>
      <c r="R1302" s="72">
        <f t="shared" si="489"/>
        <v>0.95833333333333337</v>
      </c>
      <c r="S1302" s="72">
        <f t="shared" si="490"/>
        <v>1.0336748616295532</v>
      </c>
      <c r="T1302" s="72">
        <f t="shared" si="491"/>
        <v>1.0287887759042347</v>
      </c>
      <c r="U1302" s="72">
        <f t="shared" si="492"/>
        <v>1.04</v>
      </c>
    </row>
    <row r="1303" spans="1:21" x14ac:dyDescent="0.25">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0.84499999999999997</v>
      </c>
      <c r="P1303" s="72">
        <f t="shared" si="487"/>
        <v>0</v>
      </c>
      <c r="Q1303" s="72">
        <f t="shared" si="488"/>
        <v>0</v>
      </c>
      <c r="R1303" s="72">
        <f t="shared" si="489"/>
        <v>0.95833333333333337</v>
      </c>
      <c r="S1303" s="72">
        <f t="shared" si="490"/>
        <v>1.0338823529411765</v>
      </c>
      <c r="T1303" s="72">
        <f t="shared" si="491"/>
        <v>0.98492083923284846</v>
      </c>
      <c r="U1303" s="72">
        <f t="shared" si="492"/>
        <v>1.04</v>
      </c>
    </row>
    <row r="1304" spans="1:21" x14ac:dyDescent="0.25">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0.84499999999999997</v>
      </c>
      <c r="P1304" s="72">
        <f t="shared" si="487"/>
        <v>0</v>
      </c>
      <c r="Q1304" s="72">
        <f t="shared" si="488"/>
        <v>0</v>
      </c>
      <c r="R1304" s="72">
        <f t="shared" si="489"/>
        <v>0.875</v>
      </c>
      <c r="S1304" s="72">
        <f t="shared" si="490"/>
        <v>1.0338823529411765</v>
      </c>
      <c r="T1304" s="72">
        <f t="shared" si="491"/>
        <v>0.98530055348178669</v>
      </c>
      <c r="U1304" s="72">
        <f t="shared" si="492"/>
        <v>1.04</v>
      </c>
    </row>
    <row r="1305" spans="1:21" x14ac:dyDescent="0.25">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0.84499999999999997</v>
      </c>
      <c r="P1305" s="72">
        <f t="shared" si="487"/>
        <v>0</v>
      </c>
      <c r="Q1305" s="72">
        <f t="shared" si="488"/>
        <v>0</v>
      </c>
      <c r="R1305" s="72">
        <f t="shared" si="489"/>
        <v>0.79166666666666663</v>
      </c>
      <c r="S1305" s="72">
        <f t="shared" si="490"/>
        <v>1.0338823529411765</v>
      </c>
      <c r="T1305" s="72">
        <f t="shared" si="491"/>
        <v>0.9856802677307247</v>
      </c>
      <c r="U1305" s="72">
        <f t="shared" si="492"/>
        <v>1.04</v>
      </c>
    </row>
    <row r="1306" spans="1:21" x14ac:dyDescent="0.25">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0.84499999999999997</v>
      </c>
      <c r="P1306" s="72">
        <f t="shared" si="487"/>
        <v>0</v>
      </c>
      <c r="Q1306" s="72">
        <f t="shared" si="488"/>
        <v>0</v>
      </c>
      <c r="R1306" s="72">
        <f t="shared" si="489"/>
        <v>0.70833333333333337</v>
      </c>
      <c r="S1306" s="72">
        <f t="shared" si="490"/>
        <v>1.0338823529411765</v>
      </c>
      <c r="T1306" s="72">
        <f t="shared" si="491"/>
        <v>0.98607285364911823</v>
      </c>
      <c r="U1306" s="72">
        <f t="shared" si="492"/>
        <v>1.04</v>
      </c>
    </row>
    <row r="1307" spans="1:21" x14ac:dyDescent="0.25">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0.84499999999999997</v>
      </c>
      <c r="P1307" s="72">
        <f t="shared" si="487"/>
        <v>0</v>
      </c>
      <c r="Q1307" s="72">
        <f t="shared" si="488"/>
        <v>0</v>
      </c>
      <c r="R1307" s="72">
        <f t="shared" si="489"/>
        <v>0.625</v>
      </c>
      <c r="S1307" s="72">
        <f t="shared" si="490"/>
        <v>1.0338823529411765</v>
      </c>
      <c r="T1307" s="72">
        <f t="shared" si="491"/>
        <v>0.98646543956751187</v>
      </c>
      <c r="U1307" s="72">
        <f t="shared" si="492"/>
        <v>1.04</v>
      </c>
    </row>
    <row r="1308" spans="1:21" x14ac:dyDescent="0.25">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0.84499999999999997</v>
      </c>
      <c r="P1308" s="72">
        <f t="shared" si="487"/>
        <v>0</v>
      </c>
      <c r="Q1308" s="72">
        <f t="shared" si="488"/>
        <v>0</v>
      </c>
      <c r="R1308" s="72">
        <f t="shared" si="489"/>
        <v>0.54166666666666663</v>
      </c>
      <c r="S1308" s="72">
        <f t="shared" si="490"/>
        <v>1.0338823529411765</v>
      </c>
      <c r="T1308" s="72">
        <f t="shared" si="491"/>
        <v>0.98685802548590562</v>
      </c>
      <c r="U1308" s="72">
        <f t="shared" si="492"/>
        <v>1.04</v>
      </c>
    </row>
    <row r="1309" spans="1:21" x14ac:dyDescent="0.25">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0.84499999999999997</v>
      </c>
      <c r="P1309" s="72">
        <f t="shared" si="487"/>
        <v>0</v>
      </c>
      <c r="Q1309" s="72">
        <f t="shared" si="488"/>
        <v>0</v>
      </c>
      <c r="R1309" s="72">
        <f t="shared" si="489"/>
        <v>0.45833333333333331</v>
      </c>
      <c r="S1309" s="72">
        <f t="shared" si="490"/>
        <v>1.0338823529411765</v>
      </c>
      <c r="T1309" s="72">
        <f t="shared" si="491"/>
        <v>0.98725061140429915</v>
      </c>
      <c r="U1309" s="72">
        <f t="shared" si="492"/>
        <v>1.04</v>
      </c>
    </row>
    <row r="1310" spans="1:21" x14ac:dyDescent="0.25">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0.84499999999999997</v>
      </c>
      <c r="P1310" s="72">
        <f t="shared" si="487"/>
        <v>0</v>
      </c>
      <c r="Q1310" s="72">
        <f t="shared" si="488"/>
        <v>0</v>
      </c>
      <c r="R1310" s="72">
        <f t="shared" si="489"/>
        <v>0.375</v>
      </c>
      <c r="S1310" s="72">
        <f t="shared" si="490"/>
        <v>1.0338823529411765</v>
      </c>
      <c r="T1310" s="72">
        <f t="shared" si="491"/>
        <v>0.98764963315742049</v>
      </c>
      <c r="U1310" s="72">
        <f t="shared" si="492"/>
        <v>1.04</v>
      </c>
    </row>
    <row r="1311" spans="1:21" x14ac:dyDescent="0.25">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0.84499999999999997</v>
      </c>
      <c r="P1311" s="72">
        <f t="shared" si="487"/>
        <v>0</v>
      </c>
      <c r="Q1311" s="72">
        <f t="shared" si="488"/>
        <v>0</v>
      </c>
      <c r="R1311" s="72">
        <f t="shared" si="489"/>
        <v>0.29166666666666669</v>
      </c>
      <c r="S1311" s="72">
        <f t="shared" si="490"/>
        <v>1.0338823529411765</v>
      </c>
      <c r="T1311" s="72">
        <f t="shared" si="491"/>
        <v>0.98804221907581402</v>
      </c>
      <c r="U1311" s="72">
        <f t="shared" si="492"/>
        <v>1.04</v>
      </c>
    </row>
    <row r="1312" spans="1:21" x14ac:dyDescent="0.25">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0.84499999999999997</v>
      </c>
      <c r="P1312" s="72">
        <f t="shared" si="487"/>
        <v>0</v>
      </c>
      <c r="Q1312" s="72">
        <f t="shared" si="488"/>
        <v>0</v>
      </c>
      <c r="R1312" s="72">
        <f t="shared" si="489"/>
        <v>0.20833333333333334</v>
      </c>
      <c r="S1312" s="72">
        <f t="shared" si="490"/>
        <v>1.0338823529411765</v>
      </c>
      <c r="T1312" s="72">
        <f t="shared" si="491"/>
        <v>0.98843480499420777</v>
      </c>
      <c r="U1312" s="72">
        <f t="shared" si="492"/>
        <v>1.04</v>
      </c>
    </row>
    <row r="1313" spans="1:21" x14ac:dyDescent="0.25">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0.84499999999999997</v>
      </c>
      <c r="P1313" s="72">
        <f t="shared" si="487"/>
        <v>0</v>
      </c>
      <c r="Q1313" s="72">
        <f t="shared" si="488"/>
        <v>0</v>
      </c>
      <c r="R1313" s="72">
        <f t="shared" si="489"/>
        <v>0.125</v>
      </c>
      <c r="S1313" s="72">
        <f t="shared" si="490"/>
        <v>1.0338823529411765</v>
      </c>
      <c r="T1313" s="72">
        <f t="shared" si="491"/>
        <v>1.0283804865491055</v>
      </c>
      <c r="U1313" s="72">
        <f t="shared" si="492"/>
        <v>1.04</v>
      </c>
    </row>
    <row r="1314" spans="1:21" x14ac:dyDescent="0.25">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0.84499999999999997</v>
      </c>
      <c r="P1314" s="72">
        <f t="shared" si="487"/>
        <v>0</v>
      </c>
      <c r="Q1314" s="72">
        <f t="shared" si="488"/>
        <v>0</v>
      </c>
      <c r="R1314" s="72">
        <f t="shared" si="489"/>
        <v>4.1666666666666664E-2</v>
      </c>
      <c r="S1314" s="72">
        <f t="shared" si="490"/>
        <v>1.0338823529411765</v>
      </c>
      <c r="T1314" s="72">
        <f t="shared" si="491"/>
        <v>1.0287887759042347</v>
      </c>
      <c r="U1314" s="72">
        <f t="shared" si="492"/>
        <v>1.04</v>
      </c>
    </row>
    <row r="1315" spans="1:21" x14ac:dyDescent="0.25">
      <c r="A1315" s="77" t="s">
        <v>1209</v>
      </c>
      <c r="B1315" s="50">
        <f>EXP(SUMPRODUCT((rl_key=$A$1264)*(rl_cons="Y")*rl_ln1p))</f>
        <v>1.04</v>
      </c>
      <c r="C1315" s="50">
        <f>SUMPRODUCT($H$1267:$H$1314,$P$1267:$P$1314,$U$1267:$U$1314)/SUMPRODUCT($H$1267:$H$1314,$P$1267:$P$1314)</f>
        <v>1.0005555555555556</v>
      </c>
      <c r="D1315" s="50">
        <f>SUMPRODUCT($H$1267:$H$1314,$Q$1267:$Q$1314,$U$1267:$U$1314)/SUMPRODUCT($H$1267:$H$1314,$Q$1267:$Q$1314)</f>
        <v>1.0261111111111112</v>
      </c>
      <c r="E1315" s="50">
        <f>SUMPRODUCT($H$1267:$H$1314,$R$1267:$R$1314,$U$1267:$U$1314)/SUMPRODUCT($H$1267:$H$1314,$R$1267:$R$1314)</f>
        <v>1.0400000000000003</v>
      </c>
      <c r="F1315" s="169">
        <f>SUMPRODUCT($H$1267:$H$1314,$Q$1267:$Q$1314,$O$1267:$O$1314)/SUMPRODUCT($H$1267:$H$1314,$Q$1267:$Q$1314)</f>
        <v>0.84099790299051769</v>
      </c>
      <c r="G1315" s="169">
        <f>SUMPRODUCT($H$1267:$H$1314,$R$1267:$R$1314,$O$1267:$O$1314)/SUMPRODUCT($H$1267:$H$1314,$R$1267:$R$1314)</f>
        <v>0.84432817818502282</v>
      </c>
    </row>
    <row r="1318" spans="1:21" x14ac:dyDescent="0.25">
      <c r="A1318" s="77" t="str">
        <f>INDEX(lr_key,24)</f>
        <v>BU-B|CO</v>
      </c>
      <c r="B1318" s="77" t="str">
        <f>INDEX(lr_state,24)</f>
        <v>CO</v>
      </c>
      <c r="C1318" s="52">
        <f>nr_TermMonths</f>
        <v>12</v>
      </c>
      <c r="D1318" s="52">
        <f>IF(COUNTIF(se_state,$B1318)=0,0,MATCH($B1318,se_state,0))</f>
        <v>0</v>
      </c>
      <c r="E1318" s="54">
        <f>IF($D1318=0,0,INDEX(se_sum,$D1318))</f>
        <v>0</v>
      </c>
      <c r="F1318" s="169">
        <f>IF(N(INDEX(lr_mind,24))=0,1,INDEX(lr_mind,24))</f>
        <v>0.85</v>
      </c>
      <c r="G1318" s="169">
        <f>IF(N(INDEX(lr_m0,24))=0,1,INDEX(lr_m0,24))</f>
        <v>0.84</v>
      </c>
      <c r="H1318" s="51">
        <f>IF(N(INDEX(lr_m0asof,24))=0,DATE(nr_PlanYear-1,10,1),INDEX(lr_m0asof,24))</f>
        <v>46295</v>
      </c>
      <c r="I1318" s="169">
        <f>IF(N(INDEX(lr_m1,24))=0,1,INDEX(lr_m1,24))</f>
        <v>0.86</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25">
      <c r="A1319" s="77">
        <f>EDATE($H$1318,-12)+1</f>
        <v>45931</v>
      </c>
      <c r="B1319" s="77">
        <f>$H$1318+1</f>
        <v>46296</v>
      </c>
      <c r="C1319" s="77">
        <f>DATE(nr_PlanYear,12,31)+1</f>
        <v>46753</v>
      </c>
      <c r="D1319" s="77">
        <f>DATE(nr_PlanYear+1,12,31)+1</f>
        <v>47119</v>
      </c>
      <c r="E1319" s="77">
        <f>IF(N($J$1318)=0,$F$1319-($G$1319-$F$1319)/($C$1319-$B$1319)*($B$1319-$A$1319),$J$1318)</f>
        <v>0.8240262582056892</v>
      </c>
      <c r="F1319" s="77">
        <f>$G$1318</f>
        <v>0.84</v>
      </c>
      <c r="G1319" s="77">
        <f>$I$1318</f>
        <v>0.86</v>
      </c>
      <c r="H1319" s="77">
        <f>IF(N($K$1318)=0,$I$1318,$K$1318)</f>
        <v>0.86</v>
      </c>
      <c r="I1319" s="77">
        <f>($F$1319-$E$1319)/($B$1319-$A$1319)</f>
        <v>4.3763676148796628E-5</v>
      </c>
      <c r="J1319" s="77">
        <f>($G$1319-$F$1319)/($C$1319-$B$1319)</f>
        <v>4.376367614879654E-5</v>
      </c>
      <c r="K1319" s="77">
        <f>($H$1319-$G$1319)/($D$1319-$C$1319)</f>
        <v>0</v>
      </c>
    </row>
    <row r="1320" spans="1:21" ht="24" x14ac:dyDescent="0.25">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25">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0.81275711159737407</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0.95618483717338132</v>
      </c>
      <c r="T1321" s="72">
        <f t="shared" ref="T1321:T1368" si="511">IF($G1321&lt;nr_MStartP,$S1321,$T1309*(1+IF($G1321&lt;nr_MStartP1,$M$1318,$N$1318)))</f>
        <v>0.95618483717338132</v>
      </c>
      <c r="U1321" s="72">
        <f t="shared" ref="U1321:U1368" si="512">IF($L$1318,$T1321,$N1321)</f>
        <v>1</v>
      </c>
    </row>
    <row r="1322" spans="1:21" x14ac:dyDescent="0.25">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0.81404814004376358</v>
      </c>
      <c r="P1322" s="72">
        <f t="shared" si="507"/>
        <v>0.125</v>
      </c>
      <c r="Q1322" s="72">
        <f t="shared" si="508"/>
        <v>0</v>
      </c>
      <c r="R1322" s="72">
        <f t="shared" si="509"/>
        <v>0</v>
      </c>
      <c r="S1322" s="72">
        <f t="shared" si="510"/>
        <v>0.9577036941691337</v>
      </c>
      <c r="T1322" s="72">
        <f t="shared" si="511"/>
        <v>0.9577036941691337</v>
      </c>
      <c r="U1322" s="72">
        <f t="shared" si="512"/>
        <v>1</v>
      </c>
    </row>
    <row r="1323" spans="1:21" x14ac:dyDescent="0.25">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0.81533916849015309</v>
      </c>
      <c r="P1323" s="72">
        <f t="shared" si="507"/>
        <v>0.20833333333333337</v>
      </c>
      <c r="Q1323" s="72">
        <f t="shared" si="508"/>
        <v>0</v>
      </c>
      <c r="R1323" s="72">
        <f t="shared" si="509"/>
        <v>0</v>
      </c>
      <c r="S1323" s="72">
        <f t="shared" si="510"/>
        <v>0.95922255116488597</v>
      </c>
      <c r="T1323" s="72">
        <f t="shared" si="511"/>
        <v>0.95922255116488597</v>
      </c>
      <c r="U1323" s="72">
        <f t="shared" si="512"/>
        <v>1</v>
      </c>
    </row>
    <row r="1324" spans="1:21" x14ac:dyDescent="0.25">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0.81667396061269137</v>
      </c>
      <c r="P1324" s="72">
        <f t="shared" si="507"/>
        <v>0.29166666666666663</v>
      </c>
      <c r="Q1324" s="72">
        <f t="shared" si="508"/>
        <v>0</v>
      </c>
      <c r="R1324" s="72">
        <f t="shared" si="509"/>
        <v>0</v>
      </c>
      <c r="S1324" s="72">
        <f t="shared" si="510"/>
        <v>0.96079289483846042</v>
      </c>
      <c r="T1324" s="72">
        <f t="shared" si="511"/>
        <v>0.96079289483846042</v>
      </c>
      <c r="U1324" s="72">
        <f t="shared" si="512"/>
        <v>1</v>
      </c>
    </row>
    <row r="1325" spans="1:21" x14ac:dyDescent="0.25">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0.81800875273522966</v>
      </c>
      <c r="P1325" s="72">
        <f t="shared" si="507"/>
        <v>0.375</v>
      </c>
      <c r="Q1325" s="72">
        <f t="shared" si="508"/>
        <v>0</v>
      </c>
      <c r="R1325" s="72">
        <f t="shared" si="509"/>
        <v>0</v>
      </c>
      <c r="S1325" s="72">
        <f t="shared" si="510"/>
        <v>0.96236323851203487</v>
      </c>
      <c r="T1325" s="72">
        <f t="shared" si="511"/>
        <v>0.96236323851203487</v>
      </c>
      <c r="U1325" s="72">
        <f t="shared" si="512"/>
        <v>1</v>
      </c>
    </row>
    <row r="1326" spans="1:21" x14ac:dyDescent="0.25">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0.81934354485776795</v>
      </c>
      <c r="P1326" s="72">
        <f t="shared" si="507"/>
        <v>0.45833333333333337</v>
      </c>
      <c r="Q1326" s="72">
        <f t="shared" si="508"/>
        <v>0</v>
      </c>
      <c r="R1326" s="72">
        <f t="shared" si="509"/>
        <v>0</v>
      </c>
      <c r="S1326" s="72">
        <f t="shared" si="510"/>
        <v>0.96393358218560943</v>
      </c>
      <c r="T1326" s="72">
        <f t="shared" si="511"/>
        <v>0.96393358218560943</v>
      </c>
      <c r="U1326" s="72">
        <f t="shared" si="512"/>
        <v>1</v>
      </c>
    </row>
    <row r="1327" spans="1:21" x14ac:dyDescent="0.25">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0.82067833698030623</v>
      </c>
      <c r="P1327" s="72">
        <f t="shared" si="507"/>
        <v>0.54166666666666674</v>
      </c>
      <c r="Q1327" s="72">
        <f t="shared" si="508"/>
        <v>0</v>
      </c>
      <c r="R1327" s="72">
        <f t="shared" si="509"/>
        <v>0</v>
      </c>
      <c r="S1327" s="72">
        <f t="shared" si="510"/>
        <v>0.96550392585918388</v>
      </c>
      <c r="T1327" s="72">
        <f t="shared" si="511"/>
        <v>0.96550392585918388</v>
      </c>
      <c r="U1327" s="72">
        <f t="shared" si="512"/>
        <v>1</v>
      </c>
    </row>
    <row r="1328" spans="1:21" x14ac:dyDescent="0.25">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0.82203501094091891</v>
      </c>
      <c r="P1328" s="72">
        <f t="shared" si="507"/>
        <v>0.625</v>
      </c>
      <c r="Q1328" s="72">
        <f t="shared" si="508"/>
        <v>0</v>
      </c>
      <c r="R1328" s="72">
        <f t="shared" si="509"/>
        <v>0</v>
      </c>
      <c r="S1328" s="72">
        <f t="shared" si="510"/>
        <v>0.96710001287166936</v>
      </c>
      <c r="T1328" s="72">
        <f t="shared" si="511"/>
        <v>0.96710001287166936</v>
      </c>
      <c r="U1328" s="72">
        <f t="shared" si="512"/>
        <v>1</v>
      </c>
    </row>
    <row r="1329" spans="1:21" x14ac:dyDescent="0.25">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0.8233698030634572</v>
      </c>
      <c r="P1329" s="72">
        <f t="shared" si="507"/>
        <v>0.70833333333333326</v>
      </c>
      <c r="Q1329" s="72">
        <f t="shared" si="508"/>
        <v>0</v>
      </c>
      <c r="R1329" s="72">
        <f t="shared" si="509"/>
        <v>0</v>
      </c>
      <c r="S1329" s="72">
        <f t="shared" si="510"/>
        <v>0.9686703565452438</v>
      </c>
      <c r="T1329" s="72">
        <f t="shared" si="511"/>
        <v>0.9686703565452438</v>
      </c>
      <c r="U1329" s="72">
        <f t="shared" si="512"/>
        <v>1</v>
      </c>
    </row>
    <row r="1330" spans="1:21" x14ac:dyDescent="0.25">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0.82470459518599559</v>
      </c>
      <c r="P1330" s="72">
        <f t="shared" si="507"/>
        <v>0.79166666666666663</v>
      </c>
      <c r="Q1330" s="72">
        <f t="shared" si="508"/>
        <v>0</v>
      </c>
      <c r="R1330" s="72">
        <f t="shared" si="509"/>
        <v>0</v>
      </c>
      <c r="S1330" s="72">
        <f t="shared" si="510"/>
        <v>0.97024070021881836</v>
      </c>
      <c r="T1330" s="72">
        <f t="shared" si="511"/>
        <v>0.97024070021881836</v>
      </c>
      <c r="U1330" s="72">
        <f t="shared" si="512"/>
        <v>1</v>
      </c>
    </row>
    <row r="1331" spans="1:21" x14ac:dyDescent="0.25">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0.82603938730853388</v>
      </c>
      <c r="P1331" s="72">
        <f t="shared" si="507"/>
        <v>0.875</v>
      </c>
      <c r="Q1331" s="72">
        <f t="shared" si="508"/>
        <v>0</v>
      </c>
      <c r="R1331" s="72">
        <f t="shared" si="509"/>
        <v>0</v>
      </c>
      <c r="S1331" s="72">
        <f t="shared" si="510"/>
        <v>0.97181104389239281</v>
      </c>
      <c r="T1331" s="72">
        <f t="shared" si="511"/>
        <v>0.97181104389239281</v>
      </c>
      <c r="U1331" s="72">
        <f t="shared" si="512"/>
        <v>1</v>
      </c>
    </row>
    <row r="1332" spans="1:21" x14ac:dyDescent="0.25">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0.82737417943107217</v>
      </c>
      <c r="P1332" s="72">
        <f t="shared" si="507"/>
        <v>0.95833333333333337</v>
      </c>
      <c r="Q1332" s="72">
        <f t="shared" si="508"/>
        <v>0</v>
      </c>
      <c r="R1332" s="72">
        <f t="shared" si="509"/>
        <v>0</v>
      </c>
      <c r="S1332" s="72">
        <f t="shared" si="510"/>
        <v>0.97338138756596726</v>
      </c>
      <c r="T1332" s="72">
        <f t="shared" si="511"/>
        <v>0.97338138756596726</v>
      </c>
      <c r="U1332" s="72">
        <f t="shared" si="512"/>
        <v>1</v>
      </c>
    </row>
    <row r="1333" spans="1:21" x14ac:dyDescent="0.25">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0.82873085339168484</v>
      </c>
      <c r="P1333" s="72">
        <f t="shared" si="507"/>
        <v>0.95833333333333337</v>
      </c>
      <c r="Q1333" s="72">
        <f t="shared" si="508"/>
        <v>4.166666666666663E-2</v>
      </c>
      <c r="R1333" s="72">
        <f t="shared" si="509"/>
        <v>0</v>
      </c>
      <c r="S1333" s="72">
        <f t="shared" si="510"/>
        <v>0.97497747457845274</v>
      </c>
      <c r="T1333" s="72">
        <f t="shared" si="511"/>
        <v>0.97497747457845274</v>
      </c>
      <c r="U1333" s="72">
        <f t="shared" si="512"/>
        <v>1</v>
      </c>
    </row>
    <row r="1334" spans="1:21" x14ac:dyDescent="0.25">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0.83002188183807435</v>
      </c>
      <c r="P1334" s="72">
        <f t="shared" si="507"/>
        <v>0.875</v>
      </c>
      <c r="Q1334" s="72">
        <f t="shared" si="508"/>
        <v>0.125</v>
      </c>
      <c r="R1334" s="72">
        <f t="shared" si="509"/>
        <v>0</v>
      </c>
      <c r="S1334" s="72">
        <f t="shared" si="510"/>
        <v>0.97649633157420512</v>
      </c>
      <c r="T1334" s="72">
        <f t="shared" si="511"/>
        <v>0.97649633157420512</v>
      </c>
      <c r="U1334" s="72">
        <f t="shared" si="512"/>
        <v>1</v>
      </c>
    </row>
    <row r="1335" spans="1:21" x14ac:dyDescent="0.25">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0.83131291028446386</v>
      </c>
      <c r="P1335" s="72">
        <f t="shared" si="507"/>
        <v>0.79166666666666663</v>
      </c>
      <c r="Q1335" s="72">
        <f t="shared" si="508"/>
        <v>0.20833333333333337</v>
      </c>
      <c r="R1335" s="72">
        <f t="shared" si="509"/>
        <v>0</v>
      </c>
      <c r="S1335" s="72">
        <f t="shared" si="510"/>
        <v>0.97801518856995751</v>
      </c>
      <c r="T1335" s="72">
        <f t="shared" si="511"/>
        <v>0.97801518856995751</v>
      </c>
      <c r="U1335" s="72">
        <f t="shared" si="512"/>
        <v>1</v>
      </c>
    </row>
    <row r="1336" spans="1:21" x14ac:dyDescent="0.25">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0.83264770240700214</v>
      </c>
      <c r="P1336" s="72">
        <f t="shared" si="507"/>
        <v>0.70833333333333337</v>
      </c>
      <c r="Q1336" s="72">
        <f t="shared" si="508"/>
        <v>0.29166666666666663</v>
      </c>
      <c r="R1336" s="72">
        <f t="shared" si="509"/>
        <v>0</v>
      </c>
      <c r="S1336" s="72">
        <f t="shared" si="510"/>
        <v>1.0285648088557087</v>
      </c>
      <c r="T1336" s="72">
        <f t="shared" si="511"/>
        <v>1.0285648088557087</v>
      </c>
      <c r="U1336" s="72">
        <f t="shared" si="512"/>
        <v>1.05</v>
      </c>
    </row>
    <row r="1337" spans="1:21" x14ac:dyDescent="0.25">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0.83398249452954043</v>
      </c>
      <c r="P1337" s="72">
        <f t="shared" si="507"/>
        <v>0.625</v>
      </c>
      <c r="Q1337" s="72">
        <f t="shared" si="508"/>
        <v>0.375</v>
      </c>
      <c r="R1337" s="72">
        <f t="shared" si="509"/>
        <v>0</v>
      </c>
      <c r="S1337" s="72">
        <f t="shared" si="510"/>
        <v>1.0302136697129618</v>
      </c>
      <c r="T1337" s="72">
        <f t="shared" si="511"/>
        <v>1.0302136697129618</v>
      </c>
      <c r="U1337" s="72">
        <f t="shared" si="512"/>
        <v>1.05</v>
      </c>
    </row>
    <row r="1338" spans="1:21" x14ac:dyDescent="0.25">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0.83531728665207872</v>
      </c>
      <c r="P1338" s="72">
        <f t="shared" si="507"/>
        <v>0.54166666666666663</v>
      </c>
      <c r="Q1338" s="72">
        <f t="shared" si="508"/>
        <v>0.45833333333333337</v>
      </c>
      <c r="R1338" s="72">
        <f t="shared" si="509"/>
        <v>0</v>
      </c>
      <c r="S1338" s="72">
        <f t="shared" si="510"/>
        <v>1.0318625305702149</v>
      </c>
      <c r="T1338" s="72">
        <f t="shared" si="511"/>
        <v>1.0318625305702149</v>
      </c>
      <c r="U1338" s="72">
        <f t="shared" si="512"/>
        <v>1.05</v>
      </c>
    </row>
    <row r="1339" spans="1:21" x14ac:dyDescent="0.25">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0.836652078774617</v>
      </c>
      <c r="P1339" s="72">
        <f t="shared" si="507"/>
        <v>0.45833333333333331</v>
      </c>
      <c r="Q1339" s="72">
        <f t="shared" si="508"/>
        <v>0.54166666666666674</v>
      </c>
      <c r="R1339" s="72">
        <f t="shared" si="509"/>
        <v>0</v>
      </c>
      <c r="S1339" s="72">
        <f t="shared" si="510"/>
        <v>1.0335113914274681</v>
      </c>
      <c r="T1339" s="72">
        <f t="shared" si="511"/>
        <v>1.0335113914274681</v>
      </c>
      <c r="U1339" s="72">
        <f t="shared" si="512"/>
        <v>1.05</v>
      </c>
    </row>
    <row r="1340" spans="1:21" x14ac:dyDescent="0.25">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0.83800875273522968</v>
      </c>
      <c r="P1340" s="72">
        <f t="shared" si="507"/>
        <v>0.375</v>
      </c>
      <c r="Q1340" s="72">
        <f t="shared" si="508"/>
        <v>0.625</v>
      </c>
      <c r="R1340" s="72">
        <f t="shared" si="509"/>
        <v>0</v>
      </c>
      <c r="S1340" s="72">
        <f t="shared" si="510"/>
        <v>1.0351872827905779</v>
      </c>
      <c r="T1340" s="72">
        <f t="shared" si="511"/>
        <v>1.0351872827905779</v>
      </c>
      <c r="U1340" s="72">
        <f t="shared" si="512"/>
        <v>1.05</v>
      </c>
    </row>
    <row r="1341" spans="1:21" x14ac:dyDescent="0.25">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0.83934354485776796</v>
      </c>
      <c r="P1341" s="72">
        <f t="shared" si="507"/>
        <v>0.29166666666666669</v>
      </c>
      <c r="Q1341" s="72">
        <f t="shared" si="508"/>
        <v>0.70833333333333326</v>
      </c>
      <c r="R1341" s="72">
        <f t="shared" si="509"/>
        <v>0</v>
      </c>
      <c r="S1341" s="72">
        <f t="shared" si="510"/>
        <v>1.0368361436478311</v>
      </c>
      <c r="T1341" s="72">
        <f t="shared" si="511"/>
        <v>1.0368361436478311</v>
      </c>
      <c r="U1341" s="72">
        <f t="shared" si="512"/>
        <v>1.05</v>
      </c>
    </row>
    <row r="1342" spans="1:21" x14ac:dyDescent="0.25">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0.84067833698030636</v>
      </c>
      <c r="P1342" s="72">
        <f t="shared" si="507"/>
        <v>0.20833333333333334</v>
      </c>
      <c r="Q1342" s="72">
        <f t="shared" si="508"/>
        <v>0.79166666666666663</v>
      </c>
      <c r="R1342" s="72">
        <f t="shared" si="509"/>
        <v>0</v>
      </c>
      <c r="S1342" s="72">
        <f t="shared" si="510"/>
        <v>1.0384850045050844</v>
      </c>
      <c r="T1342" s="72">
        <f t="shared" si="511"/>
        <v>1.0384850045050844</v>
      </c>
      <c r="U1342" s="72">
        <f t="shared" si="512"/>
        <v>1.05</v>
      </c>
    </row>
    <row r="1343" spans="1:21" x14ac:dyDescent="0.25">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0.84201312910284465</v>
      </c>
      <c r="P1343" s="72">
        <f t="shared" si="507"/>
        <v>0.125</v>
      </c>
      <c r="Q1343" s="72">
        <f t="shared" si="508"/>
        <v>0.875</v>
      </c>
      <c r="R1343" s="72">
        <f t="shared" si="509"/>
        <v>0</v>
      </c>
      <c r="S1343" s="72">
        <f t="shared" si="510"/>
        <v>1.0401338653623375</v>
      </c>
      <c r="T1343" s="72">
        <f t="shared" si="511"/>
        <v>1.0401338653623375</v>
      </c>
      <c r="U1343" s="72">
        <f t="shared" si="512"/>
        <v>1.05</v>
      </c>
    </row>
    <row r="1344" spans="1:21" x14ac:dyDescent="0.25">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0.84334792122538293</v>
      </c>
      <c r="P1344" s="72">
        <f t="shared" si="507"/>
        <v>4.1666666666666664E-2</v>
      </c>
      <c r="Q1344" s="72">
        <f t="shared" si="508"/>
        <v>0.95833333333333337</v>
      </c>
      <c r="R1344" s="72">
        <f t="shared" si="509"/>
        <v>0</v>
      </c>
      <c r="S1344" s="72">
        <f t="shared" si="510"/>
        <v>1.0417827262195907</v>
      </c>
      <c r="T1344" s="72">
        <f t="shared" si="511"/>
        <v>1.0417827262195907</v>
      </c>
      <c r="U1344" s="72">
        <f t="shared" si="512"/>
        <v>1.05</v>
      </c>
    </row>
    <row r="1345" spans="1:21" x14ac:dyDescent="0.25">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0.84470459518599561</v>
      </c>
      <c r="P1345" s="72">
        <f t="shared" si="507"/>
        <v>0</v>
      </c>
      <c r="Q1345" s="72">
        <f t="shared" si="508"/>
        <v>0.95833333333333337</v>
      </c>
      <c r="R1345" s="72">
        <f t="shared" si="509"/>
        <v>4.166666666666663E-2</v>
      </c>
      <c r="S1345" s="72">
        <f t="shared" si="510"/>
        <v>1.0434586175827005</v>
      </c>
      <c r="T1345" s="72">
        <f t="shared" si="511"/>
        <v>0.97497747457845274</v>
      </c>
      <c r="U1345" s="72">
        <f t="shared" si="512"/>
        <v>1.05</v>
      </c>
    </row>
    <row r="1346" spans="1:21" x14ac:dyDescent="0.25">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0.84599562363238512</v>
      </c>
      <c r="P1346" s="72">
        <f t="shared" si="507"/>
        <v>0</v>
      </c>
      <c r="Q1346" s="72">
        <f t="shared" si="508"/>
        <v>0.875</v>
      </c>
      <c r="R1346" s="72">
        <f t="shared" si="509"/>
        <v>0.125</v>
      </c>
      <c r="S1346" s="72">
        <f t="shared" si="510"/>
        <v>1.0450534174282404</v>
      </c>
      <c r="T1346" s="72">
        <f t="shared" si="511"/>
        <v>0.97649633157420512</v>
      </c>
      <c r="U1346" s="72">
        <f t="shared" si="512"/>
        <v>1.05</v>
      </c>
    </row>
    <row r="1347" spans="1:21" x14ac:dyDescent="0.25">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0.84728665207877463</v>
      </c>
      <c r="P1347" s="72">
        <f t="shared" si="507"/>
        <v>0</v>
      </c>
      <c r="Q1347" s="72">
        <f t="shared" si="508"/>
        <v>0.79166666666666663</v>
      </c>
      <c r="R1347" s="72">
        <f t="shared" si="509"/>
        <v>0.20833333333333337</v>
      </c>
      <c r="S1347" s="72">
        <f t="shared" si="510"/>
        <v>1.0466482172737805</v>
      </c>
      <c r="T1347" s="72">
        <f t="shared" si="511"/>
        <v>0.97801518856995751</v>
      </c>
      <c r="U1347" s="72">
        <f t="shared" si="512"/>
        <v>1.05</v>
      </c>
    </row>
    <row r="1348" spans="1:21" x14ac:dyDescent="0.25">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0.84862144420131291</v>
      </c>
      <c r="P1348" s="72">
        <f t="shared" si="507"/>
        <v>0</v>
      </c>
      <c r="Q1348" s="72">
        <f t="shared" si="508"/>
        <v>0.70833333333333337</v>
      </c>
      <c r="R1348" s="72">
        <f t="shared" si="509"/>
        <v>0.29166666666666663</v>
      </c>
      <c r="S1348" s="72">
        <f t="shared" si="510"/>
        <v>1.0482970781310337</v>
      </c>
      <c r="T1348" s="72">
        <f t="shared" si="511"/>
        <v>1.0285648088557087</v>
      </c>
      <c r="U1348" s="72">
        <f t="shared" si="512"/>
        <v>1.05</v>
      </c>
    </row>
    <row r="1349" spans="1:21" x14ac:dyDescent="0.25">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0.8499562363238512</v>
      </c>
      <c r="P1349" s="72">
        <f t="shared" si="507"/>
        <v>0</v>
      </c>
      <c r="Q1349" s="72">
        <f t="shared" si="508"/>
        <v>0.625</v>
      </c>
      <c r="R1349" s="72">
        <f t="shared" si="509"/>
        <v>0.375</v>
      </c>
      <c r="S1349" s="72">
        <f t="shared" si="510"/>
        <v>1.067219243145836</v>
      </c>
      <c r="T1349" s="72">
        <f t="shared" si="511"/>
        <v>1.0302136697129618</v>
      </c>
      <c r="U1349" s="72">
        <f t="shared" si="512"/>
        <v>1.0672741935483872</v>
      </c>
    </row>
    <row r="1350" spans="1:21" x14ac:dyDescent="0.25">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0.85129102844638949</v>
      </c>
      <c r="P1350" s="72">
        <f t="shared" si="507"/>
        <v>0</v>
      </c>
      <c r="Q1350" s="72">
        <f t="shared" si="508"/>
        <v>0.54166666666666663</v>
      </c>
      <c r="R1350" s="72">
        <f t="shared" si="509"/>
        <v>0.45833333333333337</v>
      </c>
      <c r="S1350" s="72">
        <f t="shared" si="510"/>
        <v>1.0831426438409062</v>
      </c>
      <c r="T1350" s="72">
        <f t="shared" si="511"/>
        <v>1.0318625305702149</v>
      </c>
      <c r="U1350" s="72">
        <f t="shared" si="512"/>
        <v>1.0815000000000001</v>
      </c>
    </row>
    <row r="1351" spans="1:21" x14ac:dyDescent="0.25">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0.85262582056892777</v>
      </c>
      <c r="P1351" s="72">
        <f t="shared" si="507"/>
        <v>0</v>
      </c>
      <c r="Q1351" s="72">
        <f t="shared" si="508"/>
        <v>0.45833333333333331</v>
      </c>
      <c r="R1351" s="72">
        <f t="shared" si="509"/>
        <v>0.54166666666666674</v>
      </c>
      <c r="S1351" s="72">
        <f t="shared" si="510"/>
        <v>1.0848409705238771</v>
      </c>
      <c r="T1351" s="72">
        <f t="shared" si="511"/>
        <v>1.0335113914274681</v>
      </c>
      <c r="U1351" s="72">
        <f t="shared" si="512"/>
        <v>1.0815000000000001</v>
      </c>
    </row>
    <row r="1352" spans="1:21" x14ac:dyDescent="0.25">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0.85398249452954045</v>
      </c>
      <c r="P1352" s="72">
        <f t="shared" si="507"/>
        <v>0</v>
      </c>
      <c r="Q1352" s="72">
        <f t="shared" si="508"/>
        <v>0.375</v>
      </c>
      <c r="R1352" s="72">
        <f t="shared" si="509"/>
        <v>0.625</v>
      </c>
      <c r="S1352" s="72">
        <f t="shared" si="510"/>
        <v>1.0865671386278803</v>
      </c>
      <c r="T1352" s="72">
        <f t="shared" si="511"/>
        <v>1.0351872827905779</v>
      </c>
      <c r="U1352" s="72">
        <f t="shared" si="512"/>
        <v>1.0815000000000001</v>
      </c>
    </row>
    <row r="1353" spans="1:21" x14ac:dyDescent="0.25">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0.85531728665207873</v>
      </c>
      <c r="P1353" s="72">
        <f t="shared" si="507"/>
        <v>0</v>
      </c>
      <c r="Q1353" s="72">
        <f t="shared" si="508"/>
        <v>0.29166666666666669</v>
      </c>
      <c r="R1353" s="72">
        <f t="shared" si="509"/>
        <v>0.70833333333333326</v>
      </c>
      <c r="S1353" s="72">
        <f t="shared" si="510"/>
        <v>1.088265465310851</v>
      </c>
      <c r="T1353" s="72">
        <f t="shared" si="511"/>
        <v>1.0368361436478311</v>
      </c>
      <c r="U1353" s="72">
        <f t="shared" si="512"/>
        <v>1.0815000000000001</v>
      </c>
    </row>
    <row r="1354" spans="1:21" x14ac:dyDescent="0.25">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0.85665207877461702</v>
      </c>
      <c r="P1354" s="72">
        <f t="shared" si="507"/>
        <v>0</v>
      </c>
      <c r="Q1354" s="72">
        <f t="shared" si="508"/>
        <v>0.20833333333333334</v>
      </c>
      <c r="R1354" s="72">
        <f t="shared" si="509"/>
        <v>0.79166666666666663</v>
      </c>
      <c r="S1354" s="72">
        <f t="shared" si="510"/>
        <v>1.0899637919938219</v>
      </c>
      <c r="T1354" s="72">
        <f t="shared" si="511"/>
        <v>1.0384850045050844</v>
      </c>
      <c r="U1354" s="72">
        <f t="shared" si="512"/>
        <v>1.0815000000000001</v>
      </c>
    </row>
    <row r="1355" spans="1:21" x14ac:dyDescent="0.25">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0.85798687089715531</v>
      </c>
      <c r="P1355" s="72">
        <f t="shared" si="507"/>
        <v>0</v>
      </c>
      <c r="Q1355" s="72">
        <f t="shared" si="508"/>
        <v>0.125</v>
      </c>
      <c r="R1355" s="72">
        <f t="shared" si="509"/>
        <v>0.875</v>
      </c>
      <c r="S1355" s="72">
        <f t="shared" si="510"/>
        <v>1.0916621186767925</v>
      </c>
      <c r="T1355" s="72">
        <f t="shared" si="511"/>
        <v>1.0401338653623375</v>
      </c>
      <c r="U1355" s="72">
        <f t="shared" si="512"/>
        <v>1.0815000000000001</v>
      </c>
    </row>
    <row r="1356" spans="1:21" x14ac:dyDescent="0.25">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0.85932166301969359</v>
      </c>
      <c r="P1356" s="72">
        <f t="shared" si="507"/>
        <v>0</v>
      </c>
      <c r="Q1356" s="72">
        <f t="shared" si="508"/>
        <v>4.1666666666666664E-2</v>
      </c>
      <c r="R1356" s="72">
        <f t="shared" si="509"/>
        <v>0.95833333333333337</v>
      </c>
      <c r="S1356" s="72">
        <f t="shared" si="510"/>
        <v>1.0933604453597634</v>
      </c>
      <c r="T1356" s="72">
        <f t="shared" si="511"/>
        <v>1.0417827262195907</v>
      </c>
      <c r="U1356" s="72">
        <f t="shared" si="512"/>
        <v>1.0815000000000001</v>
      </c>
    </row>
    <row r="1357" spans="1:21" x14ac:dyDescent="0.25">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0.86</v>
      </c>
      <c r="P1357" s="72">
        <f t="shared" si="507"/>
        <v>0</v>
      </c>
      <c r="Q1357" s="72">
        <f t="shared" si="508"/>
        <v>0</v>
      </c>
      <c r="R1357" s="72">
        <f t="shared" si="509"/>
        <v>0.95833333333333337</v>
      </c>
      <c r="S1357" s="72">
        <f t="shared" si="510"/>
        <v>1.0942235294117648</v>
      </c>
      <c r="T1357" s="72">
        <f t="shared" si="511"/>
        <v>0.97497747457845274</v>
      </c>
      <c r="U1357" s="72">
        <f t="shared" si="512"/>
        <v>1.0815000000000001</v>
      </c>
    </row>
    <row r="1358" spans="1:21" x14ac:dyDescent="0.25">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0.86</v>
      </c>
      <c r="P1358" s="72">
        <f t="shared" si="507"/>
        <v>0</v>
      </c>
      <c r="Q1358" s="72">
        <f t="shared" si="508"/>
        <v>0</v>
      </c>
      <c r="R1358" s="72">
        <f t="shared" si="509"/>
        <v>0.875</v>
      </c>
      <c r="S1358" s="72">
        <f t="shared" si="510"/>
        <v>1.0942235294117648</v>
      </c>
      <c r="T1358" s="72">
        <f t="shared" si="511"/>
        <v>0.97649633157420512</v>
      </c>
      <c r="U1358" s="72">
        <f t="shared" si="512"/>
        <v>1.0815000000000001</v>
      </c>
    </row>
    <row r="1359" spans="1:21" x14ac:dyDescent="0.25">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0.86</v>
      </c>
      <c r="P1359" s="72">
        <f t="shared" si="507"/>
        <v>0</v>
      </c>
      <c r="Q1359" s="72">
        <f t="shared" si="508"/>
        <v>0</v>
      </c>
      <c r="R1359" s="72">
        <f t="shared" si="509"/>
        <v>0.79166666666666663</v>
      </c>
      <c r="S1359" s="72">
        <f t="shared" si="510"/>
        <v>1.0942235294117648</v>
      </c>
      <c r="T1359" s="72">
        <f t="shared" si="511"/>
        <v>0.97801518856995751</v>
      </c>
      <c r="U1359" s="72">
        <f t="shared" si="512"/>
        <v>1.0815000000000001</v>
      </c>
    </row>
    <row r="1360" spans="1:21" x14ac:dyDescent="0.25">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0.86</v>
      </c>
      <c r="P1360" s="72">
        <f t="shared" si="507"/>
        <v>0</v>
      </c>
      <c r="Q1360" s="72">
        <f t="shared" si="508"/>
        <v>0</v>
      </c>
      <c r="R1360" s="72">
        <f t="shared" si="509"/>
        <v>0.70833333333333337</v>
      </c>
      <c r="S1360" s="72">
        <f t="shared" si="510"/>
        <v>1.0942235294117648</v>
      </c>
      <c r="T1360" s="72">
        <f t="shared" si="511"/>
        <v>1.0285648088557087</v>
      </c>
      <c r="U1360" s="72">
        <f t="shared" si="512"/>
        <v>1.0815000000000001</v>
      </c>
    </row>
    <row r="1361" spans="1:21" x14ac:dyDescent="0.25">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0.86</v>
      </c>
      <c r="P1361" s="72">
        <f t="shared" si="507"/>
        <v>0</v>
      </c>
      <c r="Q1361" s="72">
        <f t="shared" si="508"/>
        <v>0</v>
      </c>
      <c r="R1361" s="72">
        <f t="shared" si="509"/>
        <v>0.625</v>
      </c>
      <c r="S1361" s="72">
        <f t="shared" si="510"/>
        <v>1.0942235294117648</v>
      </c>
      <c r="T1361" s="72">
        <f t="shared" si="511"/>
        <v>1.0302136697129618</v>
      </c>
      <c r="U1361" s="72">
        <f t="shared" si="512"/>
        <v>1.0815000000000001</v>
      </c>
    </row>
    <row r="1362" spans="1:21" x14ac:dyDescent="0.25">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0.86</v>
      </c>
      <c r="P1362" s="72">
        <f t="shared" si="507"/>
        <v>0</v>
      </c>
      <c r="Q1362" s="72">
        <f t="shared" si="508"/>
        <v>0</v>
      </c>
      <c r="R1362" s="72">
        <f t="shared" si="509"/>
        <v>0.54166666666666663</v>
      </c>
      <c r="S1362" s="72">
        <f t="shared" si="510"/>
        <v>1.0942235294117648</v>
      </c>
      <c r="T1362" s="72">
        <f t="shared" si="511"/>
        <v>1.0318625305702149</v>
      </c>
      <c r="U1362" s="72">
        <f t="shared" si="512"/>
        <v>1.0815000000000001</v>
      </c>
    </row>
    <row r="1363" spans="1:21" x14ac:dyDescent="0.25">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0.86</v>
      </c>
      <c r="P1363" s="72">
        <f t="shared" si="507"/>
        <v>0</v>
      </c>
      <c r="Q1363" s="72">
        <f t="shared" si="508"/>
        <v>0</v>
      </c>
      <c r="R1363" s="72">
        <f t="shared" si="509"/>
        <v>0.45833333333333331</v>
      </c>
      <c r="S1363" s="72">
        <f t="shared" si="510"/>
        <v>1.0942235294117648</v>
      </c>
      <c r="T1363" s="72">
        <f t="shared" si="511"/>
        <v>1.0335113914274681</v>
      </c>
      <c r="U1363" s="72">
        <f t="shared" si="512"/>
        <v>1.0815000000000001</v>
      </c>
    </row>
    <row r="1364" spans="1:21" x14ac:dyDescent="0.25">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0.86</v>
      </c>
      <c r="P1364" s="72">
        <f t="shared" si="507"/>
        <v>0</v>
      </c>
      <c r="Q1364" s="72">
        <f t="shared" si="508"/>
        <v>0</v>
      </c>
      <c r="R1364" s="72">
        <f t="shared" si="509"/>
        <v>0.375</v>
      </c>
      <c r="S1364" s="72">
        <f t="shared" si="510"/>
        <v>1.0942235294117648</v>
      </c>
      <c r="T1364" s="72">
        <f t="shared" si="511"/>
        <v>1.0351872827905779</v>
      </c>
      <c r="U1364" s="72">
        <f t="shared" si="512"/>
        <v>1.0815000000000001</v>
      </c>
    </row>
    <row r="1365" spans="1:21" x14ac:dyDescent="0.25">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0.86</v>
      </c>
      <c r="P1365" s="72">
        <f t="shared" si="507"/>
        <v>0</v>
      </c>
      <c r="Q1365" s="72">
        <f t="shared" si="508"/>
        <v>0</v>
      </c>
      <c r="R1365" s="72">
        <f t="shared" si="509"/>
        <v>0.29166666666666669</v>
      </c>
      <c r="S1365" s="72">
        <f t="shared" si="510"/>
        <v>1.0942235294117648</v>
      </c>
      <c r="T1365" s="72">
        <f t="shared" si="511"/>
        <v>1.0368361436478311</v>
      </c>
      <c r="U1365" s="72">
        <f t="shared" si="512"/>
        <v>1.0815000000000001</v>
      </c>
    </row>
    <row r="1366" spans="1:21" x14ac:dyDescent="0.25">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0.86</v>
      </c>
      <c r="P1366" s="72">
        <f t="shared" si="507"/>
        <v>0</v>
      </c>
      <c r="Q1366" s="72">
        <f t="shared" si="508"/>
        <v>0</v>
      </c>
      <c r="R1366" s="72">
        <f t="shared" si="509"/>
        <v>0.20833333333333334</v>
      </c>
      <c r="S1366" s="72">
        <f t="shared" si="510"/>
        <v>1.0942235294117648</v>
      </c>
      <c r="T1366" s="72">
        <f t="shared" si="511"/>
        <v>1.0384850045050844</v>
      </c>
      <c r="U1366" s="72">
        <f t="shared" si="512"/>
        <v>1.0815000000000001</v>
      </c>
    </row>
    <row r="1367" spans="1:21" x14ac:dyDescent="0.25">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0.86</v>
      </c>
      <c r="P1367" s="72">
        <f t="shared" si="507"/>
        <v>0</v>
      </c>
      <c r="Q1367" s="72">
        <f t="shared" si="508"/>
        <v>0</v>
      </c>
      <c r="R1367" s="72">
        <f t="shared" si="509"/>
        <v>0.125</v>
      </c>
      <c r="S1367" s="72">
        <f t="shared" si="510"/>
        <v>1.0942235294117648</v>
      </c>
      <c r="T1367" s="72">
        <f t="shared" si="511"/>
        <v>1.0401338653623375</v>
      </c>
      <c r="U1367" s="72">
        <f t="shared" si="512"/>
        <v>1.0815000000000001</v>
      </c>
    </row>
    <row r="1368" spans="1:21" x14ac:dyDescent="0.25">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0.86</v>
      </c>
      <c r="P1368" s="72">
        <f t="shared" si="507"/>
        <v>0</v>
      </c>
      <c r="Q1368" s="72">
        <f t="shared" si="508"/>
        <v>0</v>
      </c>
      <c r="R1368" s="72">
        <f t="shared" si="509"/>
        <v>4.1666666666666664E-2</v>
      </c>
      <c r="S1368" s="72">
        <f t="shared" si="510"/>
        <v>1.0942235294117648</v>
      </c>
      <c r="T1368" s="72">
        <f t="shared" si="511"/>
        <v>1.0417827262195907</v>
      </c>
      <c r="U1368" s="72">
        <f t="shared" si="512"/>
        <v>1.0815000000000001</v>
      </c>
    </row>
    <row r="1369" spans="1:21" x14ac:dyDescent="0.25">
      <c r="A1369" s="77" t="s">
        <v>1209</v>
      </c>
      <c r="B1369" s="50">
        <f>EXP(SUMPRODUCT((rl_key=$A$1318)*(rl_cons="Y")*rl_ln1p))</f>
        <v>1.05</v>
      </c>
      <c r="C1369" s="50">
        <f>SUMPRODUCT($H$1321:$H$1368,$P$1321:$P$1368,$U$1321:$U$1368)/SUMPRODUCT($H$1321:$H$1368,$P$1321:$P$1368)</f>
        <v>1.0140624999999999</v>
      </c>
      <c r="D1369" s="50">
        <f>SUMPRODUCT($H$1321:$H$1368,$Q$1321:$Q$1368,$U$1321:$U$1368)/SUMPRODUCT($H$1321:$H$1368,$Q$1321:$Q$1368)</f>
        <v>1.0546965725806452</v>
      </c>
      <c r="E1369" s="50">
        <f>SUMPRODUCT($H$1321:$H$1368,$R$1321:$R$1368,$U$1321:$U$1368)/SUMPRODUCT($H$1321:$H$1368,$R$1321:$R$1368)</f>
        <v>1.0793054435483873</v>
      </c>
      <c r="F1369" s="169">
        <f>SUMPRODUCT($H$1321:$H$1368,$Q$1321:$Q$1368,$O$1321:$O$1368)/SUMPRODUCT($H$1321:$H$1368,$Q$1321:$Q$1368)</f>
        <v>0.84399161196207151</v>
      </c>
      <c r="G1369" s="169">
        <f>SUMPRODUCT($H$1321:$H$1368,$R$1321:$R$1368,$O$1321:$O$1368)/SUMPRODUCT($H$1321:$H$1368,$R$1321:$R$1368)</f>
        <v>0.85731271274009246</v>
      </c>
    </row>
    <row r="1372" spans="1:21" x14ac:dyDescent="0.25">
      <c r="A1372" s="77" t="str">
        <f>INDEX(lr_key,25)</f>
        <v>BU-B|CT</v>
      </c>
      <c r="B1372" s="77" t="str">
        <f>INDEX(lr_state,25)</f>
        <v>CT</v>
      </c>
      <c r="C1372" s="52">
        <f>nr_TermMonths</f>
        <v>12</v>
      </c>
      <c r="D1372" s="52">
        <f>IF(COUNTIF(se_state,$B1372)=0,0,MATCH($B1372,se_state,0))</f>
        <v>0</v>
      </c>
      <c r="E1372" s="54">
        <f>IF($D1372=0,0,INDEX(se_sum,$D1372))</f>
        <v>0</v>
      </c>
      <c r="F1372" s="169">
        <f>IF(N(INDEX(lr_mind,25))=0,1,INDEX(lr_mind,25))</f>
        <v>0.85</v>
      </c>
      <c r="G1372" s="169">
        <f>IF(N(INDEX(lr_m0,25))=0,1,INDEX(lr_m0,25))</f>
        <v>0.84</v>
      </c>
      <c r="H1372" s="51">
        <f>IF(N(INDEX(lr_m0asof,25))=0,DATE(nr_PlanYear-1,10,1),INDEX(lr_m0asof,25))</f>
        <v>46295</v>
      </c>
      <c r="I1372" s="169">
        <f>IF(N(INDEX(lr_m1,25))=0,1,INDEX(lr_m1,25))</f>
        <v>0.84</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25">
      <c r="A1373" s="77">
        <f>EDATE($H$1372,-12)+1</f>
        <v>45931</v>
      </c>
      <c r="B1373" s="77">
        <f>$H$1372+1</f>
        <v>46296</v>
      </c>
      <c r="C1373" s="77">
        <f>DATE(nr_PlanYear,12,31)+1</f>
        <v>46753</v>
      </c>
      <c r="D1373" s="77">
        <f>DATE(nr_PlanYear+1,12,31)+1</f>
        <v>47119</v>
      </c>
      <c r="E1373" s="77">
        <f>IF(N($J$1372)=0,$F$1373-($G$1373-$F$1373)/($C$1373-$B$1373)*($B$1373-$A$1373),$J$1372)</f>
        <v>0.84</v>
      </c>
      <c r="F1373" s="77">
        <f>$G$1372</f>
        <v>0.84</v>
      </c>
      <c r="G1373" s="77">
        <f>$I$1372</f>
        <v>0.84</v>
      </c>
      <c r="H1373" s="77">
        <f>IF(N($K$1372)=0,$I$1372,$K$1372)</f>
        <v>0.84</v>
      </c>
      <c r="I1373" s="77">
        <f>($F$1373-$E$1373)/($B$1373-$A$1373)</f>
        <v>0</v>
      </c>
      <c r="J1373" s="77">
        <f>($G$1373-$F$1373)/($C$1373-$B$1373)</f>
        <v>0</v>
      </c>
      <c r="K1373" s="77">
        <f>($H$1373-$G$1373)/($D$1373-$C$1373)</f>
        <v>0</v>
      </c>
    </row>
    <row r="1374" spans="1:21" ht="24" x14ac:dyDescent="0.25">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25">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0.84</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0.9882352941176471</v>
      </c>
      <c r="T1375" s="72">
        <f t="shared" ref="T1375:T1422" si="531">IF($G1375&lt;nr_MStartP,$S1375,$T1363*(1+IF($G1375&lt;nr_MStartP1,$M$1372,$N$1372)))</f>
        <v>0.9882352941176471</v>
      </c>
      <c r="U1375" s="72">
        <f t="shared" ref="U1375:U1422" si="532">IF($L$1372,$T1375,$N1375)</f>
        <v>1</v>
      </c>
    </row>
    <row r="1376" spans="1:21" x14ac:dyDescent="0.25">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0.84</v>
      </c>
      <c r="P1376" s="72">
        <f t="shared" si="527"/>
        <v>0.125</v>
      </c>
      <c r="Q1376" s="72">
        <f t="shared" si="528"/>
        <v>0</v>
      </c>
      <c r="R1376" s="72">
        <f t="shared" si="529"/>
        <v>0</v>
      </c>
      <c r="S1376" s="72">
        <f t="shared" si="530"/>
        <v>0.9882352941176471</v>
      </c>
      <c r="T1376" s="72">
        <f t="shared" si="531"/>
        <v>0.9882352941176471</v>
      </c>
      <c r="U1376" s="72">
        <f t="shared" si="532"/>
        <v>1</v>
      </c>
    </row>
    <row r="1377" spans="1:21" x14ac:dyDescent="0.25">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0.84</v>
      </c>
      <c r="P1377" s="72">
        <f t="shared" si="527"/>
        <v>0.20833333333333337</v>
      </c>
      <c r="Q1377" s="72">
        <f t="shared" si="528"/>
        <v>0</v>
      </c>
      <c r="R1377" s="72">
        <f t="shared" si="529"/>
        <v>0</v>
      </c>
      <c r="S1377" s="72">
        <f t="shared" si="530"/>
        <v>0.9882352941176471</v>
      </c>
      <c r="T1377" s="72">
        <f t="shared" si="531"/>
        <v>0.9882352941176471</v>
      </c>
      <c r="U1377" s="72">
        <f t="shared" si="532"/>
        <v>1</v>
      </c>
    </row>
    <row r="1378" spans="1:21" x14ac:dyDescent="0.25">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0.84</v>
      </c>
      <c r="P1378" s="72">
        <f t="shared" si="527"/>
        <v>0.29166666666666663</v>
      </c>
      <c r="Q1378" s="72">
        <f t="shared" si="528"/>
        <v>0</v>
      </c>
      <c r="R1378" s="72">
        <f t="shared" si="529"/>
        <v>0</v>
      </c>
      <c r="S1378" s="72">
        <f t="shared" si="530"/>
        <v>0.9882352941176471</v>
      </c>
      <c r="T1378" s="72">
        <f t="shared" si="531"/>
        <v>0.9882352941176471</v>
      </c>
      <c r="U1378" s="72">
        <f t="shared" si="532"/>
        <v>1</v>
      </c>
    </row>
    <row r="1379" spans="1:21" x14ac:dyDescent="0.25">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0.84</v>
      </c>
      <c r="P1379" s="72">
        <f t="shared" si="527"/>
        <v>0.375</v>
      </c>
      <c r="Q1379" s="72">
        <f t="shared" si="528"/>
        <v>0</v>
      </c>
      <c r="R1379" s="72">
        <f t="shared" si="529"/>
        <v>0</v>
      </c>
      <c r="S1379" s="72">
        <f t="shared" si="530"/>
        <v>0.9882352941176471</v>
      </c>
      <c r="T1379" s="72">
        <f t="shared" si="531"/>
        <v>0.9882352941176471</v>
      </c>
      <c r="U1379" s="72">
        <f t="shared" si="532"/>
        <v>1</v>
      </c>
    </row>
    <row r="1380" spans="1:21" x14ac:dyDescent="0.25">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0.84</v>
      </c>
      <c r="P1380" s="72">
        <f t="shared" si="527"/>
        <v>0.45833333333333337</v>
      </c>
      <c r="Q1380" s="72">
        <f t="shared" si="528"/>
        <v>0</v>
      </c>
      <c r="R1380" s="72">
        <f t="shared" si="529"/>
        <v>0</v>
      </c>
      <c r="S1380" s="72">
        <f t="shared" si="530"/>
        <v>0.9882352941176471</v>
      </c>
      <c r="T1380" s="72">
        <f t="shared" si="531"/>
        <v>0.9882352941176471</v>
      </c>
      <c r="U1380" s="72">
        <f t="shared" si="532"/>
        <v>1</v>
      </c>
    </row>
    <row r="1381" spans="1:21" x14ac:dyDescent="0.25">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0.84</v>
      </c>
      <c r="P1381" s="72">
        <f t="shared" si="527"/>
        <v>0.54166666666666674</v>
      </c>
      <c r="Q1381" s="72">
        <f t="shared" si="528"/>
        <v>0</v>
      </c>
      <c r="R1381" s="72">
        <f t="shared" si="529"/>
        <v>0</v>
      </c>
      <c r="S1381" s="72">
        <f t="shared" si="530"/>
        <v>0.9882352941176471</v>
      </c>
      <c r="T1381" s="72">
        <f t="shared" si="531"/>
        <v>0.9882352941176471</v>
      </c>
      <c r="U1381" s="72">
        <f t="shared" si="532"/>
        <v>1</v>
      </c>
    </row>
    <row r="1382" spans="1:21" x14ac:dyDescent="0.25">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0.84</v>
      </c>
      <c r="P1382" s="72">
        <f t="shared" si="527"/>
        <v>0.625</v>
      </c>
      <c r="Q1382" s="72">
        <f t="shared" si="528"/>
        <v>0</v>
      </c>
      <c r="R1382" s="72">
        <f t="shared" si="529"/>
        <v>0</v>
      </c>
      <c r="S1382" s="72">
        <f t="shared" si="530"/>
        <v>0.9882352941176471</v>
      </c>
      <c r="T1382" s="72">
        <f t="shared" si="531"/>
        <v>0.9882352941176471</v>
      </c>
      <c r="U1382" s="72">
        <f t="shared" si="532"/>
        <v>1</v>
      </c>
    </row>
    <row r="1383" spans="1:21" x14ac:dyDescent="0.25">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0.84</v>
      </c>
      <c r="P1383" s="72">
        <f t="shared" si="527"/>
        <v>0.70833333333333326</v>
      </c>
      <c r="Q1383" s="72">
        <f t="shared" si="528"/>
        <v>0</v>
      </c>
      <c r="R1383" s="72">
        <f t="shared" si="529"/>
        <v>0</v>
      </c>
      <c r="S1383" s="72">
        <f t="shared" si="530"/>
        <v>0.9882352941176471</v>
      </c>
      <c r="T1383" s="72">
        <f t="shared" si="531"/>
        <v>0.9882352941176471</v>
      </c>
      <c r="U1383" s="72">
        <f t="shared" si="532"/>
        <v>1</v>
      </c>
    </row>
    <row r="1384" spans="1:21" x14ac:dyDescent="0.25">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0.84</v>
      </c>
      <c r="P1384" s="72">
        <f t="shared" si="527"/>
        <v>0.79166666666666663</v>
      </c>
      <c r="Q1384" s="72">
        <f t="shared" si="528"/>
        <v>0</v>
      </c>
      <c r="R1384" s="72">
        <f t="shared" si="529"/>
        <v>0</v>
      </c>
      <c r="S1384" s="72">
        <f t="shared" si="530"/>
        <v>0.9882352941176471</v>
      </c>
      <c r="T1384" s="72">
        <f t="shared" si="531"/>
        <v>0.9882352941176471</v>
      </c>
      <c r="U1384" s="72">
        <f t="shared" si="532"/>
        <v>1</v>
      </c>
    </row>
    <row r="1385" spans="1:21" x14ac:dyDescent="0.25">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0.84</v>
      </c>
      <c r="P1385" s="72">
        <f t="shared" si="527"/>
        <v>0.875</v>
      </c>
      <c r="Q1385" s="72">
        <f t="shared" si="528"/>
        <v>0</v>
      </c>
      <c r="R1385" s="72">
        <f t="shared" si="529"/>
        <v>0</v>
      </c>
      <c r="S1385" s="72">
        <f t="shared" si="530"/>
        <v>0.9882352941176471</v>
      </c>
      <c r="T1385" s="72">
        <f t="shared" si="531"/>
        <v>0.9882352941176471</v>
      </c>
      <c r="U1385" s="72">
        <f t="shared" si="532"/>
        <v>1</v>
      </c>
    </row>
    <row r="1386" spans="1:21" x14ac:dyDescent="0.25">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0.84</v>
      </c>
      <c r="P1386" s="72">
        <f t="shared" si="527"/>
        <v>0.95833333333333337</v>
      </c>
      <c r="Q1386" s="72">
        <f t="shared" si="528"/>
        <v>0</v>
      </c>
      <c r="R1386" s="72">
        <f t="shared" si="529"/>
        <v>0</v>
      </c>
      <c r="S1386" s="72">
        <f t="shared" si="530"/>
        <v>0.9882352941176471</v>
      </c>
      <c r="T1386" s="72">
        <f t="shared" si="531"/>
        <v>0.9882352941176471</v>
      </c>
      <c r="U1386" s="72">
        <f t="shared" si="532"/>
        <v>1</v>
      </c>
    </row>
    <row r="1387" spans="1:21" x14ac:dyDescent="0.25">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0.84</v>
      </c>
      <c r="P1387" s="72">
        <f t="shared" si="527"/>
        <v>0.95833333333333337</v>
      </c>
      <c r="Q1387" s="72">
        <f t="shared" si="528"/>
        <v>4.166666666666663E-2</v>
      </c>
      <c r="R1387" s="72">
        <f t="shared" si="529"/>
        <v>0</v>
      </c>
      <c r="S1387" s="72">
        <f t="shared" si="530"/>
        <v>0.9882352941176471</v>
      </c>
      <c r="T1387" s="72">
        <f t="shared" si="531"/>
        <v>0.9882352941176471</v>
      </c>
      <c r="U1387" s="72">
        <f t="shared" si="532"/>
        <v>1</v>
      </c>
    </row>
    <row r="1388" spans="1:21" x14ac:dyDescent="0.25">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0.84</v>
      </c>
      <c r="P1388" s="72">
        <f t="shared" si="527"/>
        <v>0.875</v>
      </c>
      <c r="Q1388" s="72">
        <f t="shared" si="528"/>
        <v>0.125</v>
      </c>
      <c r="R1388" s="72">
        <f t="shared" si="529"/>
        <v>0</v>
      </c>
      <c r="S1388" s="72">
        <f t="shared" si="530"/>
        <v>0.9882352941176471</v>
      </c>
      <c r="T1388" s="72">
        <f t="shared" si="531"/>
        <v>0.9882352941176471</v>
      </c>
      <c r="U1388" s="72">
        <f t="shared" si="532"/>
        <v>1</v>
      </c>
    </row>
    <row r="1389" spans="1:21" x14ac:dyDescent="0.25">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0.84</v>
      </c>
      <c r="P1389" s="72">
        <f t="shared" si="527"/>
        <v>0.79166666666666663</v>
      </c>
      <c r="Q1389" s="72">
        <f t="shared" si="528"/>
        <v>0.20833333333333337</v>
      </c>
      <c r="R1389" s="72">
        <f t="shared" si="529"/>
        <v>0</v>
      </c>
      <c r="S1389" s="72">
        <f t="shared" si="530"/>
        <v>0.9882352941176471</v>
      </c>
      <c r="T1389" s="72">
        <f t="shared" si="531"/>
        <v>0.9882352941176471</v>
      </c>
      <c r="U1389" s="72">
        <f t="shared" si="532"/>
        <v>1</v>
      </c>
    </row>
    <row r="1390" spans="1:21" x14ac:dyDescent="0.25">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0.84</v>
      </c>
      <c r="P1390" s="72">
        <f t="shared" si="527"/>
        <v>0.70833333333333337</v>
      </c>
      <c r="Q1390" s="72">
        <f t="shared" si="528"/>
        <v>0.29166666666666663</v>
      </c>
      <c r="R1390" s="72">
        <f t="shared" si="529"/>
        <v>0</v>
      </c>
      <c r="S1390" s="72">
        <f t="shared" si="530"/>
        <v>0.9882352941176471</v>
      </c>
      <c r="T1390" s="72">
        <f t="shared" si="531"/>
        <v>0.9882352941176471</v>
      </c>
      <c r="U1390" s="72">
        <f t="shared" si="532"/>
        <v>1</v>
      </c>
    </row>
    <row r="1391" spans="1:21" x14ac:dyDescent="0.25">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0.84</v>
      </c>
      <c r="P1391" s="72">
        <f t="shared" si="527"/>
        <v>0.625</v>
      </c>
      <c r="Q1391" s="72">
        <f t="shared" si="528"/>
        <v>0.375</v>
      </c>
      <c r="R1391" s="72">
        <f t="shared" si="529"/>
        <v>0</v>
      </c>
      <c r="S1391" s="72">
        <f t="shared" si="530"/>
        <v>0.9882352941176471</v>
      </c>
      <c r="T1391" s="72">
        <f t="shared" si="531"/>
        <v>0.9882352941176471</v>
      </c>
      <c r="U1391" s="72">
        <f t="shared" si="532"/>
        <v>1</v>
      </c>
    </row>
    <row r="1392" spans="1:21" x14ac:dyDescent="0.25">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0.84</v>
      </c>
      <c r="P1392" s="72">
        <f t="shared" si="527"/>
        <v>0.54166666666666663</v>
      </c>
      <c r="Q1392" s="72">
        <f t="shared" si="528"/>
        <v>0.45833333333333337</v>
      </c>
      <c r="R1392" s="72">
        <f t="shared" si="529"/>
        <v>0</v>
      </c>
      <c r="S1392" s="72">
        <f t="shared" si="530"/>
        <v>0.9882352941176471</v>
      </c>
      <c r="T1392" s="72">
        <f t="shared" si="531"/>
        <v>0.9882352941176471</v>
      </c>
      <c r="U1392" s="72">
        <f t="shared" si="532"/>
        <v>1</v>
      </c>
    </row>
    <row r="1393" spans="1:21" x14ac:dyDescent="0.25">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0.84</v>
      </c>
      <c r="P1393" s="72">
        <f t="shared" si="527"/>
        <v>0.45833333333333331</v>
      </c>
      <c r="Q1393" s="72">
        <f t="shared" si="528"/>
        <v>0.54166666666666674</v>
      </c>
      <c r="R1393" s="72">
        <f t="shared" si="529"/>
        <v>0</v>
      </c>
      <c r="S1393" s="72">
        <f t="shared" si="530"/>
        <v>0.9882352941176471</v>
      </c>
      <c r="T1393" s="72">
        <f t="shared" si="531"/>
        <v>0.9882352941176471</v>
      </c>
      <c r="U1393" s="72">
        <f t="shared" si="532"/>
        <v>1</v>
      </c>
    </row>
    <row r="1394" spans="1:21" x14ac:dyDescent="0.25">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0.84</v>
      </c>
      <c r="P1394" s="72">
        <f t="shared" si="527"/>
        <v>0.375</v>
      </c>
      <c r="Q1394" s="72">
        <f t="shared" si="528"/>
        <v>0.625</v>
      </c>
      <c r="R1394" s="72">
        <f t="shared" si="529"/>
        <v>0</v>
      </c>
      <c r="S1394" s="72">
        <f t="shared" si="530"/>
        <v>0.9882352941176471</v>
      </c>
      <c r="T1394" s="72">
        <f t="shared" si="531"/>
        <v>0.9882352941176471</v>
      </c>
      <c r="U1394" s="72">
        <f t="shared" si="532"/>
        <v>1</v>
      </c>
    </row>
    <row r="1395" spans="1:21" x14ac:dyDescent="0.25">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0.84</v>
      </c>
      <c r="P1395" s="72">
        <f t="shared" si="527"/>
        <v>0.29166666666666669</v>
      </c>
      <c r="Q1395" s="72">
        <f t="shared" si="528"/>
        <v>0.70833333333333326</v>
      </c>
      <c r="R1395" s="72">
        <f t="shared" si="529"/>
        <v>0</v>
      </c>
      <c r="S1395" s="72">
        <f t="shared" si="530"/>
        <v>0.9882352941176471</v>
      </c>
      <c r="T1395" s="72">
        <f t="shared" si="531"/>
        <v>0.9882352941176471</v>
      </c>
      <c r="U1395" s="72">
        <f t="shared" si="532"/>
        <v>1</v>
      </c>
    </row>
    <row r="1396" spans="1:21" x14ac:dyDescent="0.25">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0.84</v>
      </c>
      <c r="P1396" s="72">
        <f t="shared" si="527"/>
        <v>0.20833333333333334</v>
      </c>
      <c r="Q1396" s="72">
        <f t="shared" si="528"/>
        <v>0.79166666666666663</v>
      </c>
      <c r="R1396" s="72">
        <f t="shared" si="529"/>
        <v>0</v>
      </c>
      <c r="S1396" s="72">
        <f t="shared" si="530"/>
        <v>1.0672941176470589</v>
      </c>
      <c r="T1396" s="72">
        <f t="shared" si="531"/>
        <v>1.0672941176470589</v>
      </c>
      <c r="U1396" s="72">
        <f t="shared" si="532"/>
        <v>1.08</v>
      </c>
    </row>
    <row r="1397" spans="1:21" x14ac:dyDescent="0.25">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0.84</v>
      </c>
      <c r="P1397" s="72">
        <f t="shared" si="527"/>
        <v>0.125</v>
      </c>
      <c r="Q1397" s="72">
        <f t="shared" si="528"/>
        <v>0.875</v>
      </c>
      <c r="R1397" s="72">
        <f t="shared" si="529"/>
        <v>0</v>
      </c>
      <c r="S1397" s="72">
        <f t="shared" si="530"/>
        <v>1.0672941176470589</v>
      </c>
      <c r="T1397" s="72">
        <f t="shared" si="531"/>
        <v>1.0672941176470589</v>
      </c>
      <c r="U1397" s="72">
        <f t="shared" si="532"/>
        <v>1.08</v>
      </c>
    </row>
    <row r="1398" spans="1:21" x14ac:dyDescent="0.25">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0.84</v>
      </c>
      <c r="P1398" s="72">
        <f t="shared" si="527"/>
        <v>4.1666666666666664E-2</v>
      </c>
      <c r="Q1398" s="72">
        <f t="shared" si="528"/>
        <v>0.95833333333333337</v>
      </c>
      <c r="R1398" s="72">
        <f t="shared" si="529"/>
        <v>0</v>
      </c>
      <c r="S1398" s="72">
        <f t="shared" si="530"/>
        <v>1.0672941176470589</v>
      </c>
      <c r="T1398" s="72">
        <f t="shared" si="531"/>
        <v>1.0672941176470589</v>
      </c>
      <c r="U1398" s="72">
        <f t="shared" si="532"/>
        <v>1.08</v>
      </c>
    </row>
    <row r="1399" spans="1:21" x14ac:dyDescent="0.25">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0.84</v>
      </c>
      <c r="P1399" s="72">
        <f t="shared" si="527"/>
        <v>0</v>
      </c>
      <c r="Q1399" s="72">
        <f t="shared" si="528"/>
        <v>0.95833333333333337</v>
      </c>
      <c r="R1399" s="72">
        <f t="shared" si="529"/>
        <v>4.166666666666663E-2</v>
      </c>
      <c r="S1399" s="72">
        <f t="shared" si="530"/>
        <v>1.0672941176470589</v>
      </c>
      <c r="T1399" s="72">
        <f t="shared" si="531"/>
        <v>0.9882352941176471</v>
      </c>
      <c r="U1399" s="72">
        <f t="shared" si="532"/>
        <v>1.08</v>
      </c>
    </row>
    <row r="1400" spans="1:21" x14ac:dyDescent="0.25">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0.84</v>
      </c>
      <c r="P1400" s="72">
        <f t="shared" si="527"/>
        <v>0</v>
      </c>
      <c r="Q1400" s="72">
        <f t="shared" si="528"/>
        <v>0.875</v>
      </c>
      <c r="R1400" s="72">
        <f t="shared" si="529"/>
        <v>0.125</v>
      </c>
      <c r="S1400" s="72">
        <f t="shared" si="530"/>
        <v>1.0672941176470589</v>
      </c>
      <c r="T1400" s="72">
        <f t="shared" si="531"/>
        <v>0.9882352941176471</v>
      </c>
      <c r="U1400" s="72">
        <f t="shared" si="532"/>
        <v>1.08</v>
      </c>
    </row>
    <row r="1401" spans="1:21" x14ac:dyDescent="0.25">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0.84</v>
      </c>
      <c r="P1401" s="72">
        <f t="shared" si="527"/>
        <v>0</v>
      </c>
      <c r="Q1401" s="72">
        <f t="shared" si="528"/>
        <v>0.79166666666666663</v>
      </c>
      <c r="R1401" s="72">
        <f t="shared" si="529"/>
        <v>0.20833333333333337</v>
      </c>
      <c r="S1401" s="72">
        <f t="shared" si="530"/>
        <v>1.1185242352941178</v>
      </c>
      <c r="T1401" s="72">
        <f t="shared" si="531"/>
        <v>0.9882352941176471</v>
      </c>
      <c r="U1401" s="72">
        <f t="shared" si="532"/>
        <v>1.1318400000000002</v>
      </c>
    </row>
    <row r="1402" spans="1:21" x14ac:dyDescent="0.25">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0.84</v>
      </c>
      <c r="P1402" s="72">
        <f t="shared" si="527"/>
        <v>0</v>
      </c>
      <c r="Q1402" s="72">
        <f t="shared" si="528"/>
        <v>0.70833333333333337</v>
      </c>
      <c r="R1402" s="72">
        <f t="shared" si="529"/>
        <v>0.29166666666666663</v>
      </c>
      <c r="S1402" s="72">
        <f t="shared" si="530"/>
        <v>1.1185242352941178</v>
      </c>
      <c r="T1402" s="72">
        <f t="shared" si="531"/>
        <v>0.9882352941176471</v>
      </c>
      <c r="U1402" s="72">
        <f t="shared" si="532"/>
        <v>1.1318400000000002</v>
      </c>
    </row>
    <row r="1403" spans="1:21" x14ac:dyDescent="0.25">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0.84</v>
      </c>
      <c r="P1403" s="72">
        <f t="shared" si="527"/>
        <v>0</v>
      </c>
      <c r="Q1403" s="72">
        <f t="shared" si="528"/>
        <v>0.625</v>
      </c>
      <c r="R1403" s="72">
        <f t="shared" si="529"/>
        <v>0.375</v>
      </c>
      <c r="S1403" s="72">
        <f t="shared" si="530"/>
        <v>1.1185242352941178</v>
      </c>
      <c r="T1403" s="72">
        <f t="shared" si="531"/>
        <v>0.9882352941176471</v>
      </c>
      <c r="U1403" s="72">
        <f t="shared" si="532"/>
        <v>1.1318400000000002</v>
      </c>
    </row>
    <row r="1404" spans="1:21" x14ac:dyDescent="0.25">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0.84</v>
      </c>
      <c r="P1404" s="72">
        <f t="shared" si="527"/>
        <v>0</v>
      </c>
      <c r="Q1404" s="72">
        <f t="shared" si="528"/>
        <v>0.54166666666666663</v>
      </c>
      <c r="R1404" s="72">
        <f t="shared" si="529"/>
        <v>0.45833333333333337</v>
      </c>
      <c r="S1404" s="72">
        <f t="shared" si="530"/>
        <v>1.1185242352941178</v>
      </c>
      <c r="T1404" s="72">
        <f t="shared" si="531"/>
        <v>0.9882352941176471</v>
      </c>
      <c r="U1404" s="72">
        <f t="shared" si="532"/>
        <v>1.1318400000000002</v>
      </c>
    </row>
    <row r="1405" spans="1:21" x14ac:dyDescent="0.25">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0.84</v>
      </c>
      <c r="P1405" s="72">
        <f t="shared" si="527"/>
        <v>0</v>
      </c>
      <c r="Q1405" s="72">
        <f t="shared" si="528"/>
        <v>0.45833333333333331</v>
      </c>
      <c r="R1405" s="72">
        <f t="shared" si="529"/>
        <v>0.54166666666666674</v>
      </c>
      <c r="S1405" s="72">
        <f t="shared" si="530"/>
        <v>1.1185242352941178</v>
      </c>
      <c r="T1405" s="72">
        <f t="shared" si="531"/>
        <v>0.9882352941176471</v>
      </c>
      <c r="U1405" s="72">
        <f t="shared" si="532"/>
        <v>1.1318400000000002</v>
      </c>
    </row>
    <row r="1406" spans="1:21" x14ac:dyDescent="0.25">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0.84</v>
      </c>
      <c r="P1406" s="72">
        <f t="shared" si="527"/>
        <v>0</v>
      </c>
      <c r="Q1406" s="72">
        <f t="shared" si="528"/>
        <v>0.375</v>
      </c>
      <c r="R1406" s="72">
        <f t="shared" si="529"/>
        <v>0.625</v>
      </c>
      <c r="S1406" s="72">
        <f t="shared" si="530"/>
        <v>1.1185242352941178</v>
      </c>
      <c r="T1406" s="72">
        <f t="shared" si="531"/>
        <v>0.9882352941176471</v>
      </c>
      <c r="U1406" s="72">
        <f t="shared" si="532"/>
        <v>1.1318400000000002</v>
      </c>
    </row>
    <row r="1407" spans="1:21" x14ac:dyDescent="0.25">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0.84</v>
      </c>
      <c r="P1407" s="72">
        <f t="shared" si="527"/>
        <v>0</v>
      </c>
      <c r="Q1407" s="72">
        <f t="shared" si="528"/>
        <v>0.29166666666666669</v>
      </c>
      <c r="R1407" s="72">
        <f t="shared" si="529"/>
        <v>0.70833333333333326</v>
      </c>
      <c r="S1407" s="72">
        <f t="shared" si="530"/>
        <v>1.1185242352941178</v>
      </c>
      <c r="T1407" s="72">
        <f t="shared" si="531"/>
        <v>0.9882352941176471</v>
      </c>
      <c r="U1407" s="72">
        <f t="shared" si="532"/>
        <v>1.1318400000000002</v>
      </c>
    </row>
    <row r="1408" spans="1:21" x14ac:dyDescent="0.25">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0.84</v>
      </c>
      <c r="P1408" s="72">
        <f t="shared" si="527"/>
        <v>0</v>
      </c>
      <c r="Q1408" s="72">
        <f t="shared" si="528"/>
        <v>0.20833333333333334</v>
      </c>
      <c r="R1408" s="72">
        <f t="shared" si="529"/>
        <v>0.79166666666666663</v>
      </c>
      <c r="S1408" s="72">
        <f t="shared" si="530"/>
        <v>1.1185242352941178</v>
      </c>
      <c r="T1408" s="72">
        <f t="shared" si="531"/>
        <v>1.0672941176470589</v>
      </c>
      <c r="U1408" s="72">
        <f t="shared" si="532"/>
        <v>1.1318400000000002</v>
      </c>
    </row>
    <row r="1409" spans="1:21" x14ac:dyDescent="0.25">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0.84</v>
      </c>
      <c r="P1409" s="72">
        <f t="shared" si="527"/>
        <v>0</v>
      </c>
      <c r="Q1409" s="72">
        <f t="shared" si="528"/>
        <v>0.125</v>
      </c>
      <c r="R1409" s="72">
        <f t="shared" si="529"/>
        <v>0.875</v>
      </c>
      <c r="S1409" s="72">
        <f t="shared" si="530"/>
        <v>1.1185242352941178</v>
      </c>
      <c r="T1409" s="72">
        <f t="shared" si="531"/>
        <v>1.0672941176470589</v>
      </c>
      <c r="U1409" s="72">
        <f t="shared" si="532"/>
        <v>1.1318400000000002</v>
      </c>
    </row>
    <row r="1410" spans="1:21" x14ac:dyDescent="0.25">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0.84</v>
      </c>
      <c r="P1410" s="72">
        <f t="shared" si="527"/>
        <v>0</v>
      </c>
      <c r="Q1410" s="72">
        <f t="shared" si="528"/>
        <v>4.1666666666666664E-2</v>
      </c>
      <c r="R1410" s="72">
        <f t="shared" si="529"/>
        <v>0.95833333333333337</v>
      </c>
      <c r="S1410" s="72">
        <f t="shared" si="530"/>
        <v>1.1185242352941178</v>
      </c>
      <c r="T1410" s="72">
        <f t="shared" si="531"/>
        <v>1.0672941176470589</v>
      </c>
      <c r="U1410" s="72">
        <f t="shared" si="532"/>
        <v>1.1318400000000002</v>
      </c>
    </row>
    <row r="1411" spans="1:21" x14ac:dyDescent="0.25">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0.84</v>
      </c>
      <c r="P1411" s="72">
        <f t="shared" si="527"/>
        <v>0</v>
      </c>
      <c r="Q1411" s="72">
        <f t="shared" si="528"/>
        <v>0</v>
      </c>
      <c r="R1411" s="72">
        <f t="shared" si="529"/>
        <v>0.95833333333333337</v>
      </c>
      <c r="S1411" s="72">
        <f t="shared" si="530"/>
        <v>1.1185242352941178</v>
      </c>
      <c r="T1411" s="72">
        <f t="shared" si="531"/>
        <v>0.9882352941176471</v>
      </c>
      <c r="U1411" s="72">
        <f t="shared" si="532"/>
        <v>1.1318400000000002</v>
      </c>
    </row>
    <row r="1412" spans="1:21" x14ac:dyDescent="0.25">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0.84</v>
      </c>
      <c r="P1412" s="72">
        <f t="shared" si="527"/>
        <v>0</v>
      </c>
      <c r="Q1412" s="72">
        <f t="shared" si="528"/>
        <v>0</v>
      </c>
      <c r="R1412" s="72">
        <f t="shared" si="529"/>
        <v>0.875</v>
      </c>
      <c r="S1412" s="72">
        <f t="shared" si="530"/>
        <v>1.1185242352941178</v>
      </c>
      <c r="T1412" s="72">
        <f t="shared" si="531"/>
        <v>0.9882352941176471</v>
      </c>
      <c r="U1412" s="72">
        <f t="shared" si="532"/>
        <v>1.1318400000000002</v>
      </c>
    </row>
    <row r="1413" spans="1:21" x14ac:dyDescent="0.25">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0.84</v>
      </c>
      <c r="P1413" s="72">
        <f t="shared" si="527"/>
        <v>0</v>
      </c>
      <c r="Q1413" s="72">
        <f t="shared" si="528"/>
        <v>0</v>
      </c>
      <c r="R1413" s="72">
        <f t="shared" si="529"/>
        <v>0.79166666666666663</v>
      </c>
      <c r="S1413" s="72">
        <f t="shared" si="530"/>
        <v>1.1185242352941178</v>
      </c>
      <c r="T1413" s="72">
        <f t="shared" si="531"/>
        <v>0.9882352941176471</v>
      </c>
      <c r="U1413" s="72">
        <f t="shared" si="532"/>
        <v>1.1318400000000002</v>
      </c>
    </row>
    <row r="1414" spans="1:21" x14ac:dyDescent="0.25">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0.84</v>
      </c>
      <c r="P1414" s="72">
        <f t="shared" si="527"/>
        <v>0</v>
      </c>
      <c r="Q1414" s="72">
        <f t="shared" si="528"/>
        <v>0</v>
      </c>
      <c r="R1414" s="72">
        <f t="shared" si="529"/>
        <v>0.70833333333333337</v>
      </c>
      <c r="S1414" s="72">
        <f t="shared" si="530"/>
        <v>1.1185242352941178</v>
      </c>
      <c r="T1414" s="72">
        <f t="shared" si="531"/>
        <v>0.9882352941176471</v>
      </c>
      <c r="U1414" s="72">
        <f t="shared" si="532"/>
        <v>1.1318400000000002</v>
      </c>
    </row>
    <row r="1415" spans="1:21" x14ac:dyDescent="0.25">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0.84</v>
      </c>
      <c r="P1415" s="72">
        <f t="shared" si="527"/>
        <v>0</v>
      </c>
      <c r="Q1415" s="72">
        <f t="shared" si="528"/>
        <v>0</v>
      </c>
      <c r="R1415" s="72">
        <f t="shared" si="529"/>
        <v>0.625</v>
      </c>
      <c r="S1415" s="72">
        <f t="shared" si="530"/>
        <v>1.1185242352941178</v>
      </c>
      <c r="T1415" s="72">
        <f t="shared" si="531"/>
        <v>0.9882352941176471</v>
      </c>
      <c r="U1415" s="72">
        <f t="shared" si="532"/>
        <v>1.1318400000000002</v>
      </c>
    </row>
    <row r="1416" spans="1:21" x14ac:dyDescent="0.25">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0.84</v>
      </c>
      <c r="P1416" s="72">
        <f t="shared" si="527"/>
        <v>0</v>
      </c>
      <c r="Q1416" s="72">
        <f t="shared" si="528"/>
        <v>0</v>
      </c>
      <c r="R1416" s="72">
        <f t="shared" si="529"/>
        <v>0.54166666666666663</v>
      </c>
      <c r="S1416" s="72">
        <f t="shared" si="530"/>
        <v>1.1185242352941178</v>
      </c>
      <c r="T1416" s="72">
        <f t="shared" si="531"/>
        <v>0.9882352941176471</v>
      </c>
      <c r="U1416" s="72">
        <f t="shared" si="532"/>
        <v>1.1318400000000002</v>
      </c>
    </row>
    <row r="1417" spans="1:21" x14ac:dyDescent="0.25">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0.84</v>
      </c>
      <c r="P1417" s="72">
        <f t="shared" si="527"/>
        <v>0</v>
      </c>
      <c r="Q1417" s="72">
        <f t="shared" si="528"/>
        <v>0</v>
      </c>
      <c r="R1417" s="72">
        <f t="shared" si="529"/>
        <v>0.45833333333333331</v>
      </c>
      <c r="S1417" s="72">
        <f t="shared" si="530"/>
        <v>1.1185242352941178</v>
      </c>
      <c r="T1417" s="72">
        <f t="shared" si="531"/>
        <v>0.9882352941176471</v>
      </c>
      <c r="U1417" s="72">
        <f t="shared" si="532"/>
        <v>1.1318400000000002</v>
      </c>
    </row>
    <row r="1418" spans="1:21" x14ac:dyDescent="0.25">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0.84</v>
      </c>
      <c r="P1418" s="72">
        <f t="shared" si="527"/>
        <v>0</v>
      </c>
      <c r="Q1418" s="72">
        <f t="shared" si="528"/>
        <v>0</v>
      </c>
      <c r="R1418" s="72">
        <f t="shared" si="529"/>
        <v>0.375</v>
      </c>
      <c r="S1418" s="72">
        <f t="shared" si="530"/>
        <v>1.1185242352941178</v>
      </c>
      <c r="T1418" s="72">
        <f t="shared" si="531"/>
        <v>0.9882352941176471</v>
      </c>
      <c r="U1418" s="72">
        <f t="shared" si="532"/>
        <v>1.1318400000000002</v>
      </c>
    </row>
    <row r="1419" spans="1:21" x14ac:dyDescent="0.25">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0.84</v>
      </c>
      <c r="P1419" s="72">
        <f t="shared" si="527"/>
        <v>0</v>
      </c>
      <c r="Q1419" s="72">
        <f t="shared" si="528"/>
        <v>0</v>
      </c>
      <c r="R1419" s="72">
        <f t="shared" si="529"/>
        <v>0.29166666666666669</v>
      </c>
      <c r="S1419" s="72">
        <f t="shared" si="530"/>
        <v>1.1185242352941178</v>
      </c>
      <c r="T1419" s="72">
        <f t="shared" si="531"/>
        <v>0.9882352941176471</v>
      </c>
      <c r="U1419" s="72">
        <f t="shared" si="532"/>
        <v>1.1318400000000002</v>
      </c>
    </row>
    <row r="1420" spans="1:21" x14ac:dyDescent="0.25">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0.84</v>
      </c>
      <c r="P1420" s="72">
        <f t="shared" si="527"/>
        <v>0</v>
      </c>
      <c r="Q1420" s="72">
        <f t="shared" si="528"/>
        <v>0</v>
      </c>
      <c r="R1420" s="72">
        <f t="shared" si="529"/>
        <v>0.20833333333333334</v>
      </c>
      <c r="S1420" s="72">
        <f t="shared" si="530"/>
        <v>1.1185242352941178</v>
      </c>
      <c r="T1420" s="72">
        <f t="shared" si="531"/>
        <v>1.0672941176470589</v>
      </c>
      <c r="U1420" s="72">
        <f t="shared" si="532"/>
        <v>1.1318400000000002</v>
      </c>
    </row>
    <row r="1421" spans="1:21" x14ac:dyDescent="0.25">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0.84</v>
      </c>
      <c r="P1421" s="72">
        <f t="shared" si="527"/>
        <v>0</v>
      </c>
      <c r="Q1421" s="72">
        <f t="shared" si="528"/>
        <v>0</v>
      </c>
      <c r="R1421" s="72">
        <f t="shared" si="529"/>
        <v>0.125</v>
      </c>
      <c r="S1421" s="72">
        <f t="shared" si="530"/>
        <v>1.1185242352941178</v>
      </c>
      <c r="T1421" s="72">
        <f t="shared" si="531"/>
        <v>1.0672941176470589</v>
      </c>
      <c r="U1421" s="72">
        <f t="shared" si="532"/>
        <v>1.1318400000000002</v>
      </c>
    </row>
    <row r="1422" spans="1:21" x14ac:dyDescent="0.25">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0.84</v>
      </c>
      <c r="P1422" s="72">
        <f t="shared" si="527"/>
        <v>0</v>
      </c>
      <c r="Q1422" s="72">
        <f t="shared" si="528"/>
        <v>0</v>
      </c>
      <c r="R1422" s="72">
        <f t="shared" si="529"/>
        <v>4.1666666666666664E-2</v>
      </c>
      <c r="S1422" s="72">
        <f t="shared" si="530"/>
        <v>1.1185242352941178</v>
      </c>
      <c r="T1422" s="72">
        <f t="shared" si="531"/>
        <v>1.0672941176470589</v>
      </c>
      <c r="U1422" s="72">
        <f t="shared" si="532"/>
        <v>1.1318400000000002</v>
      </c>
    </row>
    <row r="1423" spans="1:21" x14ac:dyDescent="0.25">
      <c r="A1423" s="77" t="s">
        <v>1209</v>
      </c>
      <c r="B1423" s="50">
        <f>EXP(SUMPRODUCT((rl_key=$A$1372)*(rl_cons="Y")*rl_ln1p))</f>
        <v>1.08</v>
      </c>
      <c r="C1423" s="50">
        <f>SUMPRODUCT($H$1375:$H$1422,$P$1375:$P$1422,$U$1375:$U$1422)/SUMPRODUCT($H$1375:$H$1422,$P$1375:$P$1422)</f>
        <v>1.0024999999999999</v>
      </c>
      <c r="D1423" s="50">
        <f>SUMPRODUCT($H$1375:$H$1422,$Q$1375:$Q$1422,$U$1375:$U$1422)/SUMPRODUCT($H$1375:$H$1422,$Q$1375:$Q$1422)</f>
        <v>1.0755000000000001</v>
      </c>
      <c r="E1423" s="50">
        <f>SUMPRODUCT($H$1375:$H$1422,$R$1375:$R$1422,$U$1375:$U$1422)/SUMPRODUCT($H$1375:$H$1422,$R$1375:$R$1422)</f>
        <v>1.1311200000000001</v>
      </c>
      <c r="F1423" s="169">
        <f>SUMPRODUCT($H$1375:$H$1422,$Q$1375:$Q$1422,$O$1375:$O$1422)/SUMPRODUCT($H$1375:$H$1422,$Q$1375:$Q$1422)</f>
        <v>0.84</v>
      </c>
      <c r="G1423" s="169">
        <f>SUMPRODUCT($H$1375:$H$1422,$R$1375:$R$1422,$O$1375:$O$1422)/SUMPRODUCT($H$1375:$H$1422,$R$1375:$R$1422)</f>
        <v>0.84</v>
      </c>
    </row>
    <row r="1426" spans="1:21" x14ac:dyDescent="0.25">
      <c r="A1426" s="77" t="str">
        <f>INDEX(lr_key,26)</f>
        <v>BU-B|FL</v>
      </c>
      <c r="B1426" s="77" t="str">
        <f>INDEX(lr_state,26)</f>
        <v>FL</v>
      </c>
      <c r="C1426" s="52">
        <f>nr_TermMonths</f>
        <v>12</v>
      </c>
      <c r="D1426" s="52">
        <f>IF(COUNTIF(se_state,$B1426)=0,0,MATCH($B1426,se_state,0))</f>
        <v>0</v>
      </c>
      <c r="E1426" s="54">
        <f>IF($D1426=0,0,INDEX(se_sum,$D1426))</f>
        <v>0</v>
      </c>
      <c r="F1426" s="169">
        <f>IF(N(INDEX(lr_mind,26))=0,1,INDEX(lr_mind,26))</f>
        <v>0.85</v>
      </c>
      <c r="G1426" s="169">
        <f>IF(N(INDEX(lr_m0,26))=0,1,INDEX(lr_m0,26))</f>
        <v>0.84</v>
      </c>
      <c r="H1426" s="51">
        <f>IF(N(INDEX(lr_m0asof,26))=0,DATE(nr_PlanYear-1,10,1),INDEX(lr_m0asof,26))</f>
        <v>46295</v>
      </c>
      <c r="I1426" s="169">
        <f>IF(N(INDEX(lr_m1,26))=0,1,INDEX(lr_m1,26))</f>
        <v>0.85499999999999998</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25">
      <c r="A1427" s="77">
        <f>EDATE($H$1426,-12)+1</f>
        <v>45931</v>
      </c>
      <c r="B1427" s="77">
        <f>$H$1426+1</f>
        <v>46296</v>
      </c>
      <c r="C1427" s="77">
        <f>DATE(nr_PlanYear,12,31)+1</f>
        <v>46753</v>
      </c>
      <c r="D1427" s="77">
        <f>DATE(nr_PlanYear+1,12,31)+1</f>
        <v>47119</v>
      </c>
      <c r="E1427" s="77">
        <f>IF(N($J$1426)=0,$F$1427-($G$1427-$F$1427)/($C$1427-$B$1427)*($B$1427-$A$1427),$J$1426)</f>
        <v>0.82801969365426686</v>
      </c>
      <c r="F1427" s="77">
        <f>$G$1426</f>
        <v>0.84</v>
      </c>
      <c r="G1427" s="77">
        <f>$I$1426</f>
        <v>0.85499999999999998</v>
      </c>
      <c r="H1427" s="77">
        <f>IF(N($K$1426)=0,$I$1426,$K$1426)</f>
        <v>0.85499999999999998</v>
      </c>
      <c r="I1427" s="77">
        <f>($F$1427-$E$1427)/($B$1427-$A$1427)</f>
        <v>3.2822757111597549E-5</v>
      </c>
      <c r="J1427" s="77">
        <f>($G$1427-$F$1427)/($C$1427-$B$1427)</f>
        <v>3.2822757111597407E-5</v>
      </c>
      <c r="K1427" s="77">
        <f>($H$1427-$G$1427)/($D$1427-$C$1427)</f>
        <v>0</v>
      </c>
    </row>
    <row r="1428" spans="1:21" ht="24" x14ac:dyDescent="0.25">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25">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0.81956783369803055</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0.96419745140944768</v>
      </c>
      <c r="T1429" s="72">
        <f t="shared" ref="T1429:T1476" si="551">IF($G1429&lt;nr_MStartP,$S1429,$T1417*(1+IF($G1429&lt;nr_MStartP1,$M$1426,$N$1426)))</f>
        <v>0.96419745140944768</v>
      </c>
      <c r="U1429" s="72">
        <f t="shared" ref="U1429:U1476" si="552">IF($L$1426,$T1429,$N1429)</f>
        <v>1</v>
      </c>
    </row>
    <row r="1430" spans="1:21" x14ac:dyDescent="0.25">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0.82053610503282259</v>
      </c>
      <c r="P1430" s="72">
        <f t="shared" si="547"/>
        <v>0.125</v>
      </c>
      <c r="Q1430" s="72">
        <f t="shared" si="548"/>
        <v>0</v>
      </c>
      <c r="R1430" s="72">
        <f t="shared" si="549"/>
        <v>0</v>
      </c>
      <c r="S1430" s="72">
        <f t="shared" si="550"/>
        <v>0.96533659415626194</v>
      </c>
      <c r="T1430" s="72">
        <f t="shared" si="551"/>
        <v>0.96533659415626194</v>
      </c>
      <c r="U1430" s="72">
        <f t="shared" si="552"/>
        <v>1</v>
      </c>
    </row>
    <row r="1431" spans="1:21" x14ac:dyDescent="0.25">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0.82150437636761475</v>
      </c>
      <c r="P1431" s="72">
        <f t="shared" si="547"/>
        <v>0.20833333333333337</v>
      </c>
      <c r="Q1431" s="72">
        <f t="shared" si="548"/>
        <v>0</v>
      </c>
      <c r="R1431" s="72">
        <f t="shared" si="549"/>
        <v>0</v>
      </c>
      <c r="S1431" s="72">
        <f t="shared" si="550"/>
        <v>0.9664757369030762</v>
      </c>
      <c r="T1431" s="72">
        <f t="shared" si="551"/>
        <v>0.9664757369030762</v>
      </c>
      <c r="U1431" s="72">
        <f t="shared" si="552"/>
        <v>1</v>
      </c>
    </row>
    <row r="1432" spans="1:21" x14ac:dyDescent="0.25">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0.8225054704595185</v>
      </c>
      <c r="P1432" s="72">
        <f t="shared" si="547"/>
        <v>0.29166666666666663</v>
      </c>
      <c r="Q1432" s="72">
        <f t="shared" si="548"/>
        <v>0</v>
      </c>
      <c r="R1432" s="72">
        <f t="shared" si="549"/>
        <v>0</v>
      </c>
      <c r="S1432" s="72">
        <f t="shared" si="550"/>
        <v>0.96765349465825712</v>
      </c>
      <c r="T1432" s="72">
        <f t="shared" si="551"/>
        <v>0.96765349465825712</v>
      </c>
      <c r="U1432" s="72">
        <f t="shared" si="552"/>
        <v>1</v>
      </c>
    </row>
    <row r="1433" spans="1:21" x14ac:dyDescent="0.25">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0.82350656455142224</v>
      </c>
      <c r="P1433" s="72">
        <f t="shared" si="547"/>
        <v>0.375</v>
      </c>
      <c r="Q1433" s="72">
        <f t="shared" si="548"/>
        <v>0</v>
      </c>
      <c r="R1433" s="72">
        <f t="shared" si="549"/>
        <v>0</v>
      </c>
      <c r="S1433" s="72">
        <f t="shared" si="550"/>
        <v>0.96883125241343793</v>
      </c>
      <c r="T1433" s="72">
        <f t="shared" si="551"/>
        <v>0.96883125241343793</v>
      </c>
      <c r="U1433" s="72">
        <f t="shared" si="552"/>
        <v>1</v>
      </c>
    </row>
    <row r="1434" spans="1:21" x14ac:dyDescent="0.25">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0.82450765864332598</v>
      </c>
      <c r="P1434" s="72">
        <f t="shared" si="547"/>
        <v>0.45833333333333337</v>
      </c>
      <c r="Q1434" s="72">
        <f t="shared" si="548"/>
        <v>0</v>
      </c>
      <c r="R1434" s="72">
        <f t="shared" si="549"/>
        <v>0</v>
      </c>
      <c r="S1434" s="72">
        <f t="shared" si="550"/>
        <v>0.97000901016861885</v>
      </c>
      <c r="T1434" s="72">
        <f t="shared" si="551"/>
        <v>0.97000901016861885</v>
      </c>
      <c r="U1434" s="72">
        <f t="shared" si="552"/>
        <v>1</v>
      </c>
    </row>
    <row r="1435" spans="1:21" x14ac:dyDescent="0.25">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0.82550875273522961</v>
      </c>
      <c r="P1435" s="72">
        <f t="shared" si="547"/>
        <v>0.54166666666666674</v>
      </c>
      <c r="Q1435" s="72">
        <f t="shared" si="548"/>
        <v>0</v>
      </c>
      <c r="R1435" s="72">
        <f t="shared" si="549"/>
        <v>0</v>
      </c>
      <c r="S1435" s="72">
        <f t="shared" si="550"/>
        <v>0.97118676792379954</v>
      </c>
      <c r="T1435" s="72">
        <f t="shared" si="551"/>
        <v>0.97118676792379954</v>
      </c>
      <c r="U1435" s="72">
        <f t="shared" si="552"/>
        <v>1</v>
      </c>
    </row>
    <row r="1436" spans="1:21" x14ac:dyDescent="0.25">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0.82652625820568915</v>
      </c>
      <c r="P1436" s="72">
        <f t="shared" si="547"/>
        <v>0.625</v>
      </c>
      <c r="Q1436" s="72">
        <f t="shared" si="548"/>
        <v>0</v>
      </c>
      <c r="R1436" s="72">
        <f t="shared" si="549"/>
        <v>0</v>
      </c>
      <c r="S1436" s="72">
        <f t="shared" si="550"/>
        <v>0.97238383318316368</v>
      </c>
      <c r="T1436" s="72">
        <f t="shared" si="551"/>
        <v>0.97238383318316368</v>
      </c>
      <c r="U1436" s="72">
        <f t="shared" si="552"/>
        <v>1</v>
      </c>
    </row>
    <row r="1437" spans="1:21" x14ac:dyDescent="0.25">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0.82752735229759289</v>
      </c>
      <c r="P1437" s="72">
        <f t="shared" si="547"/>
        <v>0.70833333333333326</v>
      </c>
      <c r="Q1437" s="72">
        <f t="shared" si="548"/>
        <v>0</v>
      </c>
      <c r="R1437" s="72">
        <f t="shared" si="549"/>
        <v>0</v>
      </c>
      <c r="S1437" s="72">
        <f t="shared" si="550"/>
        <v>0.9735615909383446</v>
      </c>
      <c r="T1437" s="72">
        <f t="shared" si="551"/>
        <v>0.9735615909383446</v>
      </c>
      <c r="U1437" s="72">
        <f t="shared" si="552"/>
        <v>1</v>
      </c>
    </row>
    <row r="1438" spans="1:21" x14ac:dyDescent="0.25">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0.82852844638949663</v>
      </c>
      <c r="P1438" s="72">
        <f t="shared" si="547"/>
        <v>0.79166666666666663</v>
      </c>
      <c r="Q1438" s="72">
        <f t="shared" si="548"/>
        <v>0</v>
      </c>
      <c r="R1438" s="72">
        <f t="shared" si="549"/>
        <v>0</v>
      </c>
      <c r="S1438" s="72">
        <f t="shared" si="550"/>
        <v>0.97473934869352552</v>
      </c>
      <c r="T1438" s="72">
        <f t="shared" si="551"/>
        <v>0.97473934869352552</v>
      </c>
      <c r="U1438" s="72">
        <f t="shared" si="552"/>
        <v>1</v>
      </c>
    </row>
    <row r="1439" spans="1:21" x14ac:dyDescent="0.25">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0.82952954048140037</v>
      </c>
      <c r="P1439" s="72">
        <f t="shared" si="547"/>
        <v>0.875</v>
      </c>
      <c r="Q1439" s="72">
        <f t="shared" si="548"/>
        <v>0</v>
      </c>
      <c r="R1439" s="72">
        <f t="shared" si="549"/>
        <v>0</v>
      </c>
      <c r="S1439" s="72">
        <f t="shared" si="550"/>
        <v>0.97591710644870633</v>
      </c>
      <c r="T1439" s="72">
        <f t="shared" si="551"/>
        <v>0.97591710644870633</v>
      </c>
      <c r="U1439" s="72">
        <f t="shared" si="552"/>
        <v>1</v>
      </c>
    </row>
    <row r="1440" spans="1:21" x14ac:dyDescent="0.25">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0.83053063457330412</v>
      </c>
      <c r="P1440" s="72">
        <f t="shared" si="547"/>
        <v>0.95833333333333337</v>
      </c>
      <c r="Q1440" s="72">
        <f t="shared" si="548"/>
        <v>0</v>
      </c>
      <c r="R1440" s="72">
        <f t="shared" si="549"/>
        <v>0</v>
      </c>
      <c r="S1440" s="72">
        <f t="shared" si="550"/>
        <v>0.97709486420388725</v>
      </c>
      <c r="T1440" s="72">
        <f t="shared" si="551"/>
        <v>0.97709486420388725</v>
      </c>
      <c r="U1440" s="72">
        <f t="shared" si="552"/>
        <v>1</v>
      </c>
    </row>
    <row r="1441" spans="1:21" x14ac:dyDescent="0.25">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0.83154814004376365</v>
      </c>
      <c r="P1441" s="72">
        <f t="shared" si="547"/>
        <v>0.95833333333333337</v>
      </c>
      <c r="Q1441" s="72">
        <f t="shared" si="548"/>
        <v>4.166666666666663E-2</v>
      </c>
      <c r="R1441" s="72">
        <f t="shared" si="549"/>
        <v>0</v>
      </c>
      <c r="S1441" s="72">
        <f t="shared" si="550"/>
        <v>0.97829192946325139</v>
      </c>
      <c r="T1441" s="72">
        <f t="shared" si="551"/>
        <v>0.97829192946325139</v>
      </c>
      <c r="U1441" s="72">
        <f t="shared" si="552"/>
        <v>1</v>
      </c>
    </row>
    <row r="1442" spans="1:21" x14ac:dyDescent="0.25">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0.8325164113785557</v>
      </c>
      <c r="P1442" s="72">
        <f t="shared" si="547"/>
        <v>0.875</v>
      </c>
      <c r="Q1442" s="72">
        <f t="shared" si="548"/>
        <v>0.125</v>
      </c>
      <c r="R1442" s="72">
        <f t="shared" si="549"/>
        <v>0</v>
      </c>
      <c r="S1442" s="72">
        <f t="shared" si="550"/>
        <v>0.9990196936542669</v>
      </c>
      <c r="T1442" s="72">
        <f t="shared" si="551"/>
        <v>0.9990196936542669</v>
      </c>
      <c r="U1442" s="72">
        <f t="shared" si="552"/>
        <v>1.02</v>
      </c>
    </row>
    <row r="1443" spans="1:21" x14ac:dyDescent="0.25">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0.83348468271334786</v>
      </c>
      <c r="P1443" s="72">
        <f t="shared" si="547"/>
        <v>0.79166666666666663</v>
      </c>
      <c r="Q1443" s="72">
        <f t="shared" si="548"/>
        <v>0.20833333333333337</v>
      </c>
      <c r="R1443" s="72">
        <f t="shared" si="549"/>
        <v>0</v>
      </c>
      <c r="S1443" s="72">
        <f t="shared" si="550"/>
        <v>1.0001816192560176</v>
      </c>
      <c r="T1443" s="72">
        <f t="shared" si="551"/>
        <v>1.0001816192560176</v>
      </c>
      <c r="U1443" s="72">
        <f t="shared" si="552"/>
        <v>1.02</v>
      </c>
    </row>
    <row r="1444" spans="1:21" x14ac:dyDescent="0.25">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0.8344857768052516</v>
      </c>
      <c r="P1444" s="72">
        <f t="shared" si="547"/>
        <v>0.70833333333333337</v>
      </c>
      <c r="Q1444" s="72">
        <f t="shared" si="548"/>
        <v>0.29166666666666663</v>
      </c>
      <c r="R1444" s="72">
        <f t="shared" si="549"/>
        <v>0</v>
      </c>
      <c r="S1444" s="72">
        <f t="shared" si="550"/>
        <v>1.0013829321663019</v>
      </c>
      <c r="T1444" s="72">
        <f t="shared" si="551"/>
        <v>1.0013829321663019</v>
      </c>
      <c r="U1444" s="72">
        <f t="shared" si="552"/>
        <v>1.02</v>
      </c>
    </row>
    <row r="1445" spans="1:21" x14ac:dyDescent="0.25">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0.83548687089715534</v>
      </c>
      <c r="P1445" s="72">
        <f t="shared" si="547"/>
        <v>0.625</v>
      </c>
      <c r="Q1445" s="72">
        <f t="shared" si="548"/>
        <v>0.375</v>
      </c>
      <c r="R1445" s="72">
        <f t="shared" si="549"/>
        <v>0</v>
      </c>
      <c r="S1445" s="72">
        <f t="shared" si="550"/>
        <v>1.0025842450765865</v>
      </c>
      <c r="T1445" s="72">
        <f t="shared" si="551"/>
        <v>1.0025842450765865</v>
      </c>
      <c r="U1445" s="72">
        <f t="shared" si="552"/>
        <v>1.02</v>
      </c>
    </row>
    <row r="1446" spans="1:21" x14ac:dyDescent="0.25">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0.83648796498905909</v>
      </c>
      <c r="P1446" s="72">
        <f t="shared" si="547"/>
        <v>0.54166666666666663</v>
      </c>
      <c r="Q1446" s="72">
        <f t="shared" si="548"/>
        <v>0.45833333333333337</v>
      </c>
      <c r="R1446" s="72">
        <f t="shared" si="549"/>
        <v>0</v>
      </c>
      <c r="S1446" s="72">
        <f t="shared" si="550"/>
        <v>1.0037855579868709</v>
      </c>
      <c r="T1446" s="72">
        <f t="shared" si="551"/>
        <v>1.0037855579868709</v>
      </c>
      <c r="U1446" s="72">
        <f t="shared" si="552"/>
        <v>1.02</v>
      </c>
    </row>
    <row r="1447" spans="1:21" x14ac:dyDescent="0.25">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0.83748905908096272</v>
      </c>
      <c r="P1447" s="72">
        <f t="shared" si="547"/>
        <v>0.45833333333333331</v>
      </c>
      <c r="Q1447" s="72">
        <f t="shared" si="548"/>
        <v>0.54166666666666674</v>
      </c>
      <c r="R1447" s="72">
        <f t="shared" si="549"/>
        <v>0</v>
      </c>
      <c r="S1447" s="72">
        <f t="shared" si="550"/>
        <v>1.0049868708971554</v>
      </c>
      <c r="T1447" s="72">
        <f t="shared" si="551"/>
        <v>1.0049868708971554</v>
      </c>
      <c r="U1447" s="72">
        <f t="shared" si="552"/>
        <v>1.02</v>
      </c>
    </row>
    <row r="1448" spans="1:21" x14ac:dyDescent="0.25">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0.83850656455142225</v>
      </c>
      <c r="P1448" s="72">
        <f t="shared" si="547"/>
        <v>0.375</v>
      </c>
      <c r="Q1448" s="72">
        <f t="shared" si="548"/>
        <v>0.625</v>
      </c>
      <c r="R1448" s="72">
        <f t="shared" si="549"/>
        <v>0</v>
      </c>
      <c r="S1448" s="72">
        <f t="shared" si="550"/>
        <v>1.0062078774617067</v>
      </c>
      <c r="T1448" s="72">
        <f t="shared" si="551"/>
        <v>1.0062078774617067</v>
      </c>
      <c r="U1448" s="72">
        <f t="shared" si="552"/>
        <v>1.02</v>
      </c>
    </row>
    <row r="1449" spans="1:21" x14ac:dyDescent="0.25">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0.83950765864332599</v>
      </c>
      <c r="P1449" s="72">
        <f t="shared" si="547"/>
        <v>0.29166666666666669</v>
      </c>
      <c r="Q1449" s="72">
        <f t="shared" si="548"/>
        <v>0.70833333333333326</v>
      </c>
      <c r="R1449" s="72">
        <f t="shared" si="549"/>
        <v>0</v>
      </c>
      <c r="S1449" s="72">
        <f t="shared" si="550"/>
        <v>1.0074091903719913</v>
      </c>
      <c r="T1449" s="72">
        <f t="shared" si="551"/>
        <v>1.0074091903719913</v>
      </c>
      <c r="U1449" s="72">
        <f t="shared" si="552"/>
        <v>1.02</v>
      </c>
    </row>
    <row r="1450" spans="1:21" x14ac:dyDescent="0.25">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0.84050875273522974</v>
      </c>
      <c r="P1450" s="72">
        <f t="shared" si="547"/>
        <v>0.20833333333333334</v>
      </c>
      <c r="Q1450" s="72">
        <f t="shared" si="548"/>
        <v>0.79166666666666663</v>
      </c>
      <c r="R1450" s="72">
        <f t="shared" si="549"/>
        <v>0</v>
      </c>
      <c r="S1450" s="72">
        <f t="shared" si="550"/>
        <v>1.0086105032822756</v>
      </c>
      <c r="T1450" s="72">
        <f t="shared" si="551"/>
        <v>1.0086105032822756</v>
      </c>
      <c r="U1450" s="72">
        <f t="shared" si="552"/>
        <v>1.02</v>
      </c>
    </row>
    <row r="1451" spans="1:21" x14ac:dyDescent="0.25">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0.84150984682713348</v>
      </c>
      <c r="P1451" s="72">
        <f t="shared" si="547"/>
        <v>0.125</v>
      </c>
      <c r="Q1451" s="72">
        <f t="shared" si="548"/>
        <v>0.875</v>
      </c>
      <c r="R1451" s="72">
        <f t="shared" si="549"/>
        <v>0</v>
      </c>
      <c r="S1451" s="72">
        <f t="shared" si="550"/>
        <v>1.0098118161925602</v>
      </c>
      <c r="T1451" s="72">
        <f t="shared" si="551"/>
        <v>1.0098118161925602</v>
      </c>
      <c r="U1451" s="72">
        <f t="shared" si="552"/>
        <v>1.02</v>
      </c>
    </row>
    <row r="1452" spans="1:21" x14ac:dyDescent="0.25">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0.84251094091903722</v>
      </c>
      <c r="P1452" s="72">
        <f t="shared" si="547"/>
        <v>4.1666666666666664E-2</v>
      </c>
      <c r="Q1452" s="72">
        <f t="shared" si="548"/>
        <v>0.95833333333333337</v>
      </c>
      <c r="R1452" s="72">
        <f t="shared" si="549"/>
        <v>0</v>
      </c>
      <c r="S1452" s="72">
        <f t="shared" si="550"/>
        <v>1.0110131291028446</v>
      </c>
      <c r="T1452" s="72">
        <f t="shared" si="551"/>
        <v>1.0110131291028446</v>
      </c>
      <c r="U1452" s="72">
        <f t="shared" si="552"/>
        <v>1.02</v>
      </c>
    </row>
    <row r="1453" spans="1:21" x14ac:dyDescent="0.25">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0.84352844638949664</v>
      </c>
      <c r="P1453" s="72">
        <f t="shared" si="547"/>
        <v>0</v>
      </c>
      <c r="Q1453" s="72">
        <f t="shared" si="548"/>
        <v>0.95833333333333337</v>
      </c>
      <c r="R1453" s="72">
        <f t="shared" si="549"/>
        <v>4.166666666666663E-2</v>
      </c>
      <c r="S1453" s="72">
        <f t="shared" si="550"/>
        <v>1.0122341356673961</v>
      </c>
      <c r="T1453" s="72">
        <f t="shared" si="551"/>
        <v>0.97829192946325139</v>
      </c>
      <c r="U1453" s="72">
        <f t="shared" si="552"/>
        <v>1.02</v>
      </c>
    </row>
    <row r="1454" spans="1:21" x14ac:dyDescent="0.25">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0.8444967177242888</v>
      </c>
      <c r="P1454" s="72">
        <f t="shared" si="547"/>
        <v>0</v>
      </c>
      <c r="Q1454" s="72">
        <f t="shared" si="548"/>
        <v>0.875</v>
      </c>
      <c r="R1454" s="72">
        <f t="shared" si="549"/>
        <v>0.125</v>
      </c>
      <c r="S1454" s="72">
        <f t="shared" si="550"/>
        <v>1.0133960612691466</v>
      </c>
      <c r="T1454" s="72">
        <f t="shared" si="551"/>
        <v>0.9990196936542669</v>
      </c>
      <c r="U1454" s="72">
        <f t="shared" si="552"/>
        <v>1.02</v>
      </c>
    </row>
    <row r="1455" spans="1:21" x14ac:dyDescent="0.25">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0.84546498905908096</v>
      </c>
      <c r="P1455" s="72">
        <f t="shared" si="547"/>
        <v>0</v>
      </c>
      <c r="Q1455" s="72">
        <f t="shared" si="548"/>
        <v>0.79166666666666663</v>
      </c>
      <c r="R1455" s="72">
        <f t="shared" si="549"/>
        <v>0.20833333333333337</v>
      </c>
      <c r="S1455" s="72">
        <f t="shared" si="550"/>
        <v>1.0145579868708972</v>
      </c>
      <c r="T1455" s="72">
        <f t="shared" si="551"/>
        <v>1.0001816192560176</v>
      </c>
      <c r="U1455" s="72">
        <f t="shared" si="552"/>
        <v>1.02</v>
      </c>
    </row>
    <row r="1456" spans="1:21" x14ac:dyDescent="0.25">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0.8464660831509847</v>
      </c>
      <c r="P1456" s="72">
        <f t="shared" si="547"/>
        <v>0</v>
      </c>
      <c r="Q1456" s="72">
        <f t="shared" si="548"/>
        <v>0.70833333333333337</v>
      </c>
      <c r="R1456" s="72">
        <f t="shared" si="549"/>
        <v>0.29166666666666663</v>
      </c>
      <c r="S1456" s="72">
        <f t="shared" si="550"/>
        <v>1.0157592997811817</v>
      </c>
      <c r="T1456" s="72">
        <f t="shared" si="551"/>
        <v>1.0013829321663019</v>
      </c>
      <c r="U1456" s="72">
        <f t="shared" si="552"/>
        <v>1.02</v>
      </c>
    </row>
    <row r="1457" spans="1:21" x14ac:dyDescent="0.25">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0.84746717724288834</v>
      </c>
      <c r="P1457" s="72">
        <f t="shared" si="547"/>
        <v>0</v>
      </c>
      <c r="Q1457" s="72">
        <f t="shared" si="548"/>
        <v>0.625</v>
      </c>
      <c r="R1457" s="72">
        <f t="shared" si="549"/>
        <v>0.375</v>
      </c>
      <c r="S1457" s="72">
        <f t="shared" si="550"/>
        <v>1.0169606126914661</v>
      </c>
      <c r="T1457" s="72">
        <f t="shared" si="551"/>
        <v>1.0025842450765865</v>
      </c>
      <c r="U1457" s="72">
        <f t="shared" si="552"/>
        <v>1.02</v>
      </c>
    </row>
    <row r="1458" spans="1:21" x14ac:dyDescent="0.25">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0.84846827133479208</v>
      </c>
      <c r="P1458" s="72">
        <f t="shared" si="547"/>
        <v>0</v>
      </c>
      <c r="Q1458" s="72">
        <f t="shared" si="548"/>
        <v>0.54166666666666663</v>
      </c>
      <c r="R1458" s="72">
        <f t="shared" si="549"/>
        <v>0.45833333333333337</v>
      </c>
      <c r="S1458" s="72">
        <f t="shared" si="550"/>
        <v>1.0588884026258205</v>
      </c>
      <c r="T1458" s="72">
        <f t="shared" si="551"/>
        <v>1.0037855579868709</v>
      </c>
      <c r="U1458" s="72">
        <f t="shared" si="552"/>
        <v>1.0608</v>
      </c>
    </row>
    <row r="1459" spans="1:21" x14ac:dyDescent="0.25">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0.84946936542669582</v>
      </c>
      <c r="P1459" s="72">
        <f t="shared" si="547"/>
        <v>0</v>
      </c>
      <c r="Q1459" s="72">
        <f t="shared" si="548"/>
        <v>0.45833333333333331</v>
      </c>
      <c r="R1459" s="72">
        <f t="shared" si="549"/>
        <v>0.54166666666666674</v>
      </c>
      <c r="S1459" s="72">
        <f t="shared" si="550"/>
        <v>1.0601377680525164</v>
      </c>
      <c r="T1459" s="72">
        <f t="shared" si="551"/>
        <v>1.0049868708971554</v>
      </c>
      <c r="U1459" s="72">
        <f t="shared" si="552"/>
        <v>1.0608</v>
      </c>
    </row>
    <row r="1460" spans="1:21" x14ac:dyDescent="0.25">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0.85048687089715536</v>
      </c>
      <c r="P1460" s="72">
        <f t="shared" si="547"/>
        <v>0</v>
      </c>
      <c r="Q1460" s="72">
        <f t="shared" si="548"/>
        <v>0.375</v>
      </c>
      <c r="R1460" s="72">
        <f t="shared" si="549"/>
        <v>0.625</v>
      </c>
      <c r="S1460" s="72">
        <f t="shared" si="550"/>
        <v>1.0614076148796499</v>
      </c>
      <c r="T1460" s="72">
        <f t="shared" si="551"/>
        <v>1.0062078774617067</v>
      </c>
      <c r="U1460" s="72">
        <f t="shared" si="552"/>
        <v>1.0608</v>
      </c>
    </row>
    <row r="1461" spans="1:21" x14ac:dyDescent="0.25">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0.8514879649890591</v>
      </c>
      <c r="P1461" s="72">
        <f t="shared" si="547"/>
        <v>0</v>
      </c>
      <c r="Q1461" s="72">
        <f t="shared" si="548"/>
        <v>0.29166666666666669</v>
      </c>
      <c r="R1461" s="72">
        <f t="shared" si="549"/>
        <v>0.70833333333333326</v>
      </c>
      <c r="S1461" s="72">
        <f t="shared" si="550"/>
        <v>1.0626569803063459</v>
      </c>
      <c r="T1461" s="72">
        <f t="shared" si="551"/>
        <v>1.0074091903719913</v>
      </c>
      <c r="U1461" s="72">
        <f t="shared" si="552"/>
        <v>1.0608</v>
      </c>
    </row>
    <row r="1462" spans="1:21" x14ac:dyDescent="0.25">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0.85248905908096273</v>
      </c>
      <c r="P1462" s="72">
        <f t="shared" si="547"/>
        <v>0</v>
      </c>
      <c r="Q1462" s="72">
        <f t="shared" si="548"/>
        <v>0.20833333333333334</v>
      </c>
      <c r="R1462" s="72">
        <f t="shared" si="549"/>
        <v>0.79166666666666663</v>
      </c>
      <c r="S1462" s="72">
        <f t="shared" si="550"/>
        <v>1.0639063457330413</v>
      </c>
      <c r="T1462" s="72">
        <f t="shared" si="551"/>
        <v>1.0086105032822756</v>
      </c>
      <c r="U1462" s="72">
        <f t="shared" si="552"/>
        <v>1.0608</v>
      </c>
    </row>
    <row r="1463" spans="1:21" x14ac:dyDescent="0.25">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0.85349015317286647</v>
      </c>
      <c r="P1463" s="72">
        <f t="shared" si="547"/>
        <v>0</v>
      </c>
      <c r="Q1463" s="72">
        <f t="shared" si="548"/>
        <v>0.125</v>
      </c>
      <c r="R1463" s="72">
        <f t="shared" si="549"/>
        <v>0.875</v>
      </c>
      <c r="S1463" s="72">
        <f t="shared" si="550"/>
        <v>1.0651557111597374</v>
      </c>
      <c r="T1463" s="72">
        <f t="shared" si="551"/>
        <v>1.0098118161925602</v>
      </c>
      <c r="U1463" s="72">
        <f t="shared" si="552"/>
        <v>1.0608</v>
      </c>
    </row>
    <row r="1464" spans="1:21" x14ac:dyDescent="0.25">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0.85449124726477022</v>
      </c>
      <c r="P1464" s="72">
        <f t="shared" si="547"/>
        <v>0</v>
      </c>
      <c r="Q1464" s="72">
        <f t="shared" si="548"/>
        <v>4.1666666666666664E-2</v>
      </c>
      <c r="R1464" s="72">
        <f t="shared" si="549"/>
        <v>0.95833333333333337</v>
      </c>
      <c r="S1464" s="72">
        <f t="shared" si="550"/>
        <v>1.0664050765864332</v>
      </c>
      <c r="T1464" s="72">
        <f t="shared" si="551"/>
        <v>1.0110131291028446</v>
      </c>
      <c r="U1464" s="72">
        <f t="shared" si="552"/>
        <v>1.0608</v>
      </c>
    </row>
    <row r="1465" spans="1:21" x14ac:dyDescent="0.25">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0.85499999999999998</v>
      </c>
      <c r="P1465" s="72">
        <f t="shared" si="547"/>
        <v>0</v>
      </c>
      <c r="Q1465" s="72">
        <f t="shared" si="548"/>
        <v>0</v>
      </c>
      <c r="R1465" s="72">
        <f t="shared" si="549"/>
        <v>0.95833333333333337</v>
      </c>
      <c r="S1465" s="72">
        <f t="shared" si="550"/>
        <v>1.06704</v>
      </c>
      <c r="T1465" s="72">
        <f t="shared" si="551"/>
        <v>0.97829192946325139</v>
      </c>
      <c r="U1465" s="72">
        <f t="shared" si="552"/>
        <v>1.0608</v>
      </c>
    </row>
    <row r="1466" spans="1:21" x14ac:dyDescent="0.25">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0.85499999999999998</v>
      </c>
      <c r="P1466" s="72">
        <f t="shared" si="547"/>
        <v>0</v>
      </c>
      <c r="Q1466" s="72">
        <f t="shared" si="548"/>
        <v>0</v>
      </c>
      <c r="R1466" s="72">
        <f t="shared" si="549"/>
        <v>0.875</v>
      </c>
      <c r="S1466" s="72">
        <f t="shared" si="550"/>
        <v>1.06704</v>
      </c>
      <c r="T1466" s="72">
        <f t="shared" si="551"/>
        <v>0.9990196936542669</v>
      </c>
      <c r="U1466" s="72">
        <f t="shared" si="552"/>
        <v>1.0608</v>
      </c>
    </row>
    <row r="1467" spans="1:21" x14ac:dyDescent="0.25">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0.85499999999999998</v>
      </c>
      <c r="P1467" s="72">
        <f t="shared" si="547"/>
        <v>0</v>
      </c>
      <c r="Q1467" s="72">
        <f t="shared" si="548"/>
        <v>0</v>
      </c>
      <c r="R1467" s="72">
        <f t="shared" si="549"/>
        <v>0.79166666666666663</v>
      </c>
      <c r="S1467" s="72">
        <f t="shared" si="550"/>
        <v>1.06704</v>
      </c>
      <c r="T1467" s="72">
        <f t="shared" si="551"/>
        <v>1.0001816192560176</v>
      </c>
      <c r="U1467" s="72">
        <f t="shared" si="552"/>
        <v>1.0608</v>
      </c>
    </row>
    <row r="1468" spans="1:21" x14ac:dyDescent="0.25">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0.85499999999999998</v>
      </c>
      <c r="P1468" s="72">
        <f t="shared" si="547"/>
        <v>0</v>
      </c>
      <c r="Q1468" s="72">
        <f t="shared" si="548"/>
        <v>0</v>
      </c>
      <c r="R1468" s="72">
        <f t="shared" si="549"/>
        <v>0.70833333333333337</v>
      </c>
      <c r="S1468" s="72">
        <f t="shared" si="550"/>
        <v>1.06704</v>
      </c>
      <c r="T1468" s="72">
        <f t="shared" si="551"/>
        <v>1.0013829321663019</v>
      </c>
      <c r="U1468" s="72">
        <f t="shared" si="552"/>
        <v>1.0608</v>
      </c>
    </row>
    <row r="1469" spans="1:21" x14ac:dyDescent="0.25">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0.85499999999999998</v>
      </c>
      <c r="P1469" s="72">
        <f t="shared" si="547"/>
        <v>0</v>
      </c>
      <c r="Q1469" s="72">
        <f t="shared" si="548"/>
        <v>0</v>
      </c>
      <c r="R1469" s="72">
        <f t="shared" si="549"/>
        <v>0.625</v>
      </c>
      <c r="S1469" s="72">
        <f t="shared" si="550"/>
        <v>1.06704</v>
      </c>
      <c r="T1469" s="72">
        <f t="shared" si="551"/>
        <v>1.0025842450765865</v>
      </c>
      <c r="U1469" s="72">
        <f t="shared" si="552"/>
        <v>1.0608</v>
      </c>
    </row>
    <row r="1470" spans="1:21" x14ac:dyDescent="0.25">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0.85499999999999998</v>
      </c>
      <c r="P1470" s="72">
        <f t="shared" si="547"/>
        <v>0</v>
      </c>
      <c r="Q1470" s="72">
        <f t="shared" si="548"/>
        <v>0</v>
      </c>
      <c r="R1470" s="72">
        <f t="shared" si="549"/>
        <v>0.54166666666666663</v>
      </c>
      <c r="S1470" s="72">
        <f t="shared" si="550"/>
        <v>1.06704</v>
      </c>
      <c r="T1470" s="72">
        <f t="shared" si="551"/>
        <v>1.0037855579868709</v>
      </c>
      <c r="U1470" s="72">
        <f t="shared" si="552"/>
        <v>1.0608</v>
      </c>
    </row>
    <row r="1471" spans="1:21" x14ac:dyDescent="0.25">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0.85499999999999998</v>
      </c>
      <c r="P1471" s="72">
        <f t="shared" si="547"/>
        <v>0</v>
      </c>
      <c r="Q1471" s="72">
        <f t="shared" si="548"/>
        <v>0</v>
      </c>
      <c r="R1471" s="72">
        <f t="shared" si="549"/>
        <v>0.45833333333333331</v>
      </c>
      <c r="S1471" s="72">
        <f t="shared" si="550"/>
        <v>1.06704</v>
      </c>
      <c r="T1471" s="72">
        <f t="shared" si="551"/>
        <v>1.0049868708971554</v>
      </c>
      <c r="U1471" s="72">
        <f t="shared" si="552"/>
        <v>1.0608</v>
      </c>
    </row>
    <row r="1472" spans="1:21" x14ac:dyDescent="0.25">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0.85499999999999998</v>
      </c>
      <c r="P1472" s="72">
        <f t="shared" si="547"/>
        <v>0</v>
      </c>
      <c r="Q1472" s="72">
        <f t="shared" si="548"/>
        <v>0</v>
      </c>
      <c r="R1472" s="72">
        <f t="shared" si="549"/>
        <v>0.375</v>
      </c>
      <c r="S1472" s="72">
        <f t="shared" si="550"/>
        <v>1.06704</v>
      </c>
      <c r="T1472" s="72">
        <f t="shared" si="551"/>
        <v>1.0062078774617067</v>
      </c>
      <c r="U1472" s="72">
        <f t="shared" si="552"/>
        <v>1.0608</v>
      </c>
    </row>
    <row r="1473" spans="1:21" x14ac:dyDescent="0.25">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0.85499999999999998</v>
      </c>
      <c r="P1473" s="72">
        <f t="shared" si="547"/>
        <v>0</v>
      </c>
      <c r="Q1473" s="72">
        <f t="shared" si="548"/>
        <v>0</v>
      </c>
      <c r="R1473" s="72">
        <f t="shared" si="549"/>
        <v>0.29166666666666669</v>
      </c>
      <c r="S1473" s="72">
        <f t="shared" si="550"/>
        <v>1.06704</v>
      </c>
      <c r="T1473" s="72">
        <f t="shared" si="551"/>
        <v>1.0074091903719913</v>
      </c>
      <c r="U1473" s="72">
        <f t="shared" si="552"/>
        <v>1.0608</v>
      </c>
    </row>
    <row r="1474" spans="1:21" x14ac:dyDescent="0.25">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0.85499999999999998</v>
      </c>
      <c r="P1474" s="72">
        <f t="shared" si="547"/>
        <v>0</v>
      </c>
      <c r="Q1474" s="72">
        <f t="shared" si="548"/>
        <v>0</v>
      </c>
      <c r="R1474" s="72">
        <f t="shared" si="549"/>
        <v>0.20833333333333334</v>
      </c>
      <c r="S1474" s="72">
        <f t="shared" si="550"/>
        <v>1.06704</v>
      </c>
      <c r="T1474" s="72">
        <f t="shared" si="551"/>
        <v>1.0086105032822756</v>
      </c>
      <c r="U1474" s="72">
        <f t="shared" si="552"/>
        <v>1.0608</v>
      </c>
    </row>
    <row r="1475" spans="1:21" x14ac:dyDescent="0.25">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0.85499999999999998</v>
      </c>
      <c r="P1475" s="72">
        <f t="shared" si="547"/>
        <v>0</v>
      </c>
      <c r="Q1475" s="72">
        <f t="shared" si="548"/>
        <v>0</v>
      </c>
      <c r="R1475" s="72">
        <f t="shared" si="549"/>
        <v>0.125</v>
      </c>
      <c r="S1475" s="72">
        <f t="shared" si="550"/>
        <v>1.06704</v>
      </c>
      <c r="T1475" s="72">
        <f t="shared" si="551"/>
        <v>1.0098118161925602</v>
      </c>
      <c r="U1475" s="72">
        <f t="shared" si="552"/>
        <v>1.0608</v>
      </c>
    </row>
    <row r="1476" spans="1:21" x14ac:dyDescent="0.25">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0.85499999999999998</v>
      </c>
      <c r="P1476" s="72">
        <f t="shared" si="547"/>
        <v>0</v>
      </c>
      <c r="Q1476" s="72">
        <f t="shared" si="548"/>
        <v>0</v>
      </c>
      <c r="R1476" s="72">
        <f t="shared" si="549"/>
        <v>4.1666666666666664E-2</v>
      </c>
      <c r="S1476" s="72">
        <f t="shared" si="550"/>
        <v>1.06704</v>
      </c>
      <c r="T1476" s="72">
        <f t="shared" si="551"/>
        <v>1.0110131291028446</v>
      </c>
      <c r="U1476" s="72">
        <f t="shared" si="552"/>
        <v>1.0608</v>
      </c>
    </row>
    <row r="1477" spans="1:21" x14ac:dyDescent="0.25">
      <c r="A1477" s="77" t="s">
        <v>1209</v>
      </c>
      <c r="B1477" s="50">
        <f>EXP(SUMPRODUCT((rl_key=$A$1426)*(rl_cons="Y")*rl_ln1p))</f>
        <v>1.02</v>
      </c>
      <c r="C1477" s="50">
        <f>SUMPRODUCT($H$1429:$H$1476,$P$1429:$P$1476,$U$1429:$U$1476)/SUMPRODUCT($H$1429:$H$1476,$P$1429:$P$1476)</f>
        <v>1.0084027777777778</v>
      </c>
      <c r="D1477" s="50">
        <f>SUMPRODUCT($H$1429:$H$1476,$Q$1429:$Q$1476,$U$1429:$U$1476)/SUMPRODUCT($H$1429:$H$1476,$Q$1429:$Q$1476)</f>
        <v>1.0268722222222222</v>
      </c>
      <c r="E1477" s="50">
        <f>SUMPRODUCT($H$1429:$H$1476,$R$1429:$R$1476,$U$1429:$U$1476)/SUMPRODUCT($H$1429:$H$1476,$R$1429:$R$1476)</f>
        <v>1.0572583333333336</v>
      </c>
      <c r="F1477" s="169">
        <f>SUMPRODUCT($H$1429:$H$1476,$Q$1429:$Q$1476,$O$1429:$O$1476)/SUMPRODUCT($H$1429:$H$1476,$Q$1429:$Q$1476)</f>
        <v>0.84299370897155379</v>
      </c>
      <c r="G1477" s="169">
        <f>SUMPRODUCT($H$1429:$H$1476,$R$1429:$R$1476,$O$1429:$O$1476)/SUMPRODUCT($H$1429:$H$1476,$R$1429:$R$1476)</f>
        <v>0.85298453455506928</v>
      </c>
    </row>
    <row r="1480" spans="1:21" x14ac:dyDescent="0.25">
      <c r="A1480" s="77" t="str">
        <f>INDEX(lr_key,27)</f>
        <v>BU-B|GA</v>
      </c>
      <c r="B1480" s="77" t="str">
        <f>INDEX(lr_state,27)</f>
        <v>GA</v>
      </c>
      <c r="C1480" s="52">
        <f>nr_TermMonths</f>
        <v>12</v>
      </c>
      <c r="D1480" s="52">
        <f>IF(COUNTIF(se_state,$B1480)=0,0,MATCH($B1480,se_state,0))</f>
        <v>0</v>
      </c>
      <c r="E1480" s="54">
        <f>IF($D1480=0,0,INDEX(se_sum,$D1480))</f>
        <v>0</v>
      </c>
      <c r="F1480" s="169">
        <f>IF(N(INDEX(lr_mind,27))=0,1,INDEX(lr_mind,27))</f>
        <v>0.85</v>
      </c>
      <c r="G1480" s="169">
        <f>IF(N(INDEX(lr_m0,27))=0,1,INDEX(lr_m0,27))</f>
        <v>0.84</v>
      </c>
      <c r="H1480" s="51">
        <f>IF(N(INDEX(lr_m0asof,27))=0,DATE(nr_PlanYear-1,10,1),INDEX(lr_m0asof,27))</f>
        <v>46295</v>
      </c>
      <c r="I1480" s="169">
        <f>IF(N(INDEX(lr_m1,27))=0,1,INDEX(lr_m1,27))</f>
        <v>0.83499999999999996</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25">
      <c r="A1481" s="77">
        <f>EDATE($H$1480,-12)+1</f>
        <v>45931</v>
      </c>
      <c r="B1481" s="77">
        <f>$H$1480+1</f>
        <v>46296</v>
      </c>
      <c r="C1481" s="77">
        <f>DATE(nr_PlanYear,12,31)+1</f>
        <v>46753</v>
      </c>
      <c r="D1481" s="77">
        <f>DATE(nr_PlanYear+1,12,31)+1</f>
        <v>47119</v>
      </c>
      <c r="E1481" s="77">
        <f>IF(N($J$1480)=0,$F$1481-($G$1481-$F$1481)/($C$1481-$B$1481)*($B$1481-$A$1481),$J$1480)</f>
        <v>0.84399343544857763</v>
      </c>
      <c r="F1481" s="77">
        <f>$G$1480</f>
        <v>0.84</v>
      </c>
      <c r="G1481" s="77">
        <f>$I$1480</f>
        <v>0.83499999999999996</v>
      </c>
      <c r="H1481" s="77">
        <f>IF(N($K$1480)=0,$I$1480,$K$1480)</f>
        <v>0.83499999999999996</v>
      </c>
      <c r="I1481" s="77">
        <f>($F$1481-$E$1481)/($B$1481-$A$1481)</f>
        <v>-1.0940919037199081E-5</v>
      </c>
      <c r="J1481" s="77">
        <f>($G$1481-$F$1481)/($C$1481-$B$1481)</f>
        <v>-1.0940919037199135E-5</v>
      </c>
      <c r="K1481" s="77">
        <f>($H$1481-$G$1481)/($D$1481-$C$1481)</f>
        <v>0</v>
      </c>
    </row>
    <row r="1482" spans="1:21" ht="24" x14ac:dyDescent="0.25">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25">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0.84681072210065644</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0.99624790835371346</v>
      </c>
      <c r="T1483" s="72">
        <f t="shared" ref="T1483:T1530" si="571">IF($G1483&lt;nr_MStartP,$S1483,$T1471*(1+IF($G1483&lt;nr_MStartP1,$M$1480,$N$1480)))</f>
        <v>0.99624790835371346</v>
      </c>
      <c r="U1483" s="72">
        <f t="shared" ref="U1483:U1530" si="572">IF($L$1480,$T1483,$N1483)</f>
        <v>1</v>
      </c>
    </row>
    <row r="1484" spans="1:21" x14ac:dyDescent="0.25">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0.84648796498905898</v>
      </c>
      <c r="P1484" s="72">
        <f t="shared" si="567"/>
        <v>0.125</v>
      </c>
      <c r="Q1484" s="72">
        <f t="shared" si="568"/>
        <v>0</v>
      </c>
      <c r="R1484" s="72">
        <f t="shared" si="569"/>
        <v>0</v>
      </c>
      <c r="S1484" s="72">
        <f t="shared" si="570"/>
        <v>0.99586819410477534</v>
      </c>
      <c r="T1484" s="72">
        <f t="shared" si="571"/>
        <v>0.99586819410477534</v>
      </c>
      <c r="U1484" s="72">
        <f t="shared" si="572"/>
        <v>1</v>
      </c>
    </row>
    <row r="1485" spans="1:21" x14ac:dyDescent="0.25">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0.84616520787746163</v>
      </c>
      <c r="P1485" s="72">
        <f t="shared" si="567"/>
        <v>0.20833333333333337</v>
      </c>
      <c r="Q1485" s="72">
        <f t="shared" si="568"/>
        <v>0</v>
      </c>
      <c r="R1485" s="72">
        <f t="shared" si="569"/>
        <v>0</v>
      </c>
      <c r="S1485" s="72">
        <f t="shared" si="570"/>
        <v>0.99548847985583722</v>
      </c>
      <c r="T1485" s="72">
        <f t="shared" si="571"/>
        <v>0.99548847985583722</v>
      </c>
      <c r="U1485" s="72">
        <f t="shared" si="572"/>
        <v>1</v>
      </c>
    </row>
    <row r="1486" spans="1:21" x14ac:dyDescent="0.25">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0.84583150984682709</v>
      </c>
      <c r="P1486" s="72">
        <f t="shared" si="567"/>
        <v>0.29166666666666663</v>
      </c>
      <c r="Q1486" s="72">
        <f t="shared" si="568"/>
        <v>0</v>
      </c>
      <c r="R1486" s="72">
        <f t="shared" si="569"/>
        <v>0</v>
      </c>
      <c r="S1486" s="72">
        <f t="shared" si="570"/>
        <v>0.99509589393744369</v>
      </c>
      <c r="T1486" s="72">
        <f t="shared" si="571"/>
        <v>0.99509589393744369</v>
      </c>
      <c r="U1486" s="72">
        <f t="shared" si="572"/>
        <v>1</v>
      </c>
    </row>
    <row r="1487" spans="1:21" x14ac:dyDescent="0.25">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0.84549781181619255</v>
      </c>
      <c r="P1487" s="72">
        <f t="shared" si="567"/>
        <v>0.375</v>
      </c>
      <c r="Q1487" s="72">
        <f t="shared" si="568"/>
        <v>0</v>
      </c>
      <c r="R1487" s="72">
        <f t="shared" si="569"/>
        <v>0</v>
      </c>
      <c r="S1487" s="72">
        <f t="shared" si="570"/>
        <v>0.99470330801905005</v>
      </c>
      <c r="T1487" s="72">
        <f t="shared" si="571"/>
        <v>0.99470330801905005</v>
      </c>
      <c r="U1487" s="72">
        <f t="shared" si="572"/>
        <v>1</v>
      </c>
    </row>
    <row r="1488" spans="1:21" x14ac:dyDescent="0.25">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0.84516411378555789</v>
      </c>
      <c r="P1488" s="72">
        <f t="shared" si="567"/>
        <v>0.45833333333333337</v>
      </c>
      <c r="Q1488" s="72">
        <f t="shared" si="568"/>
        <v>0</v>
      </c>
      <c r="R1488" s="72">
        <f t="shared" si="569"/>
        <v>0</v>
      </c>
      <c r="S1488" s="72">
        <f t="shared" si="570"/>
        <v>0.99431072210065641</v>
      </c>
      <c r="T1488" s="72">
        <f t="shared" si="571"/>
        <v>0.99431072210065641</v>
      </c>
      <c r="U1488" s="72">
        <f t="shared" si="572"/>
        <v>1</v>
      </c>
    </row>
    <row r="1489" spans="1:21" x14ac:dyDescent="0.25">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0.84483041575492335</v>
      </c>
      <c r="P1489" s="72">
        <f t="shared" si="567"/>
        <v>0.54166666666666674</v>
      </c>
      <c r="Q1489" s="72">
        <f t="shared" si="568"/>
        <v>0</v>
      </c>
      <c r="R1489" s="72">
        <f t="shared" si="569"/>
        <v>0</v>
      </c>
      <c r="S1489" s="72">
        <f t="shared" si="570"/>
        <v>0.99391813618226277</v>
      </c>
      <c r="T1489" s="72">
        <f t="shared" si="571"/>
        <v>0.99391813618226277</v>
      </c>
      <c r="U1489" s="72">
        <f t="shared" si="572"/>
        <v>1</v>
      </c>
    </row>
    <row r="1490" spans="1:21" x14ac:dyDescent="0.25">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0.84449124726477021</v>
      </c>
      <c r="P1490" s="72">
        <f t="shared" si="567"/>
        <v>0.625</v>
      </c>
      <c r="Q1490" s="72">
        <f t="shared" si="568"/>
        <v>0</v>
      </c>
      <c r="R1490" s="72">
        <f t="shared" si="569"/>
        <v>0</v>
      </c>
      <c r="S1490" s="72">
        <f t="shared" si="570"/>
        <v>0.99351911442914143</v>
      </c>
      <c r="T1490" s="72">
        <f t="shared" si="571"/>
        <v>0.99351911442914143</v>
      </c>
      <c r="U1490" s="72">
        <f t="shared" si="572"/>
        <v>1</v>
      </c>
    </row>
    <row r="1491" spans="1:21" x14ac:dyDescent="0.25">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0.84415754923413566</v>
      </c>
      <c r="P1491" s="72">
        <f t="shared" si="567"/>
        <v>0.70833333333333326</v>
      </c>
      <c r="Q1491" s="72">
        <f t="shared" si="568"/>
        <v>0</v>
      </c>
      <c r="R1491" s="72">
        <f t="shared" si="569"/>
        <v>0</v>
      </c>
      <c r="S1491" s="72">
        <f t="shared" si="570"/>
        <v>0.9931265285107479</v>
      </c>
      <c r="T1491" s="72">
        <f t="shared" si="571"/>
        <v>0.9931265285107479</v>
      </c>
      <c r="U1491" s="72">
        <f t="shared" si="572"/>
        <v>1</v>
      </c>
    </row>
    <row r="1492" spans="1:21" x14ac:dyDescent="0.25">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0.84382385120350101</v>
      </c>
      <c r="P1492" s="72">
        <f t="shared" si="567"/>
        <v>0.79166666666666663</v>
      </c>
      <c r="Q1492" s="72">
        <f t="shared" si="568"/>
        <v>0</v>
      </c>
      <c r="R1492" s="72">
        <f t="shared" si="569"/>
        <v>0</v>
      </c>
      <c r="S1492" s="72">
        <f t="shared" si="570"/>
        <v>0.99273394259235415</v>
      </c>
      <c r="T1492" s="72">
        <f t="shared" si="571"/>
        <v>0.99273394259235415</v>
      </c>
      <c r="U1492" s="72">
        <f t="shared" si="572"/>
        <v>1</v>
      </c>
    </row>
    <row r="1493" spans="1:21" x14ac:dyDescent="0.25">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0.84349015317286646</v>
      </c>
      <c r="P1493" s="72">
        <f t="shared" si="567"/>
        <v>0.875</v>
      </c>
      <c r="Q1493" s="72">
        <f t="shared" si="568"/>
        <v>0</v>
      </c>
      <c r="R1493" s="72">
        <f t="shared" si="569"/>
        <v>0</v>
      </c>
      <c r="S1493" s="72">
        <f t="shared" si="570"/>
        <v>0.99234135667396062</v>
      </c>
      <c r="T1493" s="72">
        <f t="shared" si="571"/>
        <v>0.99234135667396062</v>
      </c>
      <c r="U1493" s="72">
        <f t="shared" si="572"/>
        <v>1</v>
      </c>
    </row>
    <row r="1494" spans="1:21" x14ac:dyDescent="0.25">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0.84315645514223192</v>
      </c>
      <c r="P1494" s="72">
        <f t="shared" si="567"/>
        <v>0.95833333333333337</v>
      </c>
      <c r="Q1494" s="72">
        <f t="shared" si="568"/>
        <v>0</v>
      </c>
      <c r="R1494" s="72">
        <f t="shared" si="569"/>
        <v>0</v>
      </c>
      <c r="S1494" s="72">
        <f t="shared" si="570"/>
        <v>0.99194877075556698</v>
      </c>
      <c r="T1494" s="72">
        <f t="shared" si="571"/>
        <v>0.99194877075556698</v>
      </c>
      <c r="U1494" s="72">
        <f t="shared" si="572"/>
        <v>1</v>
      </c>
    </row>
    <row r="1495" spans="1:21" x14ac:dyDescent="0.25">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0.84281728665207878</v>
      </c>
      <c r="P1495" s="72">
        <f t="shared" si="567"/>
        <v>0.95833333333333337</v>
      </c>
      <c r="Q1495" s="72">
        <f t="shared" si="568"/>
        <v>4.166666666666663E-2</v>
      </c>
      <c r="R1495" s="72">
        <f t="shared" si="569"/>
        <v>0</v>
      </c>
      <c r="S1495" s="72">
        <f t="shared" si="570"/>
        <v>0.99154974900244564</v>
      </c>
      <c r="T1495" s="72">
        <f t="shared" si="571"/>
        <v>0.99154974900244564</v>
      </c>
      <c r="U1495" s="72">
        <f t="shared" si="572"/>
        <v>1</v>
      </c>
    </row>
    <row r="1496" spans="1:21" x14ac:dyDescent="0.25">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0.84249452954048132</v>
      </c>
      <c r="P1496" s="72">
        <f t="shared" si="567"/>
        <v>0.875</v>
      </c>
      <c r="Q1496" s="72">
        <f t="shared" si="568"/>
        <v>0.125</v>
      </c>
      <c r="R1496" s="72">
        <f t="shared" si="569"/>
        <v>0</v>
      </c>
      <c r="S1496" s="72">
        <f t="shared" si="570"/>
        <v>0.99117003475350751</v>
      </c>
      <c r="T1496" s="72">
        <f t="shared" si="571"/>
        <v>0.99117003475350751</v>
      </c>
      <c r="U1496" s="72">
        <f t="shared" si="572"/>
        <v>1</v>
      </c>
    </row>
    <row r="1497" spans="1:21" x14ac:dyDescent="0.25">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0.84217177242888397</v>
      </c>
      <c r="P1497" s="72">
        <f t="shared" si="567"/>
        <v>0.79166666666666663</v>
      </c>
      <c r="Q1497" s="72">
        <f t="shared" si="568"/>
        <v>0.20833333333333337</v>
      </c>
      <c r="R1497" s="72">
        <f t="shared" si="569"/>
        <v>0</v>
      </c>
      <c r="S1497" s="72">
        <f t="shared" si="570"/>
        <v>0.99079032050456939</v>
      </c>
      <c r="T1497" s="72">
        <f t="shared" si="571"/>
        <v>0.99079032050456939</v>
      </c>
      <c r="U1497" s="72">
        <f t="shared" si="572"/>
        <v>1</v>
      </c>
    </row>
    <row r="1498" spans="1:21" x14ac:dyDescent="0.25">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0.84183807439824943</v>
      </c>
      <c r="P1498" s="72">
        <f t="shared" si="567"/>
        <v>0.70833333333333337</v>
      </c>
      <c r="Q1498" s="72">
        <f t="shared" si="568"/>
        <v>0.29166666666666663</v>
      </c>
      <c r="R1498" s="72">
        <f t="shared" si="569"/>
        <v>0</v>
      </c>
      <c r="S1498" s="72">
        <f t="shared" si="570"/>
        <v>0.99039773458617586</v>
      </c>
      <c r="T1498" s="72">
        <f t="shared" si="571"/>
        <v>0.99039773458617586</v>
      </c>
      <c r="U1498" s="72">
        <f t="shared" si="572"/>
        <v>1</v>
      </c>
    </row>
    <row r="1499" spans="1:21" x14ac:dyDescent="0.25">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0.84150437636761488</v>
      </c>
      <c r="P1499" s="72">
        <f t="shared" si="567"/>
        <v>0.625</v>
      </c>
      <c r="Q1499" s="72">
        <f t="shared" si="568"/>
        <v>0.375</v>
      </c>
      <c r="R1499" s="72">
        <f t="shared" si="569"/>
        <v>0</v>
      </c>
      <c r="S1499" s="72">
        <f t="shared" si="570"/>
        <v>0.99000514866778222</v>
      </c>
      <c r="T1499" s="72">
        <f t="shared" si="571"/>
        <v>0.99000514866778222</v>
      </c>
      <c r="U1499" s="72">
        <f t="shared" si="572"/>
        <v>1</v>
      </c>
    </row>
    <row r="1500" spans="1:21" x14ac:dyDescent="0.25">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0.84117067833698023</v>
      </c>
      <c r="P1500" s="72">
        <f t="shared" si="567"/>
        <v>0.54166666666666663</v>
      </c>
      <c r="Q1500" s="72">
        <f t="shared" si="568"/>
        <v>0.45833333333333337</v>
      </c>
      <c r="R1500" s="72">
        <f t="shared" si="569"/>
        <v>0</v>
      </c>
      <c r="S1500" s="72">
        <f t="shared" si="570"/>
        <v>0.98961256274938858</v>
      </c>
      <c r="T1500" s="72">
        <f t="shared" si="571"/>
        <v>0.98961256274938858</v>
      </c>
      <c r="U1500" s="72">
        <f t="shared" si="572"/>
        <v>1</v>
      </c>
    </row>
    <row r="1501" spans="1:21" x14ac:dyDescent="0.25">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0.84083698030634568</v>
      </c>
      <c r="P1501" s="72">
        <f t="shared" si="567"/>
        <v>0.45833333333333331</v>
      </c>
      <c r="Q1501" s="72">
        <f t="shared" si="568"/>
        <v>0.54166666666666674</v>
      </c>
      <c r="R1501" s="72">
        <f t="shared" si="569"/>
        <v>0</v>
      </c>
      <c r="S1501" s="72">
        <f t="shared" si="570"/>
        <v>0.98921997683099494</v>
      </c>
      <c r="T1501" s="72">
        <f t="shared" si="571"/>
        <v>0.98921997683099494</v>
      </c>
      <c r="U1501" s="72">
        <f t="shared" si="572"/>
        <v>1</v>
      </c>
    </row>
    <row r="1502" spans="1:21" x14ac:dyDescent="0.25">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0.84049781181619254</v>
      </c>
      <c r="P1502" s="72">
        <f t="shared" si="567"/>
        <v>0.375</v>
      </c>
      <c r="Q1502" s="72">
        <f t="shared" si="568"/>
        <v>0.625</v>
      </c>
      <c r="R1502" s="72">
        <f t="shared" si="569"/>
        <v>0</v>
      </c>
      <c r="S1502" s="72">
        <f t="shared" si="570"/>
        <v>0.9888209550778736</v>
      </c>
      <c r="T1502" s="72">
        <f t="shared" si="571"/>
        <v>0.9888209550778736</v>
      </c>
      <c r="U1502" s="72">
        <f t="shared" si="572"/>
        <v>1</v>
      </c>
    </row>
    <row r="1503" spans="1:21" x14ac:dyDescent="0.25">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0.840164113785558</v>
      </c>
      <c r="P1503" s="72">
        <f t="shared" si="567"/>
        <v>0.29166666666666669</v>
      </c>
      <c r="Q1503" s="72">
        <f t="shared" si="568"/>
        <v>0.70833333333333326</v>
      </c>
      <c r="R1503" s="72">
        <f t="shared" si="569"/>
        <v>0</v>
      </c>
      <c r="S1503" s="72">
        <f t="shared" si="570"/>
        <v>0.98842836915948007</v>
      </c>
      <c r="T1503" s="72">
        <f t="shared" si="571"/>
        <v>0.98842836915948007</v>
      </c>
      <c r="U1503" s="72">
        <f t="shared" si="572"/>
        <v>1</v>
      </c>
    </row>
    <row r="1504" spans="1:21" x14ac:dyDescent="0.25">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0.83983041575492334</v>
      </c>
      <c r="P1504" s="72">
        <f t="shared" si="567"/>
        <v>0.20833333333333334</v>
      </c>
      <c r="Q1504" s="72">
        <f t="shared" si="568"/>
        <v>0.79166666666666663</v>
      </c>
      <c r="R1504" s="72">
        <f t="shared" si="569"/>
        <v>0</v>
      </c>
      <c r="S1504" s="72">
        <f t="shared" si="570"/>
        <v>0.98803578324108632</v>
      </c>
      <c r="T1504" s="72">
        <f t="shared" si="571"/>
        <v>0.98803578324108632</v>
      </c>
      <c r="U1504" s="72">
        <f t="shared" si="572"/>
        <v>1</v>
      </c>
    </row>
    <row r="1505" spans="1:21" x14ac:dyDescent="0.25">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0.8394967177242888</v>
      </c>
      <c r="P1505" s="72">
        <f t="shared" si="567"/>
        <v>0.125</v>
      </c>
      <c r="Q1505" s="72">
        <f t="shared" si="568"/>
        <v>0.875</v>
      </c>
      <c r="R1505" s="72">
        <f t="shared" si="569"/>
        <v>0</v>
      </c>
      <c r="S1505" s="72">
        <f t="shared" si="570"/>
        <v>0.98764319732269268</v>
      </c>
      <c r="T1505" s="72">
        <f t="shared" si="571"/>
        <v>0.98764319732269268</v>
      </c>
      <c r="U1505" s="72">
        <f t="shared" si="572"/>
        <v>1</v>
      </c>
    </row>
    <row r="1506" spans="1:21" x14ac:dyDescent="0.25">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0.83916301969365426</v>
      </c>
      <c r="P1506" s="72">
        <f t="shared" si="567"/>
        <v>4.1666666666666664E-2</v>
      </c>
      <c r="Q1506" s="72">
        <f t="shared" si="568"/>
        <v>0.95833333333333337</v>
      </c>
      <c r="R1506" s="72">
        <f t="shared" si="569"/>
        <v>0</v>
      </c>
      <c r="S1506" s="72">
        <f t="shared" si="570"/>
        <v>0.98725061140429915</v>
      </c>
      <c r="T1506" s="72">
        <f t="shared" si="571"/>
        <v>0.98725061140429915</v>
      </c>
      <c r="U1506" s="72">
        <f t="shared" si="572"/>
        <v>1</v>
      </c>
    </row>
    <row r="1507" spans="1:21" x14ac:dyDescent="0.25">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0.83882385120350111</v>
      </c>
      <c r="P1507" s="72">
        <f t="shared" si="567"/>
        <v>0</v>
      </c>
      <c r="Q1507" s="72">
        <f t="shared" si="568"/>
        <v>0.95833333333333337</v>
      </c>
      <c r="R1507" s="72">
        <f t="shared" si="569"/>
        <v>4.166666666666663E-2</v>
      </c>
      <c r="S1507" s="72">
        <f t="shared" si="570"/>
        <v>0.98685158965117781</v>
      </c>
      <c r="T1507" s="72">
        <f t="shared" si="571"/>
        <v>0.99154974900244564</v>
      </c>
      <c r="U1507" s="72">
        <f t="shared" si="572"/>
        <v>1</v>
      </c>
    </row>
    <row r="1508" spans="1:21" x14ac:dyDescent="0.25">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0.83850109409190365</v>
      </c>
      <c r="P1508" s="72">
        <f t="shared" si="567"/>
        <v>0</v>
      </c>
      <c r="Q1508" s="72">
        <f t="shared" si="568"/>
        <v>0.875</v>
      </c>
      <c r="R1508" s="72">
        <f t="shared" si="569"/>
        <v>0.125</v>
      </c>
      <c r="S1508" s="72">
        <f t="shared" si="570"/>
        <v>0.98647187540223957</v>
      </c>
      <c r="T1508" s="72">
        <f t="shared" si="571"/>
        <v>0.99117003475350751</v>
      </c>
      <c r="U1508" s="72">
        <f t="shared" si="572"/>
        <v>1</v>
      </c>
    </row>
    <row r="1509" spans="1:21" x14ac:dyDescent="0.25">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0.8381783369803063</v>
      </c>
      <c r="P1509" s="72">
        <f t="shared" si="567"/>
        <v>0</v>
      </c>
      <c r="Q1509" s="72">
        <f t="shared" si="568"/>
        <v>0.79166666666666663</v>
      </c>
      <c r="R1509" s="72">
        <f t="shared" si="569"/>
        <v>0.20833333333333337</v>
      </c>
      <c r="S1509" s="72">
        <f t="shared" si="570"/>
        <v>0.98609216115330156</v>
      </c>
      <c r="T1509" s="72">
        <f t="shared" si="571"/>
        <v>0.99079032050456939</v>
      </c>
      <c r="U1509" s="72">
        <f t="shared" si="572"/>
        <v>1</v>
      </c>
    </row>
    <row r="1510" spans="1:21" x14ac:dyDescent="0.25">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0.83784463894967176</v>
      </c>
      <c r="P1510" s="72">
        <f t="shared" si="567"/>
        <v>0</v>
      </c>
      <c r="Q1510" s="72">
        <f t="shared" si="568"/>
        <v>0.70833333333333337</v>
      </c>
      <c r="R1510" s="72">
        <f t="shared" si="569"/>
        <v>0.29166666666666663</v>
      </c>
      <c r="S1510" s="72">
        <f t="shared" si="570"/>
        <v>0.98569957523490803</v>
      </c>
      <c r="T1510" s="72">
        <f t="shared" si="571"/>
        <v>0.99039773458617586</v>
      </c>
      <c r="U1510" s="72">
        <f t="shared" si="572"/>
        <v>1</v>
      </c>
    </row>
    <row r="1511" spans="1:21" x14ac:dyDescent="0.25">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0.83751094091903722</v>
      </c>
      <c r="P1511" s="72">
        <f t="shared" si="567"/>
        <v>0</v>
      </c>
      <c r="Q1511" s="72">
        <f t="shared" si="568"/>
        <v>0.625</v>
      </c>
      <c r="R1511" s="72">
        <f t="shared" si="569"/>
        <v>0.375</v>
      </c>
      <c r="S1511" s="72">
        <f t="shared" si="570"/>
        <v>0.98530698931651439</v>
      </c>
      <c r="T1511" s="72">
        <f t="shared" si="571"/>
        <v>0.99000514866778222</v>
      </c>
      <c r="U1511" s="72">
        <f t="shared" si="572"/>
        <v>1</v>
      </c>
    </row>
    <row r="1512" spans="1:21" x14ac:dyDescent="0.25">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0.83717724288840256</v>
      </c>
      <c r="P1512" s="72">
        <f t="shared" si="567"/>
        <v>0</v>
      </c>
      <c r="Q1512" s="72">
        <f t="shared" si="568"/>
        <v>0.54166666666666663</v>
      </c>
      <c r="R1512" s="72">
        <f t="shared" si="569"/>
        <v>0.45833333333333337</v>
      </c>
      <c r="S1512" s="72">
        <f t="shared" si="570"/>
        <v>0.98491440339812064</v>
      </c>
      <c r="T1512" s="72">
        <f t="shared" si="571"/>
        <v>0.98961256274938858</v>
      </c>
      <c r="U1512" s="72">
        <f t="shared" si="572"/>
        <v>1</v>
      </c>
    </row>
    <row r="1513" spans="1:21" x14ac:dyDescent="0.25">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0.83684354485776802</v>
      </c>
      <c r="P1513" s="72">
        <f t="shared" si="567"/>
        <v>0</v>
      </c>
      <c r="Q1513" s="72">
        <f t="shared" si="568"/>
        <v>0.45833333333333331</v>
      </c>
      <c r="R1513" s="72">
        <f t="shared" si="569"/>
        <v>0.54166666666666674</v>
      </c>
      <c r="S1513" s="72">
        <f t="shared" si="570"/>
        <v>0.98452181747972711</v>
      </c>
      <c r="T1513" s="72">
        <f t="shared" si="571"/>
        <v>0.98921997683099494</v>
      </c>
      <c r="U1513" s="72">
        <f t="shared" si="572"/>
        <v>1</v>
      </c>
    </row>
    <row r="1514" spans="1:21" x14ac:dyDescent="0.25">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0.83650437636761488</v>
      </c>
      <c r="P1514" s="72">
        <f t="shared" si="567"/>
        <v>0</v>
      </c>
      <c r="Q1514" s="72">
        <f t="shared" si="568"/>
        <v>0.375</v>
      </c>
      <c r="R1514" s="72">
        <f t="shared" si="569"/>
        <v>0.625</v>
      </c>
      <c r="S1514" s="72">
        <f t="shared" si="570"/>
        <v>0.98412279572660577</v>
      </c>
      <c r="T1514" s="72">
        <f t="shared" si="571"/>
        <v>0.9888209550778736</v>
      </c>
      <c r="U1514" s="72">
        <f t="shared" si="572"/>
        <v>1</v>
      </c>
    </row>
    <row r="1515" spans="1:21" x14ac:dyDescent="0.25">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0.83617067833698022</v>
      </c>
      <c r="P1515" s="72">
        <f t="shared" si="567"/>
        <v>0</v>
      </c>
      <c r="Q1515" s="72">
        <f t="shared" si="568"/>
        <v>0.29166666666666669</v>
      </c>
      <c r="R1515" s="72">
        <f t="shared" si="569"/>
        <v>0.70833333333333326</v>
      </c>
      <c r="S1515" s="72">
        <f t="shared" si="570"/>
        <v>0.98373020980821202</v>
      </c>
      <c r="T1515" s="72">
        <f t="shared" si="571"/>
        <v>0.98842836915948007</v>
      </c>
      <c r="U1515" s="72">
        <f t="shared" si="572"/>
        <v>1</v>
      </c>
    </row>
    <row r="1516" spans="1:21" x14ac:dyDescent="0.25">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0.83583698030634568</v>
      </c>
      <c r="P1516" s="72">
        <f t="shared" si="567"/>
        <v>0</v>
      </c>
      <c r="Q1516" s="72">
        <f t="shared" si="568"/>
        <v>0.20833333333333334</v>
      </c>
      <c r="R1516" s="72">
        <f t="shared" si="569"/>
        <v>0.79166666666666663</v>
      </c>
      <c r="S1516" s="72">
        <f t="shared" si="570"/>
        <v>0.98333762388981849</v>
      </c>
      <c r="T1516" s="72">
        <f t="shared" si="571"/>
        <v>0.98803578324108632</v>
      </c>
      <c r="U1516" s="72">
        <f t="shared" si="572"/>
        <v>1</v>
      </c>
    </row>
    <row r="1517" spans="1:21" x14ac:dyDescent="0.25">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0.83550328227571113</v>
      </c>
      <c r="P1517" s="72">
        <f t="shared" si="567"/>
        <v>0</v>
      </c>
      <c r="Q1517" s="72">
        <f t="shared" si="568"/>
        <v>0.125</v>
      </c>
      <c r="R1517" s="72">
        <f t="shared" si="569"/>
        <v>0.875</v>
      </c>
      <c r="S1517" s="72">
        <f t="shared" si="570"/>
        <v>0.98294503797142485</v>
      </c>
      <c r="T1517" s="72">
        <f t="shared" si="571"/>
        <v>0.98764319732269268</v>
      </c>
      <c r="U1517" s="72">
        <f t="shared" si="572"/>
        <v>1</v>
      </c>
    </row>
    <row r="1518" spans="1:21" x14ac:dyDescent="0.25">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0.83516958424507659</v>
      </c>
      <c r="P1518" s="72">
        <f t="shared" si="567"/>
        <v>0</v>
      </c>
      <c r="Q1518" s="72">
        <f t="shared" si="568"/>
        <v>4.1666666666666664E-2</v>
      </c>
      <c r="R1518" s="72">
        <f t="shared" si="569"/>
        <v>0.95833333333333337</v>
      </c>
      <c r="S1518" s="72">
        <f t="shared" si="570"/>
        <v>0.98255245205303132</v>
      </c>
      <c r="T1518" s="72">
        <f t="shared" si="571"/>
        <v>0.98725061140429915</v>
      </c>
      <c r="U1518" s="72">
        <f t="shared" si="572"/>
        <v>1</v>
      </c>
    </row>
    <row r="1519" spans="1:21" x14ac:dyDescent="0.25">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0.83499999999999996</v>
      </c>
      <c r="P1519" s="72">
        <f t="shared" si="567"/>
        <v>0</v>
      </c>
      <c r="Q1519" s="72">
        <f t="shared" si="568"/>
        <v>0</v>
      </c>
      <c r="R1519" s="72">
        <f t="shared" si="569"/>
        <v>0.95833333333333337</v>
      </c>
      <c r="S1519" s="72">
        <f t="shared" si="570"/>
        <v>0.98235294117647054</v>
      </c>
      <c r="T1519" s="72">
        <f t="shared" si="571"/>
        <v>0.99154974900244564</v>
      </c>
      <c r="U1519" s="72">
        <f t="shared" si="572"/>
        <v>1</v>
      </c>
    </row>
    <row r="1520" spans="1:21" x14ac:dyDescent="0.25">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0.83499999999999996</v>
      </c>
      <c r="P1520" s="72">
        <f t="shared" si="567"/>
        <v>0</v>
      </c>
      <c r="Q1520" s="72">
        <f t="shared" si="568"/>
        <v>0</v>
      </c>
      <c r="R1520" s="72">
        <f t="shared" si="569"/>
        <v>0.875</v>
      </c>
      <c r="S1520" s="72">
        <f t="shared" si="570"/>
        <v>0.98235294117647054</v>
      </c>
      <c r="T1520" s="72">
        <f t="shared" si="571"/>
        <v>0.99117003475350751</v>
      </c>
      <c r="U1520" s="72">
        <f t="shared" si="572"/>
        <v>1</v>
      </c>
    </row>
    <row r="1521" spans="1:21" x14ac:dyDescent="0.25">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0.83499999999999996</v>
      </c>
      <c r="P1521" s="72">
        <f t="shared" si="567"/>
        <v>0</v>
      </c>
      <c r="Q1521" s="72">
        <f t="shared" si="568"/>
        <v>0</v>
      </c>
      <c r="R1521" s="72">
        <f t="shared" si="569"/>
        <v>0.79166666666666663</v>
      </c>
      <c r="S1521" s="72">
        <f t="shared" si="570"/>
        <v>0.98235294117647054</v>
      </c>
      <c r="T1521" s="72">
        <f t="shared" si="571"/>
        <v>0.99079032050456939</v>
      </c>
      <c r="U1521" s="72">
        <f t="shared" si="572"/>
        <v>1</v>
      </c>
    </row>
    <row r="1522" spans="1:21" x14ac:dyDescent="0.25">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0.83499999999999996</v>
      </c>
      <c r="P1522" s="72">
        <f t="shared" si="567"/>
        <v>0</v>
      </c>
      <c r="Q1522" s="72">
        <f t="shared" si="568"/>
        <v>0</v>
      </c>
      <c r="R1522" s="72">
        <f t="shared" si="569"/>
        <v>0.70833333333333337</v>
      </c>
      <c r="S1522" s="72">
        <f t="shared" si="570"/>
        <v>0.98235294117647054</v>
      </c>
      <c r="T1522" s="72">
        <f t="shared" si="571"/>
        <v>0.99039773458617586</v>
      </c>
      <c r="U1522" s="72">
        <f t="shared" si="572"/>
        <v>1</v>
      </c>
    </row>
    <row r="1523" spans="1:21" x14ac:dyDescent="0.25">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0.83499999999999996</v>
      </c>
      <c r="P1523" s="72">
        <f t="shared" si="567"/>
        <v>0</v>
      </c>
      <c r="Q1523" s="72">
        <f t="shared" si="568"/>
        <v>0</v>
      </c>
      <c r="R1523" s="72">
        <f t="shared" si="569"/>
        <v>0.625</v>
      </c>
      <c r="S1523" s="72">
        <f t="shared" si="570"/>
        <v>0.98235294117647054</v>
      </c>
      <c r="T1523" s="72">
        <f t="shared" si="571"/>
        <v>0.99000514866778222</v>
      </c>
      <c r="U1523" s="72">
        <f t="shared" si="572"/>
        <v>1</v>
      </c>
    </row>
    <row r="1524" spans="1:21" x14ac:dyDescent="0.25">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0.83499999999999996</v>
      </c>
      <c r="P1524" s="72">
        <f t="shared" si="567"/>
        <v>0</v>
      </c>
      <c r="Q1524" s="72">
        <f t="shared" si="568"/>
        <v>0</v>
      </c>
      <c r="R1524" s="72">
        <f t="shared" si="569"/>
        <v>0.54166666666666663</v>
      </c>
      <c r="S1524" s="72">
        <f t="shared" si="570"/>
        <v>0.98235294117647054</v>
      </c>
      <c r="T1524" s="72">
        <f t="shared" si="571"/>
        <v>0.98961256274938858</v>
      </c>
      <c r="U1524" s="72">
        <f t="shared" si="572"/>
        <v>1</v>
      </c>
    </row>
    <row r="1525" spans="1:21" x14ac:dyDescent="0.25">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0.83499999999999996</v>
      </c>
      <c r="P1525" s="72">
        <f t="shared" si="567"/>
        <v>0</v>
      </c>
      <c r="Q1525" s="72">
        <f t="shared" si="568"/>
        <v>0</v>
      </c>
      <c r="R1525" s="72">
        <f t="shared" si="569"/>
        <v>0.45833333333333331</v>
      </c>
      <c r="S1525" s="72">
        <f t="shared" si="570"/>
        <v>0.98235294117647054</v>
      </c>
      <c r="T1525" s="72">
        <f t="shared" si="571"/>
        <v>0.98921997683099494</v>
      </c>
      <c r="U1525" s="72">
        <f t="shared" si="572"/>
        <v>1</v>
      </c>
    </row>
    <row r="1526" spans="1:21" x14ac:dyDescent="0.25">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0.83499999999999996</v>
      </c>
      <c r="P1526" s="72">
        <f t="shared" si="567"/>
        <v>0</v>
      </c>
      <c r="Q1526" s="72">
        <f t="shared" si="568"/>
        <v>0</v>
      </c>
      <c r="R1526" s="72">
        <f t="shared" si="569"/>
        <v>0.375</v>
      </c>
      <c r="S1526" s="72">
        <f t="shared" si="570"/>
        <v>0.98235294117647054</v>
      </c>
      <c r="T1526" s="72">
        <f t="shared" si="571"/>
        <v>0.9888209550778736</v>
      </c>
      <c r="U1526" s="72">
        <f t="shared" si="572"/>
        <v>1</v>
      </c>
    </row>
    <row r="1527" spans="1:21" x14ac:dyDescent="0.25">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0.83499999999999996</v>
      </c>
      <c r="P1527" s="72">
        <f t="shared" si="567"/>
        <v>0</v>
      </c>
      <c r="Q1527" s="72">
        <f t="shared" si="568"/>
        <v>0</v>
      </c>
      <c r="R1527" s="72">
        <f t="shared" si="569"/>
        <v>0.29166666666666669</v>
      </c>
      <c r="S1527" s="72">
        <f t="shared" si="570"/>
        <v>0.98235294117647054</v>
      </c>
      <c r="T1527" s="72">
        <f t="shared" si="571"/>
        <v>0.98842836915948007</v>
      </c>
      <c r="U1527" s="72">
        <f t="shared" si="572"/>
        <v>1</v>
      </c>
    </row>
    <row r="1528" spans="1:21" x14ac:dyDescent="0.25">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0.83499999999999996</v>
      </c>
      <c r="P1528" s="72">
        <f t="shared" si="567"/>
        <v>0</v>
      </c>
      <c r="Q1528" s="72">
        <f t="shared" si="568"/>
        <v>0</v>
      </c>
      <c r="R1528" s="72">
        <f t="shared" si="569"/>
        <v>0.20833333333333334</v>
      </c>
      <c r="S1528" s="72">
        <f t="shared" si="570"/>
        <v>0.98235294117647054</v>
      </c>
      <c r="T1528" s="72">
        <f t="shared" si="571"/>
        <v>0.98803578324108632</v>
      </c>
      <c r="U1528" s="72">
        <f t="shared" si="572"/>
        <v>1</v>
      </c>
    </row>
    <row r="1529" spans="1:21" x14ac:dyDescent="0.25">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0.83499999999999996</v>
      </c>
      <c r="P1529" s="72">
        <f t="shared" si="567"/>
        <v>0</v>
      </c>
      <c r="Q1529" s="72">
        <f t="shared" si="568"/>
        <v>0</v>
      </c>
      <c r="R1529" s="72">
        <f t="shared" si="569"/>
        <v>0.125</v>
      </c>
      <c r="S1529" s="72">
        <f t="shared" si="570"/>
        <v>0.98235294117647054</v>
      </c>
      <c r="T1529" s="72">
        <f t="shared" si="571"/>
        <v>0.98764319732269268</v>
      </c>
      <c r="U1529" s="72">
        <f t="shared" si="572"/>
        <v>1</v>
      </c>
    </row>
    <row r="1530" spans="1:21" x14ac:dyDescent="0.25">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0.83499999999999996</v>
      </c>
      <c r="P1530" s="72">
        <f t="shared" si="567"/>
        <v>0</v>
      </c>
      <c r="Q1530" s="72">
        <f t="shared" si="568"/>
        <v>0</v>
      </c>
      <c r="R1530" s="72">
        <f t="shared" si="569"/>
        <v>4.1666666666666664E-2</v>
      </c>
      <c r="S1530" s="72">
        <f t="shared" si="570"/>
        <v>0.98235294117647054</v>
      </c>
      <c r="T1530" s="72">
        <f t="shared" si="571"/>
        <v>0.98725061140429915</v>
      </c>
      <c r="U1530" s="72">
        <f t="shared" si="572"/>
        <v>1</v>
      </c>
    </row>
    <row r="1531" spans="1:21" x14ac:dyDescent="0.25">
      <c r="A1531" s="77" t="s">
        <v>1209</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0.83900209700948214</v>
      </c>
      <c r="G1531" s="169">
        <f>SUMPRODUCT($H$1483:$H$1530,$R$1483:$R$1530,$O$1483:$O$1530)/SUMPRODUCT($H$1483:$H$1530,$R$1483:$R$1530)</f>
        <v>0.8356718218149769</v>
      </c>
    </row>
    <row r="1534" spans="1:21" x14ac:dyDescent="0.25">
      <c r="A1534" s="77" t="str">
        <f>INDEX(lr_key,28)</f>
        <v>BU-B|IL</v>
      </c>
      <c r="B1534" s="77" t="str">
        <f>INDEX(lr_state,28)</f>
        <v>IL</v>
      </c>
      <c r="C1534" s="52">
        <f>nr_TermMonths</f>
        <v>12</v>
      </c>
      <c r="D1534" s="52">
        <f>IF(COUNTIF(se_state,$B1534)=0,0,MATCH($B1534,se_state,0))</f>
        <v>1</v>
      </c>
      <c r="E1534" s="54">
        <f>IF($D1534=0,0,INDEX(se_sum,$D1534))</f>
        <v>11.999999999999998</v>
      </c>
      <c r="F1534" s="169">
        <f>IF(N(INDEX(lr_mind,28))=0,1,INDEX(lr_mind,28))</f>
        <v>0.85</v>
      </c>
      <c r="G1534" s="169">
        <f>IF(N(INDEX(lr_m0,28))=0,1,INDEX(lr_m0,28))</f>
        <v>0.84</v>
      </c>
      <c r="H1534" s="51">
        <f>IF(N(INDEX(lr_m0asof,28))=0,DATE(nr_PlanYear-1,10,1),INDEX(lr_m0asof,28))</f>
        <v>46295</v>
      </c>
      <c r="I1534" s="169">
        <f>IF(N(INDEX(lr_m1,28))=0,1,INDEX(lr_m1,28))</f>
        <v>0.85</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25">
      <c r="A1535" s="77">
        <f>EDATE($H$1534,-12)+1</f>
        <v>45931</v>
      </c>
      <c r="B1535" s="77">
        <f>$H$1534+1</f>
        <v>46296</v>
      </c>
      <c r="C1535" s="77">
        <f>DATE(nr_PlanYear,12,31)+1</f>
        <v>46753</v>
      </c>
      <c r="D1535" s="77">
        <f>DATE(nr_PlanYear+1,12,31)+1</f>
        <v>47119</v>
      </c>
      <c r="E1535" s="77">
        <f>IF(N($J$1534)=0,$F$1535-($G$1535-$F$1535)/($C$1535-$B$1535)*($B$1535-$A$1535),$J$1534)</f>
        <v>0.83201312910284464</v>
      </c>
      <c r="F1535" s="77">
        <f>$G$1534</f>
        <v>0.84</v>
      </c>
      <c r="G1535" s="77">
        <f>$I$1534</f>
        <v>0.85</v>
      </c>
      <c r="H1535" s="77">
        <f>IF(N($K$1534)=0,$I$1534,$K$1534)</f>
        <v>0.85</v>
      </c>
      <c r="I1535" s="77">
        <f>($F$1535-$E$1535)/($B$1535-$A$1535)</f>
        <v>2.1881838074398162E-5</v>
      </c>
      <c r="J1535" s="77">
        <f>($G$1535-$F$1535)/($C$1535-$B$1535)</f>
        <v>2.188183807439827E-5</v>
      </c>
      <c r="K1535" s="77">
        <f>($H$1535-$G$1535)/($D$1535-$C$1535)</f>
        <v>0</v>
      </c>
    </row>
    <row r="1536" spans="1:21" ht="24" x14ac:dyDescent="0.25">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25">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0.82637855579868713</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0.97221006564551427</v>
      </c>
      <c r="T1537" s="72">
        <f t="shared" ref="T1537:T1584" si="591">IF($G1537&lt;nr_MStartP,$S1537,$T1525*(1+IF($G1537&lt;nr_MStartP1,$M$1534,$N$1534)))</f>
        <v>0.97221006564551427</v>
      </c>
      <c r="U1537" s="72">
        <f t="shared" ref="U1537:U1584" si="592">IF($L$1534,$T1537,$N1537)</f>
        <v>1</v>
      </c>
    </row>
    <row r="1538" spans="1:21" x14ac:dyDescent="0.25">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0.82702407002188183</v>
      </c>
      <c r="P1538" s="72">
        <f t="shared" si="587"/>
        <v>0.125</v>
      </c>
      <c r="Q1538" s="72">
        <f t="shared" si="588"/>
        <v>0</v>
      </c>
      <c r="R1538" s="72">
        <f t="shared" si="589"/>
        <v>0</v>
      </c>
      <c r="S1538" s="72">
        <f t="shared" si="590"/>
        <v>0.9729694941433904</v>
      </c>
      <c r="T1538" s="72">
        <f t="shared" si="591"/>
        <v>0.9729694941433904</v>
      </c>
      <c r="U1538" s="72">
        <f t="shared" si="592"/>
        <v>1</v>
      </c>
    </row>
    <row r="1539" spans="1:21" x14ac:dyDescent="0.25">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0.82766958424507664</v>
      </c>
      <c r="P1539" s="72">
        <f t="shared" si="587"/>
        <v>0.20833333333333337</v>
      </c>
      <c r="Q1539" s="72">
        <f t="shared" si="588"/>
        <v>0</v>
      </c>
      <c r="R1539" s="72">
        <f t="shared" si="589"/>
        <v>0</v>
      </c>
      <c r="S1539" s="72">
        <f t="shared" si="590"/>
        <v>0.97372892264126665</v>
      </c>
      <c r="T1539" s="72">
        <f t="shared" si="591"/>
        <v>0.97372892264126665</v>
      </c>
      <c r="U1539" s="72">
        <f t="shared" si="592"/>
        <v>1</v>
      </c>
    </row>
    <row r="1540" spans="1:21" x14ac:dyDescent="0.25">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0.82833698030634573</v>
      </c>
      <c r="P1540" s="72">
        <f t="shared" si="587"/>
        <v>0.29166666666666663</v>
      </c>
      <c r="Q1540" s="72">
        <f t="shared" si="588"/>
        <v>0</v>
      </c>
      <c r="R1540" s="72">
        <f t="shared" si="589"/>
        <v>0</v>
      </c>
      <c r="S1540" s="72">
        <f t="shared" si="590"/>
        <v>0.97451409447805382</v>
      </c>
      <c r="T1540" s="72">
        <f t="shared" si="591"/>
        <v>0.97451409447805382</v>
      </c>
      <c r="U1540" s="72">
        <f t="shared" si="592"/>
        <v>1</v>
      </c>
    </row>
    <row r="1541" spans="1:21" x14ac:dyDescent="0.25">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0.82900437636761493</v>
      </c>
      <c r="P1541" s="72">
        <f t="shared" si="587"/>
        <v>0.375</v>
      </c>
      <c r="Q1541" s="72">
        <f t="shared" si="588"/>
        <v>0</v>
      </c>
      <c r="R1541" s="72">
        <f t="shared" si="589"/>
        <v>0</v>
      </c>
      <c r="S1541" s="72">
        <f t="shared" si="590"/>
        <v>0.9752992663148411</v>
      </c>
      <c r="T1541" s="72">
        <f t="shared" si="591"/>
        <v>0.9752992663148411</v>
      </c>
      <c r="U1541" s="72">
        <f t="shared" si="592"/>
        <v>1</v>
      </c>
    </row>
    <row r="1542" spans="1:21" x14ac:dyDescent="0.25">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0.82967177242888401</v>
      </c>
      <c r="P1542" s="72">
        <f t="shared" si="587"/>
        <v>0.45833333333333337</v>
      </c>
      <c r="Q1542" s="72">
        <f t="shared" si="588"/>
        <v>0</v>
      </c>
      <c r="R1542" s="72">
        <f t="shared" si="589"/>
        <v>0</v>
      </c>
      <c r="S1542" s="72">
        <f t="shared" si="590"/>
        <v>0.97608443815162826</v>
      </c>
      <c r="T1542" s="72">
        <f t="shared" si="591"/>
        <v>0.97608443815162826</v>
      </c>
      <c r="U1542" s="72">
        <f t="shared" si="592"/>
        <v>1</v>
      </c>
    </row>
    <row r="1543" spans="1:21" x14ac:dyDescent="0.25">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0.83033916849015321</v>
      </c>
      <c r="P1543" s="72">
        <f t="shared" si="587"/>
        <v>0.54166666666666674</v>
      </c>
      <c r="Q1543" s="72">
        <f t="shared" si="588"/>
        <v>0</v>
      </c>
      <c r="R1543" s="72">
        <f t="shared" si="589"/>
        <v>0</v>
      </c>
      <c r="S1543" s="72">
        <f t="shared" si="590"/>
        <v>0.97686960998841554</v>
      </c>
      <c r="T1543" s="72">
        <f t="shared" si="591"/>
        <v>0.97686960998841554</v>
      </c>
      <c r="U1543" s="72">
        <f t="shared" si="592"/>
        <v>1</v>
      </c>
    </row>
    <row r="1544" spans="1:21" x14ac:dyDescent="0.25">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0.83101750547045949</v>
      </c>
      <c r="P1544" s="72">
        <f t="shared" si="587"/>
        <v>0.625</v>
      </c>
      <c r="Q1544" s="72">
        <f t="shared" si="588"/>
        <v>0</v>
      </c>
      <c r="R1544" s="72">
        <f t="shared" si="589"/>
        <v>0</v>
      </c>
      <c r="S1544" s="72">
        <f t="shared" si="590"/>
        <v>0.97766765349465823</v>
      </c>
      <c r="T1544" s="72">
        <f t="shared" si="591"/>
        <v>0.97766765349465823</v>
      </c>
      <c r="U1544" s="72">
        <f t="shared" si="592"/>
        <v>1</v>
      </c>
    </row>
    <row r="1545" spans="1:21" x14ac:dyDescent="0.25">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0.83168490153172869</v>
      </c>
      <c r="P1545" s="72">
        <f t="shared" si="587"/>
        <v>0.70833333333333326</v>
      </c>
      <c r="Q1545" s="72">
        <f t="shared" si="588"/>
        <v>0</v>
      </c>
      <c r="R1545" s="72">
        <f t="shared" si="589"/>
        <v>0</v>
      </c>
      <c r="S1545" s="72">
        <f t="shared" si="590"/>
        <v>0.97845282533144551</v>
      </c>
      <c r="T1545" s="72">
        <f t="shared" si="591"/>
        <v>0.97845282533144551</v>
      </c>
      <c r="U1545" s="72">
        <f t="shared" si="592"/>
        <v>1</v>
      </c>
    </row>
    <row r="1546" spans="1:21" x14ac:dyDescent="0.25">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0.83235229759299778</v>
      </c>
      <c r="P1546" s="72">
        <f t="shared" si="587"/>
        <v>0.79166666666666663</v>
      </c>
      <c r="Q1546" s="72">
        <f t="shared" si="588"/>
        <v>0</v>
      </c>
      <c r="R1546" s="72">
        <f t="shared" si="589"/>
        <v>0</v>
      </c>
      <c r="S1546" s="72">
        <f t="shared" si="590"/>
        <v>0.97923799716823268</v>
      </c>
      <c r="T1546" s="72">
        <f t="shared" si="591"/>
        <v>0.97923799716823268</v>
      </c>
      <c r="U1546" s="72">
        <f t="shared" si="592"/>
        <v>1</v>
      </c>
    </row>
    <row r="1547" spans="1:21" x14ac:dyDescent="0.25">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0.83301969365426698</v>
      </c>
      <c r="P1547" s="72">
        <f t="shared" si="587"/>
        <v>0.875</v>
      </c>
      <c r="Q1547" s="72">
        <f t="shared" si="588"/>
        <v>0</v>
      </c>
      <c r="R1547" s="72">
        <f t="shared" si="589"/>
        <v>0</v>
      </c>
      <c r="S1547" s="72">
        <f t="shared" si="590"/>
        <v>0.98002316900501996</v>
      </c>
      <c r="T1547" s="72">
        <f t="shared" si="591"/>
        <v>0.98002316900501996</v>
      </c>
      <c r="U1547" s="72">
        <f t="shared" si="592"/>
        <v>1</v>
      </c>
    </row>
    <row r="1548" spans="1:21" x14ac:dyDescent="0.25">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0.83368708971553607</v>
      </c>
      <c r="P1548" s="72">
        <f t="shared" si="587"/>
        <v>0.95833333333333337</v>
      </c>
      <c r="Q1548" s="72">
        <f t="shared" si="588"/>
        <v>0</v>
      </c>
      <c r="R1548" s="72">
        <f t="shared" si="589"/>
        <v>0</v>
      </c>
      <c r="S1548" s="72">
        <f t="shared" si="590"/>
        <v>0.98080834084180712</v>
      </c>
      <c r="T1548" s="72">
        <f t="shared" si="591"/>
        <v>0.98080834084180712</v>
      </c>
      <c r="U1548" s="72">
        <f t="shared" si="592"/>
        <v>1</v>
      </c>
    </row>
    <row r="1549" spans="1:21" x14ac:dyDescent="0.25">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0.83436542669584246</v>
      </c>
      <c r="P1549" s="72">
        <f t="shared" si="587"/>
        <v>0.95833333333333337</v>
      </c>
      <c r="Q1549" s="72">
        <f t="shared" si="588"/>
        <v>4.166666666666663E-2</v>
      </c>
      <c r="R1549" s="72">
        <f t="shared" si="589"/>
        <v>0</v>
      </c>
      <c r="S1549" s="72">
        <f t="shared" si="590"/>
        <v>0.98160638434805003</v>
      </c>
      <c r="T1549" s="72">
        <f t="shared" si="591"/>
        <v>0.98160638434805003</v>
      </c>
      <c r="U1549" s="72">
        <f t="shared" si="592"/>
        <v>1</v>
      </c>
    </row>
    <row r="1550" spans="1:21" x14ac:dyDescent="0.25">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0.83501094091903716</v>
      </c>
      <c r="P1550" s="72">
        <f t="shared" si="587"/>
        <v>0.875</v>
      </c>
      <c r="Q1550" s="72">
        <f t="shared" si="588"/>
        <v>0.125</v>
      </c>
      <c r="R1550" s="72">
        <f t="shared" si="589"/>
        <v>0</v>
      </c>
      <c r="S1550" s="72">
        <f t="shared" si="590"/>
        <v>0.98236581284592606</v>
      </c>
      <c r="T1550" s="72">
        <f t="shared" si="591"/>
        <v>0.98236581284592606</v>
      </c>
      <c r="U1550" s="72">
        <f t="shared" si="592"/>
        <v>1</v>
      </c>
    </row>
    <row r="1551" spans="1:21" x14ac:dyDescent="0.25">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0.83565645514223197</v>
      </c>
      <c r="P1551" s="72">
        <f t="shared" si="587"/>
        <v>0.79166666666666663</v>
      </c>
      <c r="Q1551" s="72">
        <f t="shared" si="588"/>
        <v>0.20833333333333337</v>
      </c>
      <c r="R1551" s="72">
        <f t="shared" si="589"/>
        <v>0</v>
      </c>
      <c r="S1551" s="72">
        <f t="shared" si="590"/>
        <v>0.9831252413438023</v>
      </c>
      <c r="T1551" s="72">
        <f t="shared" si="591"/>
        <v>0.9831252413438023</v>
      </c>
      <c r="U1551" s="72">
        <f t="shared" si="592"/>
        <v>1</v>
      </c>
    </row>
    <row r="1552" spans="1:21" x14ac:dyDescent="0.25">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0.83632385120350106</v>
      </c>
      <c r="P1552" s="72">
        <f t="shared" si="587"/>
        <v>0.70833333333333337</v>
      </c>
      <c r="Q1552" s="72">
        <f t="shared" si="588"/>
        <v>0.29166666666666663</v>
      </c>
      <c r="R1552" s="72">
        <f t="shared" si="589"/>
        <v>0</v>
      </c>
      <c r="S1552" s="72">
        <f t="shared" si="590"/>
        <v>1.0232668297078131</v>
      </c>
      <c r="T1552" s="72">
        <f t="shared" si="591"/>
        <v>1.0232668297078131</v>
      </c>
      <c r="U1552" s="72">
        <f t="shared" si="592"/>
        <v>1.04</v>
      </c>
    </row>
    <row r="1553" spans="1:21" x14ac:dyDescent="0.25">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0.83699124726477026</v>
      </c>
      <c r="P1553" s="72">
        <f t="shared" si="587"/>
        <v>0.625</v>
      </c>
      <c r="Q1553" s="72">
        <f t="shared" si="588"/>
        <v>0.375</v>
      </c>
      <c r="R1553" s="72">
        <f t="shared" si="589"/>
        <v>0</v>
      </c>
      <c r="S1553" s="72">
        <f t="shared" si="590"/>
        <v>1.0240834084180719</v>
      </c>
      <c r="T1553" s="72">
        <f t="shared" si="591"/>
        <v>1.0240834084180719</v>
      </c>
      <c r="U1553" s="72">
        <f t="shared" si="592"/>
        <v>1.04</v>
      </c>
    </row>
    <row r="1554" spans="1:21" x14ac:dyDescent="0.25">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0.83765864332603934</v>
      </c>
      <c r="P1554" s="72">
        <f t="shared" si="587"/>
        <v>0.54166666666666663</v>
      </c>
      <c r="Q1554" s="72">
        <f t="shared" si="588"/>
        <v>0.45833333333333337</v>
      </c>
      <c r="R1554" s="72">
        <f t="shared" si="589"/>
        <v>0</v>
      </c>
      <c r="S1554" s="72">
        <f t="shared" si="590"/>
        <v>1.0248999871283304</v>
      </c>
      <c r="T1554" s="72">
        <f t="shared" si="591"/>
        <v>1.0248999871283304</v>
      </c>
      <c r="U1554" s="72">
        <f t="shared" si="592"/>
        <v>1.04</v>
      </c>
    </row>
    <row r="1555" spans="1:21" x14ac:dyDescent="0.25">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0.83832603938730854</v>
      </c>
      <c r="P1555" s="72">
        <f t="shared" si="587"/>
        <v>0.45833333333333331</v>
      </c>
      <c r="Q1555" s="72">
        <f t="shared" si="588"/>
        <v>0.54166666666666674</v>
      </c>
      <c r="R1555" s="72">
        <f t="shared" si="589"/>
        <v>0</v>
      </c>
      <c r="S1555" s="72">
        <f t="shared" si="590"/>
        <v>1.0257165658385894</v>
      </c>
      <c r="T1555" s="72">
        <f t="shared" si="591"/>
        <v>1.0257165658385894</v>
      </c>
      <c r="U1555" s="72">
        <f t="shared" si="592"/>
        <v>1.04</v>
      </c>
    </row>
    <row r="1556" spans="1:21" x14ac:dyDescent="0.25">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0.83900437636761482</v>
      </c>
      <c r="P1556" s="72">
        <f t="shared" si="587"/>
        <v>0.375</v>
      </c>
      <c r="Q1556" s="72">
        <f t="shared" si="588"/>
        <v>0.625</v>
      </c>
      <c r="R1556" s="72">
        <f t="shared" si="589"/>
        <v>0</v>
      </c>
      <c r="S1556" s="72">
        <f t="shared" si="590"/>
        <v>1.0265465310850816</v>
      </c>
      <c r="T1556" s="72">
        <f t="shared" si="591"/>
        <v>1.0265465310850816</v>
      </c>
      <c r="U1556" s="72">
        <f t="shared" si="592"/>
        <v>1.04</v>
      </c>
    </row>
    <row r="1557" spans="1:21" x14ac:dyDescent="0.25">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0.83967177242888402</v>
      </c>
      <c r="P1557" s="72">
        <f t="shared" si="587"/>
        <v>0.29166666666666669</v>
      </c>
      <c r="Q1557" s="72">
        <f t="shared" si="588"/>
        <v>0.70833333333333326</v>
      </c>
      <c r="R1557" s="72">
        <f t="shared" si="589"/>
        <v>0</v>
      </c>
      <c r="S1557" s="72">
        <f t="shared" si="590"/>
        <v>1.0273631097953406</v>
      </c>
      <c r="T1557" s="72">
        <f t="shared" si="591"/>
        <v>1.0273631097953406</v>
      </c>
      <c r="U1557" s="72">
        <f t="shared" si="592"/>
        <v>1.04</v>
      </c>
    </row>
    <row r="1558" spans="1:21" x14ac:dyDescent="0.25">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0.84033916849015311</v>
      </c>
      <c r="P1558" s="72">
        <f t="shared" si="587"/>
        <v>0.20833333333333334</v>
      </c>
      <c r="Q1558" s="72">
        <f t="shared" si="588"/>
        <v>0.79166666666666663</v>
      </c>
      <c r="R1558" s="72">
        <f t="shared" si="589"/>
        <v>0</v>
      </c>
      <c r="S1558" s="72">
        <f t="shared" si="590"/>
        <v>1.0281796885055992</v>
      </c>
      <c r="T1558" s="72">
        <f t="shared" si="591"/>
        <v>1.0281796885055992</v>
      </c>
      <c r="U1558" s="72">
        <f t="shared" si="592"/>
        <v>1.04</v>
      </c>
    </row>
    <row r="1559" spans="1:21" x14ac:dyDescent="0.25">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0.84100656455142231</v>
      </c>
      <c r="P1559" s="72">
        <f t="shared" si="587"/>
        <v>0.125</v>
      </c>
      <c r="Q1559" s="72">
        <f t="shared" si="588"/>
        <v>0.875</v>
      </c>
      <c r="R1559" s="72">
        <f t="shared" si="589"/>
        <v>0</v>
      </c>
      <c r="S1559" s="72">
        <f t="shared" si="590"/>
        <v>1.0289962672158579</v>
      </c>
      <c r="T1559" s="72">
        <f t="shared" si="591"/>
        <v>1.0289962672158579</v>
      </c>
      <c r="U1559" s="72">
        <f t="shared" si="592"/>
        <v>1.04</v>
      </c>
    </row>
    <row r="1560" spans="1:21" x14ac:dyDescent="0.25">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0.8416739606126914</v>
      </c>
      <c r="P1560" s="72">
        <f t="shared" si="587"/>
        <v>4.1666666666666664E-2</v>
      </c>
      <c r="Q1560" s="72">
        <f t="shared" si="588"/>
        <v>0.95833333333333337</v>
      </c>
      <c r="R1560" s="72">
        <f t="shared" si="589"/>
        <v>0</v>
      </c>
      <c r="S1560" s="72">
        <f t="shared" si="590"/>
        <v>1.0298128459261167</v>
      </c>
      <c r="T1560" s="72">
        <f t="shared" si="591"/>
        <v>1.0298128459261167</v>
      </c>
      <c r="U1560" s="72">
        <f t="shared" si="592"/>
        <v>1.04</v>
      </c>
    </row>
    <row r="1561" spans="1:21" x14ac:dyDescent="0.25">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0.84235229759299779</v>
      </c>
      <c r="P1561" s="72">
        <f t="shared" si="587"/>
        <v>0</v>
      </c>
      <c r="Q1561" s="72">
        <f t="shared" si="588"/>
        <v>0.95833333333333337</v>
      </c>
      <c r="R1561" s="72">
        <f t="shared" si="589"/>
        <v>4.166666666666663E-2</v>
      </c>
      <c r="S1561" s="72">
        <f t="shared" si="590"/>
        <v>1.0306428111726091</v>
      </c>
      <c r="T1561" s="72">
        <f t="shared" si="591"/>
        <v>0.98160638434805003</v>
      </c>
      <c r="U1561" s="72">
        <f t="shared" si="592"/>
        <v>1.04</v>
      </c>
    </row>
    <row r="1562" spans="1:21" x14ac:dyDescent="0.25">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0.84299781181619249</v>
      </c>
      <c r="P1562" s="72">
        <f t="shared" si="587"/>
        <v>0</v>
      </c>
      <c r="Q1562" s="72">
        <f t="shared" si="588"/>
        <v>0.875</v>
      </c>
      <c r="R1562" s="72">
        <f t="shared" si="589"/>
        <v>0.125</v>
      </c>
      <c r="S1562" s="72">
        <f t="shared" si="590"/>
        <v>1.0314326168104004</v>
      </c>
      <c r="T1562" s="72">
        <f t="shared" si="591"/>
        <v>0.98236581284592606</v>
      </c>
      <c r="U1562" s="72">
        <f t="shared" si="592"/>
        <v>1.04</v>
      </c>
    </row>
    <row r="1563" spans="1:21" x14ac:dyDescent="0.25">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0.8436433260393873</v>
      </c>
      <c r="P1563" s="72">
        <f t="shared" si="587"/>
        <v>0</v>
      </c>
      <c r="Q1563" s="72">
        <f t="shared" si="588"/>
        <v>0.79166666666666663</v>
      </c>
      <c r="R1563" s="72">
        <f t="shared" si="589"/>
        <v>0.20833333333333337</v>
      </c>
      <c r="S1563" s="72">
        <f t="shared" si="590"/>
        <v>1.0322224224481917</v>
      </c>
      <c r="T1563" s="72">
        <f t="shared" si="591"/>
        <v>0.9831252413438023</v>
      </c>
      <c r="U1563" s="72">
        <f t="shared" si="592"/>
        <v>1.04</v>
      </c>
    </row>
    <row r="1564" spans="1:21" x14ac:dyDescent="0.25">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0.84431072210065639</v>
      </c>
      <c r="P1564" s="72">
        <f t="shared" si="587"/>
        <v>0</v>
      </c>
      <c r="Q1564" s="72">
        <f t="shared" si="588"/>
        <v>0.70833333333333337</v>
      </c>
      <c r="R1564" s="72">
        <f t="shared" si="589"/>
        <v>0.29166666666666663</v>
      </c>
      <c r="S1564" s="72">
        <f t="shared" si="590"/>
        <v>1.0330390011584503</v>
      </c>
      <c r="T1564" s="72">
        <f t="shared" si="591"/>
        <v>1.0232668297078131</v>
      </c>
      <c r="U1564" s="72">
        <f t="shared" si="592"/>
        <v>1.04</v>
      </c>
    </row>
    <row r="1565" spans="1:21" x14ac:dyDescent="0.25">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0.84497811816192558</v>
      </c>
      <c r="P1565" s="72">
        <f t="shared" si="587"/>
        <v>0</v>
      </c>
      <c r="Q1565" s="72">
        <f t="shared" si="588"/>
        <v>0.625</v>
      </c>
      <c r="R1565" s="72">
        <f t="shared" si="589"/>
        <v>0.375</v>
      </c>
      <c r="S1565" s="72">
        <f t="shared" si="590"/>
        <v>1.033855579868709</v>
      </c>
      <c r="T1565" s="72">
        <f t="shared" si="591"/>
        <v>1.0240834084180719</v>
      </c>
      <c r="U1565" s="72">
        <f t="shared" si="592"/>
        <v>1.04</v>
      </c>
    </row>
    <row r="1566" spans="1:21" x14ac:dyDescent="0.25">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0.84564551422319467</v>
      </c>
      <c r="P1566" s="72">
        <f t="shared" si="587"/>
        <v>0</v>
      </c>
      <c r="Q1566" s="72">
        <f t="shared" si="588"/>
        <v>0.54166666666666663</v>
      </c>
      <c r="R1566" s="72">
        <f t="shared" si="589"/>
        <v>0.45833333333333337</v>
      </c>
      <c r="S1566" s="72">
        <f t="shared" si="590"/>
        <v>1.0346721585789678</v>
      </c>
      <c r="T1566" s="72">
        <f t="shared" si="591"/>
        <v>1.0248999871283304</v>
      </c>
      <c r="U1566" s="72">
        <f t="shared" si="592"/>
        <v>1.04</v>
      </c>
    </row>
    <row r="1567" spans="1:21" x14ac:dyDescent="0.25">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0.84631291028446387</v>
      </c>
      <c r="P1567" s="72">
        <f t="shared" si="587"/>
        <v>0</v>
      </c>
      <c r="Q1567" s="72">
        <f t="shared" si="588"/>
        <v>0.45833333333333331</v>
      </c>
      <c r="R1567" s="72">
        <f t="shared" si="589"/>
        <v>0.54166666666666674</v>
      </c>
      <c r="S1567" s="72">
        <f t="shared" si="590"/>
        <v>1.0354887372892265</v>
      </c>
      <c r="T1567" s="72">
        <f t="shared" si="591"/>
        <v>1.0257165658385894</v>
      </c>
      <c r="U1567" s="72">
        <f t="shared" si="592"/>
        <v>1.04</v>
      </c>
    </row>
    <row r="1568" spans="1:21" x14ac:dyDescent="0.25">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0.84699124726477026</v>
      </c>
      <c r="P1568" s="72">
        <f t="shared" si="587"/>
        <v>0</v>
      </c>
      <c r="Q1568" s="72">
        <f t="shared" si="588"/>
        <v>0.375</v>
      </c>
      <c r="R1568" s="72">
        <f t="shared" si="589"/>
        <v>0.625</v>
      </c>
      <c r="S1568" s="72">
        <f t="shared" si="590"/>
        <v>1.036318702535719</v>
      </c>
      <c r="T1568" s="72">
        <f t="shared" si="591"/>
        <v>1.0265465310850816</v>
      </c>
      <c r="U1568" s="72">
        <f t="shared" si="592"/>
        <v>1.04</v>
      </c>
    </row>
    <row r="1569" spans="1:21" x14ac:dyDescent="0.25">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0.84765864332603935</v>
      </c>
      <c r="P1569" s="72">
        <f t="shared" si="587"/>
        <v>0</v>
      </c>
      <c r="Q1569" s="72">
        <f t="shared" si="588"/>
        <v>0.29166666666666669</v>
      </c>
      <c r="R1569" s="72">
        <f t="shared" si="589"/>
        <v>0.70833333333333326</v>
      </c>
      <c r="S1569" s="72">
        <f t="shared" si="590"/>
        <v>1.0371352812459775</v>
      </c>
      <c r="T1569" s="72">
        <f t="shared" si="591"/>
        <v>1.0273631097953406</v>
      </c>
      <c r="U1569" s="72">
        <f t="shared" si="592"/>
        <v>1.04</v>
      </c>
    </row>
    <row r="1570" spans="1:21" x14ac:dyDescent="0.25">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0.84832603938730855</v>
      </c>
      <c r="P1570" s="72">
        <f t="shared" si="587"/>
        <v>0</v>
      </c>
      <c r="Q1570" s="72">
        <f t="shared" si="588"/>
        <v>0.20833333333333334</v>
      </c>
      <c r="R1570" s="72">
        <f t="shared" si="589"/>
        <v>0.79166666666666663</v>
      </c>
      <c r="S1570" s="72">
        <f t="shared" si="590"/>
        <v>1.0379518599562365</v>
      </c>
      <c r="T1570" s="72">
        <f t="shared" si="591"/>
        <v>1.0281796885055992</v>
      </c>
      <c r="U1570" s="72">
        <f t="shared" si="592"/>
        <v>1.04</v>
      </c>
    </row>
    <row r="1571" spans="1:21" x14ac:dyDescent="0.25">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0.84899343544857764</v>
      </c>
      <c r="P1571" s="72">
        <f t="shared" si="587"/>
        <v>0</v>
      </c>
      <c r="Q1571" s="72">
        <f t="shared" si="588"/>
        <v>0.125</v>
      </c>
      <c r="R1571" s="72">
        <f t="shared" si="589"/>
        <v>0.875</v>
      </c>
      <c r="S1571" s="72">
        <f t="shared" si="590"/>
        <v>1.038768438666495</v>
      </c>
      <c r="T1571" s="72">
        <f t="shared" si="591"/>
        <v>1.0289962672158579</v>
      </c>
      <c r="U1571" s="72">
        <f t="shared" si="592"/>
        <v>1.04</v>
      </c>
    </row>
    <row r="1572" spans="1:21" x14ac:dyDescent="0.25">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0.84966083150984684</v>
      </c>
      <c r="P1572" s="72">
        <f t="shared" si="587"/>
        <v>0</v>
      </c>
      <c r="Q1572" s="72">
        <f t="shared" si="588"/>
        <v>4.1666666666666664E-2</v>
      </c>
      <c r="R1572" s="72">
        <f t="shared" si="589"/>
        <v>0.95833333333333337</v>
      </c>
      <c r="S1572" s="72">
        <f t="shared" si="590"/>
        <v>1.0395850173767538</v>
      </c>
      <c r="T1572" s="72">
        <f t="shared" si="591"/>
        <v>1.0298128459261167</v>
      </c>
      <c r="U1572" s="72">
        <f t="shared" si="592"/>
        <v>1.04</v>
      </c>
    </row>
    <row r="1573" spans="1:21" x14ac:dyDescent="0.25">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0.85</v>
      </c>
      <c r="P1573" s="72">
        <f t="shared" si="587"/>
        <v>0</v>
      </c>
      <c r="Q1573" s="72">
        <f t="shared" si="588"/>
        <v>0</v>
      </c>
      <c r="R1573" s="72">
        <f t="shared" si="589"/>
        <v>0.95833333333333337</v>
      </c>
      <c r="S1573" s="72">
        <f t="shared" si="590"/>
        <v>1.04</v>
      </c>
      <c r="T1573" s="72">
        <f t="shared" si="591"/>
        <v>0.98160638434805003</v>
      </c>
      <c r="U1573" s="72">
        <f t="shared" si="592"/>
        <v>1.04</v>
      </c>
    </row>
    <row r="1574" spans="1:21" x14ac:dyDescent="0.25">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0.85</v>
      </c>
      <c r="P1574" s="72">
        <f t="shared" si="587"/>
        <v>0</v>
      </c>
      <c r="Q1574" s="72">
        <f t="shared" si="588"/>
        <v>0</v>
      </c>
      <c r="R1574" s="72">
        <f t="shared" si="589"/>
        <v>0.875</v>
      </c>
      <c r="S1574" s="72">
        <f t="shared" si="590"/>
        <v>1.04</v>
      </c>
      <c r="T1574" s="72">
        <f t="shared" si="591"/>
        <v>0.98236581284592606</v>
      </c>
      <c r="U1574" s="72">
        <f t="shared" si="592"/>
        <v>1.04</v>
      </c>
    </row>
    <row r="1575" spans="1:21" x14ac:dyDescent="0.25">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0.85</v>
      </c>
      <c r="P1575" s="72">
        <f t="shared" si="587"/>
        <v>0</v>
      </c>
      <c r="Q1575" s="72">
        <f t="shared" si="588"/>
        <v>0</v>
      </c>
      <c r="R1575" s="72">
        <f t="shared" si="589"/>
        <v>0.79166666666666663</v>
      </c>
      <c r="S1575" s="72">
        <f t="shared" si="590"/>
        <v>1.04</v>
      </c>
      <c r="T1575" s="72">
        <f t="shared" si="591"/>
        <v>0.9831252413438023</v>
      </c>
      <c r="U1575" s="72">
        <f t="shared" si="592"/>
        <v>1.04</v>
      </c>
    </row>
    <row r="1576" spans="1:21" x14ac:dyDescent="0.25">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0.85</v>
      </c>
      <c r="P1576" s="72">
        <f t="shared" si="587"/>
        <v>0</v>
      </c>
      <c r="Q1576" s="72">
        <f t="shared" si="588"/>
        <v>0</v>
      </c>
      <c r="R1576" s="72">
        <f t="shared" si="589"/>
        <v>0.70833333333333337</v>
      </c>
      <c r="S1576" s="72">
        <f t="shared" si="590"/>
        <v>1.04</v>
      </c>
      <c r="T1576" s="72">
        <f t="shared" si="591"/>
        <v>1.0232668297078131</v>
      </c>
      <c r="U1576" s="72">
        <f t="shared" si="592"/>
        <v>1.04</v>
      </c>
    </row>
    <row r="1577" spans="1:21" x14ac:dyDescent="0.25">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0.85</v>
      </c>
      <c r="P1577" s="72">
        <f t="shared" si="587"/>
        <v>0</v>
      </c>
      <c r="Q1577" s="72">
        <f t="shared" si="588"/>
        <v>0</v>
      </c>
      <c r="R1577" s="72">
        <f t="shared" si="589"/>
        <v>0.625</v>
      </c>
      <c r="S1577" s="72">
        <f t="shared" si="590"/>
        <v>1.04</v>
      </c>
      <c r="T1577" s="72">
        <f t="shared" si="591"/>
        <v>1.0240834084180719</v>
      </c>
      <c r="U1577" s="72">
        <f t="shared" si="592"/>
        <v>1.04</v>
      </c>
    </row>
    <row r="1578" spans="1:21" x14ac:dyDescent="0.25">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0.85</v>
      </c>
      <c r="P1578" s="72">
        <f t="shared" si="587"/>
        <v>0</v>
      </c>
      <c r="Q1578" s="72">
        <f t="shared" si="588"/>
        <v>0</v>
      </c>
      <c r="R1578" s="72">
        <f t="shared" si="589"/>
        <v>0.54166666666666663</v>
      </c>
      <c r="S1578" s="72">
        <f t="shared" si="590"/>
        <v>1.04</v>
      </c>
      <c r="T1578" s="72">
        <f t="shared" si="591"/>
        <v>1.0248999871283304</v>
      </c>
      <c r="U1578" s="72">
        <f t="shared" si="592"/>
        <v>1.04</v>
      </c>
    </row>
    <row r="1579" spans="1:21" x14ac:dyDescent="0.25">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0.85</v>
      </c>
      <c r="P1579" s="72">
        <f t="shared" si="587"/>
        <v>0</v>
      </c>
      <c r="Q1579" s="72">
        <f t="shared" si="588"/>
        <v>0</v>
      </c>
      <c r="R1579" s="72">
        <f t="shared" si="589"/>
        <v>0.45833333333333331</v>
      </c>
      <c r="S1579" s="72">
        <f t="shared" si="590"/>
        <v>1.04</v>
      </c>
      <c r="T1579" s="72">
        <f t="shared" si="591"/>
        <v>1.0257165658385894</v>
      </c>
      <c r="U1579" s="72">
        <f t="shared" si="592"/>
        <v>1.04</v>
      </c>
    </row>
    <row r="1580" spans="1:21" x14ac:dyDescent="0.25">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0.85</v>
      </c>
      <c r="P1580" s="72">
        <f t="shared" si="587"/>
        <v>0</v>
      </c>
      <c r="Q1580" s="72">
        <f t="shared" si="588"/>
        <v>0</v>
      </c>
      <c r="R1580" s="72">
        <f t="shared" si="589"/>
        <v>0.375</v>
      </c>
      <c r="S1580" s="72">
        <f t="shared" si="590"/>
        <v>1.04</v>
      </c>
      <c r="T1580" s="72">
        <f t="shared" si="591"/>
        <v>1.0265465310850816</v>
      </c>
      <c r="U1580" s="72">
        <f t="shared" si="592"/>
        <v>1.04</v>
      </c>
    </row>
    <row r="1581" spans="1:21" x14ac:dyDescent="0.25">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0.85</v>
      </c>
      <c r="P1581" s="72">
        <f t="shared" si="587"/>
        <v>0</v>
      </c>
      <c r="Q1581" s="72">
        <f t="shared" si="588"/>
        <v>0</v>
      </c>
      <c r="R1581" s="72">
        <f t="shared" si="589"/>
        <v>0.29166666666666669</v>
      </c>
      <c r="S1581" s="72">
        <f t="shared" si="590"/>
        <v>1.04</v>
      </c>
      <c r="T1581" s="72">
        <f t="shared" si="591"/>
        <v>1.0273631097953406</v>
      </c>
      <c r="U1581" s="72">
        <f t="shared" si="592"/>
        <v>1.04</v>
      </c>
    </row>
    <row r="1582" spans="1:21" x14ac:dyDescent="0.25">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0.85</v>
      </c>
      <c r="P1582" s="72">
        <f t="shared" si="587"/>
        <v>0</v>
      </c>
      <c r="Q1582" s="72">
        <f t="shared" si="588"/>
        <v>0</v>
      </c>
      <c r="R1582" s="72">
        <f t="shared" si="589"/>
        <v>0.20833333333333334</v>
      </c>
      <c r="S1582" s="72">
        <f t="shared" si="590"/>
        <v>1.04</v>
      </c>
      <c r="T1582" s="72">
        <f t="shared" si="591"/>
        <v>1.0281796885055992</v>
      </c>
      <c r="U1582" s="72">
        <f t="shared" si="592"/>
        <v>1.04</v>
      </c>
    </row>
    <row r="1583" spans="1:21" x14ac:dyDescent="0.25">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0.85</v>
      </c>
      <c r="P1583" s="72">
        <f t="shared" si="587"/>
        <v>0</v>
      </c>
      <c r="Q1583" s="72">
        <f t="shared" si="588"/>
        <v>0</v>
      </c>
      <c r="R1583" s="72">
        <f t="shared" si="589"/>
        <v>0.125</v>
      </c>
      <c r="S1583" s="72">
        <f t="shared" si="590"/>
        <v>1.04</v>
      </c>
      <c r="T1583" s="72">
        <f t="shared" si="591"/>
        <v>1.0289962672158579</v>
      </c>
      <c r="U1583" s="72">
        <f t="shared" si="592"/>
        <v>1.04</v>
      </c>
    </row>
    <row r="1584" spans="1:21" x14ac:dyDescent="0.25">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0.85</v>
      </c>
      <c r="P1584" s="72">
        <f t="shared" si="587"/>
        <v>0</v>
      </c>
      <c r="Q1584" s="72">
        <f t="shared" si="588"/>
        <v>0</v>
      </c>
      <c r="R1584" s="72">
        <f t="shared" si="589"/>
        <v>4.1666666666666664E-2</v>
      </c>
      <c r="S1584" s="72">
        <f t="shared" si="590"/>
        <v>1.04</v>
      </c>
      <c r="T1584" s="72">
        <f t="shared" si="591"/>
        <v>1.0298128459261167</v>
      </c>
      <c r="U1584" s="72">
        <f t="shared" si="592"/>
        <v>1.04</v>
      </c>
    </row>
    <row r="1585" spans="1:21" x14ac:dyDescent="0.25">
      <c r="A1585" s="77" t="s">
        <v>1209</v>
      </c>
      <c r="B1585" s="50">
        <f>EXP(SUMPRODUCT((rl_key=$A$1534)*(rl_cons="Y")*rl_ln1p))</f>
        <v>1.04</v>
      </c>
      <c r="C1585" s="50">
        <f>SUMPRODUCT($H$1537:$H$1584,$P$1537:$P$1584,$U$1537:$U$1584)/SUMPRODUCT($H$1537:$H$1584,$P$1537:$P$1584)</f>
        <v>1.01125</v>
      </c>
      <c r="D1585" s="50">
        <f>SUMPRODUCT($H$1537:$H$1584,$Q$1537:$Q$1584,$U$1537:$U$1584)/SUMPRODUCT($H$1537:$H$1584,$Q$1537:$Q$1584)</f>
        <v>1.0387500000000001</v>
      </c>
      <c r="E1585" s="50">
        <f>SUMPRODUCT($H$1537:$H$1584,$R$1537:$R$1584,$U$1537:$U$1584)/SUMPRODUCT($H$1537:$H$1584,$R$1537:$R$1584)</f>
        <v>1.0400000000000003</v>
      </c>
      <c r="F1585" s="169">
        <f>SUMPRODUCT($H$1537:$H$1584,$Q$1537:$Q$1584,$O$1537:$O$1584)/SUMPRODUCT($H$1537:$H$1584,$Q$1537:$Q$1584)</f>
        <v>0.84199580598103541</v>
      </c>
      <c r="G1585" s="169">
        <f>SUMPRODUCT($H$1537:$H$1584,$R$1537:$R$1584,$O$1537:$O$1584)/SUMPRODUCT($H$1537:$H$1584,$R$1537:$R$1584)</f>
        <v>0.84865635637004611</v>
      </c>
    </row>
    <row r="1588" spans="1:21" x14ac:dyDescent="0.25">
      <c r="A1588" s="77" t="str">
        <f>INDEX(lr_key,29)</f>
        <v>BU-B|IN</v>
      </c>
      <c r="B1588" s="77" t="str">
        <f>INDEX(lr_state,29)</f>
        <v>IN</v>
      </c>
      <c r="C1588" s="52">
        <f>nr_TermMonths</f>
        <v>12</v>
      </c>
      <c r="D1588" s="52">
        <f>IF(COUNTIF(se_state,$B1588)=0,0,MATCH($B1588,se_state,0))</f>
        <v>2</v>
      </c>
      <c r="E1588" s="54">
        <f>IF($D1588=0,0,INDEX(se_sum,$D1588))</f>
        <v>11.999999999999998</v>
      </c>
      <c r="F1588" s="169">
        <f>IF(N(INDEX(lr_mind,29))=0,1,INDEX(lr_mind,29))</f>
        <v>0.85</v>
      </c>
      <c r="G1588" s="169">
        <f>IF(N(INDEX(lr_m0,29))=0,1,INDEX(lr_m0,29))</f>
        <v>0.84</v>
      </c>
      <c r="H1588" s="51">
        <f>IF(N(INDEX(lr_m0asof,29))=0,DATE(nr_PlanYear-1,10,1),INDEX(lr_m0asof,29))</f>
        <v>46295</v>
      </c>
      <c r="I1588" s="169">
        <f>IF(N(INDEX(lr_m1,29))=0,1,INDEX(lr_m1,29))</f>
        <v>0.83</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25">
      <c r="A1589" s="77">
        <f>EDATE($H$1588,-12)+1</f>
        <v>45931</v>
      </c>
      <c r="B1589" s="77">
        <f>$H$1588+1</f>
        <v>46296</v>
      </c>
      <c r="C1589" s="77">
        <f>DATE(nr_PlanYear,12,31)+1</f>
        <v>46753</v>
      </c>
      <c r="D1589" s="77">
        <f>DATE(nr_PlanYear+1,12,31)+1</f>
        <v>47119</v>
      </c>
      <c r="E1589" s="77">
        <f>IF(N($J$1588)=0,$F$1589-($G$1589-$F$1589)/($C$1589-$B$1589)*($B$1589-$A$1589),$J$1588)</f>
        <v>0.8479868708971553</v>
      </c>
      <c r="F1589" s="77">
        <f>$G$1588</f>
        <v>0.84</v>
      </c>
      <c r="G1589" s="77">
        <f>$I$1588</f>
        <v>0.83</v>
      </c>
      <c r="H1589" s="77">
        <f>IF(N($K$1588)=0,$I$1588,$K$1588)</f>
        <v>0.83</v>
      </c>
      <c r="I1589" s="77">
        <f>($F$1589-$E$1589)/($B$1589-$A$1589)</f>
        <v>-2.1881838074398162E-5</v>
      </c>
      <c r="J1589" s="77">
        <f>($G$1589-$F$1589)/($C$1589-$B$1589)</f>
        <v>-2.188183807439827E-5</v>
      </c>
      <c r="K1589" s="77">
        <f>($H$1589-$G$1589)/($D$1589-$C$1589)</f>
        <v>0</v>
      </c>
    </row>
    <row r="1590" spans="1:21" ht="24" x14ac:dyDescent="0.25">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25">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0.85362144420131281</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1.0042605225897798</v>
      </c>
      <c r="T1591" s="72">
        <f t="shared" ref="T1591:T1638" si="611">IF($G1591&lt;nr_MStartP,$S1591,$T1579*(1+IF($G1591&lt;nr_MStartP1,$M$1588,$N$1588)))</f>
        <v>1.0042605225897798</v>
      </c>
      <c r="U1591" s="72">
        <f t="shared" ref="U1591:U1638" si="612">IF($L$1588,$T1591,$N1591)</f>
        <v>1</v>
      </c>
    </row>
    <row r="1592" spans="1:21" x14ac:dyDescent="0.25">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0.85297592997811811</v>
      </c>
      <c r="P1592" s="72">
        <f t="shared" si="607"/>
        <v>0.125</v>
      </c>
      <c r="Q1592" s="72">
        <f t="shared" si="608"/>
        <v>0</v>
      </c>
      <c r="R1592" s="72">
        <f t="shared" si="609"/>
        <v>0</v>
      </c>
      <c r="S1592" s="72">
        <f t="shared" si="610"/>
        <v>1.0035010940919036</v>
      </c>
      <c r="T1592" s="72">
        <f t="shared" si="611"/>
        <v>1.0035010940919036</v>
      </c>
      <c r="U1592" s="72">
        <f t="shared" si="612"/>
        <v>1</v>
      </c>
    </row>
    <row r="1593" spans="1:21" x14ac:dyDescent="0.25">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0.8523304157549233</v>
      </c>
      <c r="P1593" s="72">
        <f t="shared" si="607"/>
        <v>0.20833333333333337</v>
      </c>
      <c r="Q1593" s="72">
        <f t="shared" si="608"/>
        <v>0</v>
      </c>
      <c r="R1593" s="72">
        <f t="shared" si="609"/>
        <v>0</v>
      </c>
      <c r="S1593" s="72">
        <f t="shared" si="610"/>
        <v>1.0027416655940273</v>
      </c>
      <c r="T1593" s="72">
        <f t="shared" si="611"/>
        <v>1.0027416655940273</v>
      </c>
      <c r="U1593" s="72">
        <f t="shared" si="612"/>
        <v>1</v>
      </c>
    </row>
    <row r="1594" spans="1:21" x14ac:dyDescent="0.25">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0.85166301969365421</v>
      </c>
      <c r="P1594" s="72">
        <f t="shared" si="607"/>
        <v>0.29166666666666663</v>
      </c>
      <c r="Q1594" s="72">
        <f t="shared" si="608"/>
        <v>0</v>
      </c>
      <c r="R1594" s="72">
        <f t="shared" si="609"/>
        <v>0</v>
      </c>
      <c r="S1594" s="72">
        <f t="shared" si="610"/>
        <v>1.0019564937572403</v>
      </c>
      <c r="T1594" s="72">
        <f t="shared" si="611"/>
        <v>1.0019564937572403</v>
      </c>
      <c r="U1594" s="72">
        <f t="shared" si="612"/>
        <v>1</v>
      </c>
    </row>
    <row r="1595" spans="1:21" x14ac:dyDescent="0.25">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0.85099562363238501</v>
      </c>
      <c r="P1595" s="72">
        <f t="shared" si="607"/>
        <v>0.375</v>
      </c>
      <c r="Q1595" s="72">
        <f t="shared" si="608"/>
        <v>0</v>
      </c>
      <c r="R1595" s="72">
        <f t="shared" si="609"/>
        <v>0</v>
      </c>
      <c r="S1595" s="72">
        <f t="shared" si="610"/>
        <v>1.001171321920453</v>
      </c>
      <c r="T1595" s="72">
        <f t="shared" si="611"/>
        <v>1.001171321920453</v>
      </c>
      <c r="U1595" s="72">
        <f t="shared" si="612"/>
        <v>1</v>
      </c>
    </row>
    <row r="1596" spans="1:21" x14ac:dyDescent="0.25">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0.85032822757111592</v>
      </c>
      <c r="P1596" s="72">
        <f t="shared" si="607"/>
        <v>0.45833333333333337</v>
      </c>
      <c r="Q1596" s="72">
        <f t="shared" si="608"/>
        <v>0</v>
      </c>
      <c r="R1596" s="72">
        <f t="shared" si="609"/>
        <v>0</v>
      </c>
      <c r="S1596" s="72">
        <f t="shared" si="610"/>
        <v>1.0003861500836657</v>
      </c>
      <c r="T1596" s="72">
        <f t="shared" si="611"/>
        <v>1.0003861500836657</v>
      </c>
      <c r="U1596" s="72">
        <f t="shared" si="612"/>
        <v>1</v>
      </c>
    </row>
    <row r="1597" spans="1:21" x14ac:dyDescent="0.25">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0.84966083150984673</v>
      </c>
      <c r="P1597" s="72">
        <f t="shared" si="607"/>
        <v>0.54166666666666674</v>
      </c>
      <c r="Q1597" s="72">
        <f t="shared" si="608"/>
        <v>0</v>
      </c>
      <c r="R1597" s="72">
        <f t="shared" si="609"/>
        <v>0</v>
      </c>
      <c r="S1597" s="72">
        <f t="shared" si="610"/>
        <v>0.99960097824687855</v>
      </c>
      <c r="T1597" s="72">
        <f t="shared" si="611"/>
        <v>0.99960097824687855</v>
      </c>
      <c r="U1597" s="72">
        <f t="shared" si="612"/>
        <v>1</v>
      </c>
    </row>
    <row r="1598" spans="1:21" x14ac:dyDescent="0.25">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0.84898249452954044</v>
      </c>
      <c r="P1598" s="72">
        <f t="shared" si="607"/>
        <v>0.625</v>
      </c>
      <c r="Q1598" s="72">
        <f t="shared" si="608"/>
        <v>0</v>
      </c>
      <c r="R1598" s="72">
        <f t="shared" si="609"/>
        <v>0</v>
      </c>
      <c r="S1598" s="72">
        <f t="shared" si="610"/>
        <v>0.99880293474063586</v>
      </c>
      <c r="T1598" s="72">
        <f t="shared" si="611"/>
        <v>0.99880293474063586</v>
      </c>
      <c r="U1598" s="72">
        <f t="shared" si="612"/>
        <v>1</v>
      </c>
    </row>
    <row r="1599" spans="1:21" x14ac:dyDescent="0.25">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0.84831509846827124</v>
      </c>
      <c r="P1599" s="72">
        <f t="shared" si="607"/>
        <v>0.70833333333333326</v>
      </c>
      <c r="Q1599" s="72">
        <f t="shared" si="608"/>
        <v>0</v>
      </c>
      <c r="R1599" s="72">
        <f t="shared" si="609"/>
        <v>0</v>
      </c>
      <c r="S1599" s="72">
        <f t="shared" si="610"/>
        <v>0.99801776290384858</v>
      </c>
      <c r="T1599" s="72">
        <f t="shared" si="611"/>
        <v>0.99801776290384858</v>
      </c>
      <c r="U1599" s="72">
        <f t="shared" si="612"/>
        <v>1</v>
      </c>
    </row>
    <row r="1600" spans="1:21" x14ac:dyDescent="0.25">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0.84764770240700216</v>
      </c>
      <c r="P1600" s="72">
        <f t="shared" si="607"/>
        <v>0.79166666666666663</v>
      </c>
      <c r="Q1600" s="72">
        <f t="shared" si="608"/>
        <v>0</v>
      </c>
      <c r="R1600" s="72">
        <f t="shared" si="609"/>
        <v>0</v>
      </c>
      <c r="S1600" s="72">
        <f t="shared" si="610"/>
        <v>0.99723259106706141</v>
      </c>
      <c r="T1600" s="72">
        <f t="shared" si="611"/>
        <v>0.99723259106706141</v>
      </c>
      <c r="U1600" s="72">
        <f t="shared" si="612"/>
        <v>1</v>
      </c>
    </row>
    <row r="1601" spans="1:21" x14ac:dyDescent="0.25">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0.84698030634573296</v>
      </c>
      <c r="P1601" s="72">
        <f t="shared" si="607"/>
        <v>0.875</v>
      </c>
      <c r="Q1601" s="72">
        <f t="shared" si="608"/>
        <v>0</v>
      </c>
      <c r="R1601" s="72">
        <f t="shared" si="609"/>
        <v>0</v>
      </c>
      <c r="S1601" s="72">
        <f t="shared" si="610"/>
        <v>0.99644741923027413</v>
      </c>
      <c r="T1601" s="72">
        <f t="shared" si="611"/>
        <v>0.99644741923027413</v>
      </c>
      <c r="U1601" s="72">
        <f t="shared" si="612"/>
        <v>1</v>
      </c>
    </row>
    <row r="1602" spans="1:21" x14ac:dyDescent="0.25">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0.84631291028446387</v>
      </c>
      <c r="P1602" s="72">
        <f t="shared" si="607"/>
        <v>0.95833333333333337</v>
      </c>
      <c r="Q1602" s="72">
        <f t="shared" si="608"/>
        <v>0</v>
      </c>
      <c r="R1602" s="72">
        <f t="shared" si="609"/>
        <v>0</v>
      </c>
      <c r="S1602" s="72">
        <f t="shared" si="610"/>
        <v>0.99566224739348697</v>
      </c>
      <c r="T1602" s="72">
        <f t="shared" si="611"/>
        <v>0.99566224739348697</v>
      </c>
      <c r="U1602" s="72">
        <f t="shared" si="612"/>
        <v>1</v>
      </c>
    </row>
    <row r="1603" spans="1:21" x14ac:dyDescent="0.25">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0.84563457330415748</v>
      </c>
      <c r="P1603" s="72">
        <f t="shared" si="607"/>
        <v>0.95833333333333337</v>
      </c>
      <c r="Q1603" s="72">
        <f t="shared" si="608"/>
        <v>4.166666666666663E-2</v>
      </c>
      <c r="R1603" s="72">
        <f t="shared" si="609"/>
        <v>0</v>
      </c>
      <c r="S1603" s="72">
        <f t="shared" si="610"/>
        <v>0.99486420388724417</v>
      </c>
      <c r="T1603" s="72">
        <f t="shared" si="611"/>
        <v>0.99486420388724417</v>
      </c>
      <c r="U1603" s="72">
        <f t="shared" si="612"/>
        <v>1</v>
      </c>
    </row>
    <row r="1604" spans="1:21" x14ac:dyDescent="0.25">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0.84498905908096278</v>
      </c>
      <c r="P1604" s="72">
        <f t="shared" si="607"/>
        <v>0.875</v>
      </c>
      <c r="Q1604" s="72">
        <f t="shared" si="608"/>
        <v>0.125</v>
      </c>
      <c r="R1604" s="72">
        <f t="shared" si="609"/>
        <v>0</v>
      </c>
      <c r="S1604" s="72">
        <f t="shared" si="610"/>
        <v>0.99410477538936803</v>
      </c>
      <c r="T1604" s="72">
        <f t="shared" si="611"/>
        <v>0.99410477538936803</v>
      </c>
      <c r="U1604" s="72">
        <f t="shared" si="612"/>
        <v>1</v>
      </c>
    </row>
    <row r="1605" spans="1:21" x14ac:dyDescent="0.25">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0.84434354485776797</v>
      </c>
      <c r="P1605" s="72">
        <f t="shared" si="607"/>
        <v>0.79166666666666663</v>
      </c>
      <c r="Q1605" s="72">
        <f t="shared" si="608"/>
        <v>0.20833333333333337</v>
      </c>
      <c r="R1605" s="72">
        <f t="shared" si="609"/>
        <v>0</v>
      </c>
      <c r="S1605" s="72">
        <f t="shared" si="610"/>
        <v>0.99334534689149179</v>
      </c>
      <c r="T1605" s="72">
        <f t="shared" si="611"/>
        <v>0.99334534689149179</v>
      </c>
      <c r="U1605" s="72">
        <f t="shared" si="612"/>
        <v>1</v>
      </c>
    </row>
    <row r="1606" spans="1:21" x14ac:dyDescent="0.25">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0.84367614879649888</v>
      </c>
      <c r="P1606" s="72">
        <f t="shared" si="607"/>
        <v>0.70833333333333337</v>
      </c>
      <c r="Q1606" s="72">
        <f t="shared" si="608"/>
        <v>0.29166666666666663</v>
      </c>
      <c r="R1606" s="72">
        <f t="shared" si="609"/>
        <v>0</v>
      </c>
      <c r="S1606" s="72">
        <f t="shared" si="610"/>
        <v>0.99256017505470462</v>
      </c>
      <c r="T1606" s="72">
        <f t="shared" si="611"/>
        <v>0.99256017505470462</v>
      </c>
      <c r="U1606" s="72">
        <f t="shared" si="612"/>
        <v>1</v>
      </c>
    </row>
    <row r="1607" spans="1:21" x14ac:dyDescent="0.25">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0.84300875273522968</v>
      </c>
      <c r="P1607" s="72">
        <f t="shared" si="607"/>
        <v>0.625</v>
      </c>
      <c r="Q1607" s="72">
        <f t="shared" si="608"/>
        <v>0.375</v>
      </c>
      <c r="R1607" s="72">
        <f t="shared" si="609"/>
        <v>0</v>
      </c>
      <c r="S1607" s="72">
        <f t="shared" si="610"/>
        <v>1.0413637533788132</v>
      </c>
      <c r="T1607" s="72">
        <f t="shared" si="611"/>
        <v>1.0413637533788132</v>
      </c>
      <c r="U1607" s="72">
        <f t="shared" si="612"/>
        <v>1.05</v>
      </c>
    </row>
    <row r="1608" spans="1:21" x14ac:dyDescent="0.25">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0.8423413566739606</v>
      </c>
      <c r="P1608" s="72">
        <f t="shared" si="607"/>
        <v>0.54166666666666663</v>
      </c>
      <c r="Q1608" s="72">
        <f t="shared" si="608"/>
        <v>0.45833333333333337</v>
      </c>
      <c r="R1608" s="72">
        <f t="shared" si="609"/>
        <v>0</v>
      </c>
      <c r="S1608" s="72">
        <f t="shared" si="610"/>
        <v>1.0405393229501867</v>
      </c>
      <c r="T1608" s="72">
        <f t="shared" si="611"/>
        <v>1.0405393229501867</v>
      </c>
      <c r="U1608" s="72">
        <f t="shared" si="612"/>
        <v>1.05</v>
      </c>
    </row>
    <row r="1609" spans="1:21" x14ac:dyDescent="0.25">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0.8416739606126914</v>
      </c>
      <c r="P1609" s="72">
        <f t="shared" si="607"/>
        <v>0.45833333333333331</v>
      </c>
      <c r="Q1609" s="72">
        <f t="shared" si="608"/>
        <v>0.54166666666666674</v>
      </c>
      <c r="R1609" s="72">
        <f t="shared" si="609"/>
        <v>0</v>
      </c>
      <c r="S1609" s="72">
        <f t="shared" si="610"/>
        <v>1.03971489252156</v>
      </c>
      <c r="T1609" s="72">
        <f t="shared" si="611"/>
        <v>1.03971489252156</v>
      </c>
      <c r="U1609" s="72">
        <f t="shared" si="612"/>
        <v>1.05</v>
      </c>
    </row>
    <row r="1610" spans="1:21" x14ac:dyDescent="0.25">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0.84099562363238511</v>
      </c>
      <c r="P1610" s="72">
        <f t="shared" si="607"/>
        <v>0.375</v>
      </c>
      <c r="Q1610" s="72">
        <f t="shared" si="608"/>
        <v>0.625</v>
      </c>
      <c r="R1610" s="72">
        <f t="shared" si="609"/>
        <v>0</v>
      </c>
      <c r="S1610" s="72">
        <f t="shared" si="610"/>
        <v>1.0388769468400052</v>
      </c>
      <c r="T1610" s="72">
        <f t="shared" si="611"/>
        <v>1.0388769468400052</v>
      </c>
      <c r="U1610" s="72">
        <f t="shared" si="612"/>
        <v>1.05</v>
      </c>
    </row>
    <row r="1611" spans="1:21" x14ac:dyDescent="0.25">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0.84032822757111592</v>
      </c>
      <c r="P1611" s="72">
        <f t="shared" si="607"/>
        <v>0.29166666666666669</v>
      </c>
      <c r="Q1611" s="72">
        <f t="shared" si="608"/>
        <v>0.70833333333333326</v>
      </c>
      <c r="R1611" s="72">
        <f t="shared" si="609"/>
        <v>0</v>
      </c>
      <c r="S1611" s="72">
        <f t="shared" si="610"/>
        <v>1.0380525164113785</v>
      </c>
      <c r="T1611" s="72">
        <f t="shared" si="611"/>
        <v>1.0380525164113785</v>
      </c>
      <c r="U1611" s="72">
        <f t="shared" si="612"/>
        <v>1.05</v>
      </c>
    </row>
    <row r="1612" spans="1:21" x14ac:dyDescent="0.25">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0.83966083150984683</v>
      </c>
      <c r="P1612" s="72">
        <f t="shared" si="607"/>
        <v>0.20833333333333334</v>
      </c>
      <c r="Q1612" s="72">
        <f t="shared" si="608"/>
        <v>0.79166666666666663</v>
      </c>
      <c r="R1612" s="72">
        <f t="shared" si="609"/>
        <v>0</v>
      </c>
      <c r="S1612" s="72">
        <f t="shared" si="610"/>
        <v>1.0372280859827521</v>
      </c>
      <c r="T1612" s="72">
        <f t="shared" si="611"/>
        <v>1.0372280859827521</v>
      </c>
      <c r="U1612" s="72">
        <f t="shared" si="612"/>
        <v>1.05</v>
      </c>
    </row>
    <row r="1613" spans="1:21" x14ac:dyDescent="0.25">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0.83899343544857763</v>
      </c>
      <c r="P1613" s="72">
        <f t="shared" si="607"/>
        <v>0.125</v>
      </c>
      <c r="Q1613" s="72">
        <f t="shared" si="608"/>
        <v>0.875</v>
      </c>
      <c r="R1613" s="72">
        <f t="shared" si="609"/>
        <v>0</v>
      </c>
      <c r="S1613" s="72">
        <f t="shared" si="610"/>
        <v>1.0364036555541254</v>
      </c>
      <c r="T1613" s="72">
        <f t="shared" si="611"/>
        <v>1.0364036555541254</v>
      </c>
      <c r="U1613" s="72">
        <f t="shared" si="612"/>
        <v>1.05</v>
      </c>
    </row>
    <row r="1614" spans="1:21" x14ac:dyDescent="0.25">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0.83832603938730854</v>
      </c>
      <c r="P1614" s="72">
        <f t="shared" si="607"/>
        <v>4.1666666666666664E-2</v>
      </c>
      <c r="Q1614" s="72">
        <f t="shared" si="608"/>
        <v>0.95833333333333337</v>
      </c>
      <c r="R1614" s="72">
        <f t="shared" si="609"/>
        <v>0</v>
      </c>
      <c r="S1614" s="72">
        <f t="shared" si="610"/>
        <v>1.0355792251254987</v>
      </c>
      <c r="T1614" s="72">
        <f t="shared" si="611"/>
        <v>1.0355792251254987</v>
      </c>
      <c r="U1614" s="72">
        <f t="shared" si="612"/>
        <v>1.05</v>
      </c>
    </row>
    <row r="1615" spans="1:21" x14ac:dyDescent="0.25">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0.83764770240700215</v>
      </c>
      <c r="P1615" s="72">
        <f t="shared" si="607"/>
        <v>0</v>
      </c>
      <c r="Q1615" s="72">
        <f t="shared" si="608"/>
        <v>0.95833333333333337</v>
      </c>
      <c r="R1615" s="72">
        <f t="shared" si="609"/>
        <v>4.166666666666663E-2</v>
      </c>
      <c r="S1615" s="72">
        <f t="shared" si="610"/>
        <v>1.0347412794439439</v>
      </c>
      <c r="T1615" s="72">
        <f t="shared" si="611"/>
        <v>0.99486420388724417</v>
      </c>
      <c r="U1615" s="72">
        <f t="shared" si="612"/>
        <v>1.05</v>
      </c>
    </row>
    <row r="1616" spans="1:21" x14ac:dyDescent="0.25">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0.83700218818380745</v>
      </c>
      <c r="P1616" s="72">
        <f t="shared" si="607"/>
        <v>0</v>
      </c>
      <c r="Q1616" s="72">
        <f t="shared" si="608"/>
        <v>0.875</v>
      </c>
      <c r="R1616" s="72">
        <f t="shared" si="609"/>
        <v>0.125</v>
      </c>
      <c r="S1616" s="72">
        <f t="shared" si="610"/>
        <v>1.0339438795211739</v>
      </c>
      <c r="T1616" s="72">
        <f t="shared" si="611"/>
        <v>0.99410477538936803</v>
      </c>
      <c r="U1616" s="72">
        <f t="shared" si="612"/>
        <v>1.05</v>
      </c>
    </row>
    <row r="1617" spans="1:21" x14ac:dyDescent="0.25">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0.83635667396061264</v>
      </c>
      <c r="P1617" s="72">
        <f t="shared" si="607"/>
        <v>0</v>
      </c>
      <c r="Q1617" s="72">
        <f t="shared" si="608"/>
        <v>0.79166666666666663</v>
      </c>
      <c r="R1617" s="72">
        <f t="shared" si="609"/>
        <v>0.20833333333333337</v>
      </c>
      <c r="S1617" s="72">
        <f t="shared" si="610"/>
        <v>1.0331464795984038</v>
      </c>
      <c r="T1617" s="72">
        <f t="shared" si="611"/>
        <v>0.99334534689149179</v>
      </c>
      <c r="U1617" s="72">
        <f t="shared" si="612"/>
        <v>1.05</v>
      </c>
    </row>
    <row r="1618" spans="1:21" x14ac:dyDescent="0.25">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0.83568927789934355</v>
      </c>
      <c r="P1618" s="72">
        <f t="shared" si="607"/>
        <v>0</v>
      </c>
      <c r="Q1618" s="72">
        <f t="shared" si="608"/>
        <v>0.70833333333333337</v>
      </c>
      <c r="R1618" s="72">
        <f t="shared" si="609"/>
        <v>0.29166666666666663</v>
      </c>
      <c r="S1618" s="72">
        <f t="shared" si="610"/>
        <v>1.0323220491697775</v>
      </c>
      <c r="T1618" s="72">
        <f t="shared" si="611"/>
        <v>0.99256017505470462</v>
      </c>
      <c r="U1618" s="72">
        <f t="shared" si="612"/>
        <v>1.05</v>
      </c>
    </row>
    <row r="1619" spans="1:21" x14ac:dyDescent="0.25">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0.83502188183807435</v>
      </c>
      <c r="P1619" s="72">
        <f t="shared" si="607"/>
        <v>0</v>
      </c>
      <c r="Q1619" s="72">
        <f t="shared" si="608"/>
        <v>0.625</v>
      </c>
      <c r="R1619" s="72">
        <f t="shared" si="609"/>
        <v>0.375</v>
      </c>
      <c r="S1619" s="72">
        <f t="shared" si="610"/>
        <v>1.0314976187411506</v>
      </c>
      <c r="T1619" s="72">
        <f t="shared" si="611"/>
        <v>1.0413637533788132</v>
      </c>
      <c r="U1619" s="72">
        <f t="shared" si="612"/>
        <v>1.05</v>
      </c>
    </row>
    <row r="1620" spans="1:21" x14ac:dyDescent="0.25">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0.83435448577680527</v>
      </c>
      <c r="P1620" s="72">
        <f t="shared" si="607"/>
        <v>0</v>
      </c>
      <c r="Q1620" s="72">
        <f t="shared" si="608"/>
        <v>0.54166666666666663</v>
      </c>
      <c r="R1620" s="72">
        <f t="shared" si="609"/>
        <v>0.45833333333333337</v>
      </c>
      <c r="S1620" s="72">
        <f t="shared" si="610"/>
        <v>1.0306731883125242</v>
      </c>
      <c r="T1620" s="72">
        <f t="shared" si="611"/>
        <v>1.0405393229501867</v>
      </c>
      <c r="U1620" s="72">
        <f t="shared" si="612"/>
        <v>1.05</v>
      </c>
    </row>
    <row r="1621" spans="1:21" x14ac:dyDescent="0.25">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0.83368708971553607</v>
      </c>
      <c r="P1621" s="72">
        <f t="shared" si="607"/>
        <v>0</v>
      </c>
      <c r="Q1621" s="72">
        <f t="shared" si="608"/>
        <v>0.45833333333333331</v>
      </c>
      <c r="R1621" s="72">
        <f t="shared" si="609"/>
        <v>0.54166666666666674</v>
      </c>
      <c r="S1621" s="72">
        <f t="shared" si="610"/>
        <v>1.0298487578838975</v>
      </c>
      <c r="T1621" s="72">
        <f t="shared" si="611"/>
        <v>1.03971489252156</v>
      </c>
      <c r="U1621" s="72">
        <f t="shared" si="612"/>
        <v>1.05</v>
      </c>
    </row>
    <row r="1622" spans="1:21" x14ac:dyDescent="0.25">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0.83300875273522967</v>
      </c>
      <c r="P1622" s="72">
        <f t="shared" si="607"/>
        <v>0</v>
      </c>
      <c r="Q1622" s="72">
        <f t="shared" si="608"/>
        <v>0.375</v>
      </c>
      <c r="R1622" s="72">
        <f t="shared" si="609"/>
        <v>0.625</v>
      </c>
      <c r="S1622" s="72">
        <f t="shared" si="610"/>
        <v>1.0290108122023427</v>
      </c>
      <c r="T1622" s="72">
        <f t="shared" si="611"/>
        <v>1.0388769468400052</v>
      </c>
      <c r="U1622" s="72">
        <f t="shared" si="612"/>
        <v>1.05</v>
      </c>
    </row>
    <row r="1623" spans="1:21" x14ac:dyDescent="0.25">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0.83234135667396059</v>
      </c>
      <c r="P1623" s="72">
        <f t="shared" si="607"/>
        <v>0</v>
      </c>
      <c r="Q1623" s="72">
        <f t="shared" si="608"/>
        <v>0.29166666666666669</v>
      </c>
      <c r="R1623" s="72">
        <f t="shared" si="609"/>
        <v>0.70833333333333326</v>
      </c>
      <c r="S1623" s="72">
        <f t="shared" si="610"/>
        <v>1.028186381773716</v>
      </c>
      <c r="T1623" s="72">
        <f t="shared" si="611"/>
        <v>1.0380525164113785</v>
      </c>
      <c r="U1623" s="72">
        <f t="shared" si="612"/>
        <v>1.05</v>
      </c>
    </row>
    <row r="1624" spans="1:21" x14ac:dyDescent="0.25">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0.83167396061269139</v>
      </c>
      <c r="P1624" s="72">
        <f t="shared" si="607"/>
        <v>0</v>
      </c>
      <c r="Q1624" s="72">
        <f t="shared" si="608"/>
        <v>0.20833333333333334</v>
      </c>
      <c r="R1624" s="72">
        <f t="shared" si="609"/>
        <v>0.79166666666666663</v>
      </c>
      <c r="S1624" s="72">
        <f t="shared" si="610"/>
        <v>1.0273619513450893</v>
      </c>
      <c r="T1624" s="72">
        <f t="shared" si="611"/>
        <v>1.0372280859827521</v>
      </c>
      <c r="U1624" s="72">
        <f t="shared" si="612"/>
        <v>1.05</v>
      </c>
    </row>
    <row r="1625" spans="1:21" x14ac:dyDescent="0.25">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0.8310065645514223</v>
      </c>
      <c r="P1625" s="72">
        <f t="shared" si="607"/>
        <v>0</v>
      </c>
      <c r="Q1625" s="72">
        <f t="shared" si="608"/>
        <v>0.125</v>
      </c>
      <c r="R1625" s="72">
        <f t="shared" si="609"/>
        <v>0.875</v>
      </c>
      <c r="S1625" s="72">
        <f t="shared" si="610"/>
        <v>1.0265375209164629</v>
      </c>
      <c r="T1625" s="72">
        <f t="shared" si="611"/>
        <v>1.0364036555541254</v>
      </c>
      <c r="U1625" s="72">
        <f t="shared" si="612"/>
        <v>1.05</v>
      </c>
    </row>
    <row r="1626" spans="1:21" x14ac:dyDescent="0.25">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0.8303391684901531</v>
      </c>
      <c r="P1626" s="72">
        <f t="shared" si="607"/>
        <v>0</v>
      </c>
      <c r="Q1626" s="72">
        <f t="shared" si="608"/>
        <v>4.1666666666666664E-2</v>
      </c>
      <c r="R1626" s="72">
        <f t="shared" si="609"/>
        <v>0.95833333333333337</v>
      </c>
      <c r="S1626" s="72">
        <f t="shared" si="610"/>
        <v>1.0257130904878362</v>
      </c>
      <c r="T1626" s="72">
        <f t="shared" si="611"/>
        <v>1.0355792251254987</v>
      </c>
      <c r="U1626" s="72">
        <f t="shared" si="612"/>
        <v>1.05</v>
      </c>
    </row>
    <row r="1627" spans="1:21" x14ac:dyDescent="0.25">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0.83</v>
      </c>
      <c r="P1627" s="72">
        <f t="shared" si="607"/>
        <v>0</v>
      </c>
      <c r="Q1627" s="72">
        <f t="shared" si="608"/>
        <v>0</v>
      </c>
      <c r="R1627" s="72">
        <f t="shared" si="609"/>
        <v>0.95833333333333337</v>
      </c>
      <c r="S1627" s="72">
        <f t="shared" si="610"/>
        <v>1.0252941176470589</v>
      </c>
      <c r="T1627" s="72">
        <f t="shared" si="611"/>
        <v>0.99486420388724417</v>
      </c>
      <c r="U1627" s="72">
        <f t="shared" si="612"/>
        <v>1.05</v>
      </c>
    </row>
    <row r="1628" spans="1:21" x14ac:dyDescent="0.25">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0.83</v>
      </c>
      <c r="P1628" s="72">
        <f t="shared" si="607"/>
        <v>0</v>
      </c>
      <c r="Q1628" s="72">
        <f t="shared" si="608"/>
        <v>0</v>
      </c>
      <c r="R1628" s="72">
        <f t="shared" si="609"/>
        <v>0.875</v>
      </c>
      <c r="S1628" s="72">
        <f t="shared" si="610"/>
        <v>1.0252941176470589</v>
      </c>
      <c r="T1628" s="72">
        <f t="shared" si="611"/>
        <v>0.99410477538936803</v>
      </c>
      <c r="U1628" s="72">
        <f t="shared" si="612"/>
        <v>1.05</v>
      </c>
    </row>
    <row r="1629" spans="1:21" x14ac:dyDescent="0.25">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0.83</v>
      </c>
      <c r="P1629" s="72">
        <f t="shared" si="607"/>
        <v>0</v>
      </c>
      <c r="Q1629" s="72">
        <f t="shared" si="608"/>
        <v>0</v>
      </c>
      <c r="R1629" s="72">
        <f t="shared" si="609"/>
        <v>0.79166666666666663</v>
      </c>
      <c r="S1629" s="72">
        <f t="shared" si="610"/>
        <v>1.0252941176470589</v>
      </c>
      <c r="T1629" s="72">
        <f t="shared" si="611"/>
        <v>0.99334534689149179</v>
      </c>
      <c r="U1629" s="72">
        <f t="shared" si="612"/>
        <v>1.05</v>
      </c>
    </row>
    <row r="1630" spans="1:21" x14ac:dyDescent="0.25">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0.83</v>
      </c>
      <c r="P1630" s="72">
        <f t="shared" si="607"/>
        <v>0</v>
      </c>
      <c r="Q1630" s="72">
        <f t="shared" si="608"/>
        <v>0</v>
      </c>
      <c r="R1630" s="72">
        <f t="shared" si="609"/>
        <v>0.70833333333333337</v>
      </c>
      <c r="S1630" s="72">
        <f t="shared" si="610"/>
        <v>1.0252941176470589</v>
      </c>
      <c r="T1630" s="72">
        <f t="shared" si="611"/>
        <v>0.99256017505470462</v>
      </c>
      <c r="U1630" s="72">
        <f t="shared" si="612"/>
        <v>1.05</v>
      </c>
    </row>
    <row r="1631" spans="1:21" x14ac:dyDescent="0.25">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0.83</v>
      </c>
      <c r="P1631" s="72">
        <f t="shared" si="607"/>
        <v>0</v>
      </c>
      <c r="Q1631" s="72">
        <f t="shared" si="608"/>
        <v>0</v>
      </c>
      <c r="R1631" s="72">
        <f t="shared" si="609"/>
        <v>0.625</v>
      </c>
      <c r="S1631" s="72">
        <f t="shared" si="610"/>
        <v>1.0252941176470589</v>
      </c>
      <c r="T1631" s="72">
        <f t="shared" si="611"/>
        <v>1.0413637533788132</v>
      </c>
      <c r="U1631" s="72">
        <f t="shared" si="612"/>
        <v>1.05</v>
      </c>
    </row>
    <row r="1632" spans="1:21" x14ac:dyDescent="0.25">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0.83</v>
      </c>
      <c r="P1632" s="72">
        <f t="shared" si="607"/>
        <v>0</v>
      </c>
      <c r="Q1632" s="72">
        <f t="shared" si="608"/>
        <v>0</v>
      </c>
      <c r="R1632" s="72">
        <f t="shared" si="609"/>
        <v>0.54166666666666663</v>
      </c>
      <c r="S1632" s="72">
        <f t="shared" si="610"/>
        <v>1.0252941176470589</v>
      </c>
      <c r="T1632" s="72">
        <f t="shared" si="611"/>
        <v>1.0405393229501867</v>
      </c>
      <c r="U1632" s="72">
        <f t="shared" si="612"/>
        <v>1.05</v>
      </c>
    </row>
    <row r="1633" spans="1:21" x14ac:dyDescent="0.25">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0.83</v>
      </c>
      <c r="P1633" s="72">
        <f t="shared" si="607"/>
        <v>0</v>
      </c>
      <c r="Q1633" s="72">
        <f t="shared" si="608"/>
        <v>0</v>
      </c>
      <c r="R1633" s="72">
        <f t="shared" si="609"/>
        <v>0.45833333333333331</v>
      </c>
      <c r="S1633" s="72">
        <f t="shared" si="610"/>
        <v>1.0252941176470589</v>
      </c>
      <c r="T1633" s="72">
        <f t="shared" si="611"/>
        <v>1.03971489252156</v>
      </c>
      <c r="U1633" s="72">
        <f t="shared" si="612"/>
        <v>1.05</v>
      </c>
    </row>
    <row r="1634" spans="1:21" x14ac:dyDescent="0.25">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0.83</v>
      </c>
      <c r="P1634" s="72">
        <f t="shared" si="607"/>
        <v>0</v>
      </c>
      <c r="Q1634" s="72">
        <f t="shared" si="608"/>
        <v>0</v>
      </c>
      <c r="R1634" s="72">
        <f t="shared" si="609"/>
        <v>0.375</v>
      </c>
      <c r="S1634" s="72">
        <f t="shared" si="610"/>
        <v>1.0252941176470589</v>
      </c>
      <c r="T1634" s="72">
        <f t="shared" si="611"/>
        <v>1.0388769468400052</v>
      </c>
      <c r="U1634" s="72">
        <f t="shared" si="612"/>
        <v>1.05</v>
      </c>
    </row>
    <row r="1635" spans="1:21" x14ac:dyDescent="0.25">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0.83</v>
      </c>
      <c r="P1635" s="72">
        <f t="shared" si="607"/>
        <v>0</v>
      </c>
      <c r="Q1635" s="72">
        <f t="shared" si="608"/>
        <v>0</v>
      </c>
      <c r="R1635" s="72">
        <f t="shared" si="609"/>
        <v>0.29166666666666669</v>
      </c>
      <c r="S1635" s="72">
        <f t="shared" si="610"/>
        <v>1.0252941176470589</v>
      </c>
      <c r="T1635" s="72">
        <f t="shared" si="611"/>
        <v>1.0380525164113785</v>
      </c>
      <c r="U1635" s="72">
        <f t="shared" si="612"/>
        <v>1.05</v>
      </c>
    </row>
    <row r="1636" spans="1:21" x14ac:dyDescent="0.25">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0.83</v>
      </c>
      <c r="P1636" s="72">
        <f t="shared" si="607"/>
        <v>0</v>
      </c>
      <c r="Q1636" s="72">
        <f t="shared" si="608"/>
        <v>0</v>
      </c>
      <c r="R1636" s="72">
        <f t="shared" si="609"/>
        <v>0.20833333333333334</v>
      </c>
      <c r="S1636" s="72">
        <f t="shared" si="610"/>
        <v>1.0252941176470589</v>
      </c>
      <c r="T1636" s="72">
        <f t="shared" si="611"/>
        <v>1.0372280859827521</v>
      </c>
      <c r="U1636" s="72">
        <f t="shared" si="612"/>
        <v>1.05</v>
      </c>
    </row>
    <row r="1637" spans="1:21" x14ac:dyDescent="0.25">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0.83</v>
      </c>
      <c r="P1637" s="72">
        <f t="shared" si="607"/>
        <v>0</v>
      </c>
      <c r="Q1637" s="72">
        <f t="shared" si="608"/>
        <v>0</v>
      </c>
      <c r="R1637" s="72">
        <f t="shared" si="609"/>
        <v>0.125</v>
      </c>
      <c r="S1637" s="72">
        <f t="shared" si="610"/>
        <v>1.0252941176470589</v>
      </c>
      <c r="T1637" s="72">
        <f t="shared" si="611"/>
        <v>1.0364036555541254</v>
      </c>
      <c r="U1637" s="72">
        <f t="shared" si="612"/>
        <v>1.05</v>
      </c>
    </row>
    <row r="1638" spans="1:21" x14ac:dyDescent="0.25">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0.83</v>
      </c>
      <c r="P1638" s="72">
        <f t="shared" si="607"/>
        <v>0</v>
      </c>
      <c r="Q1638" s="72">
        <f t="shared" si="608"/>
        <v>0</v>
      </c>
      <c r="R1638" s="72">
        <f t="shared" si="609"/>
        <v>4.1666666666666664E-2</v>
      </c>
      <c r="S1638" s="72">
        <f t="shared" si="610"/>
        <v>1.0252941176470589</v>
      </c>
      <c r="T1638" s="72">
        <f t="shared" si="611"/>
        <v>1.0355792251254987</v>
      </c>
      <c r="U1638" s="72">
        <f t="shared" si="612"/>
        <v>1.05</v>
      </c>
    </row>
    <row r="1639" spans="1:21" x14ac:dyDescent="0.25">
      <c r="A1639" s="77" t="s">
        <v>1209</v>
      </c>
      <c r="B1639" s="50">
        <f>EXP(SUMPRODUCT((rl_key=$A$1588)*(rl_cons="Y")*rl_ln1p))</f>
        <v>1.05</v>
      </c>
      <c r="C1639" s="50">
        <f>SUMPRODUCT($H$1591:$H$1638,$P$1591:$P$1638,$U$1591:$U$1638)/SUMPRODUCT($H$1591:$H$1638,$P$1591:$P$1638)</f>
        <v>1.0111111111111111</v>
      </c>
      <c r="D1639" s="50">
        <f>SUMPRODUCT($H$1591:$H$1638,$Q$1591:$Q$1638,$U$1591:$U$1638)/SUMPRODUCT($H$1591:$H$1638,$Q$1591:$Q$1638)</f>
        <v>1.0472222222222223</v>
      </c>
      <c r="E1639" s="50">
        <f>SUMPRODUCT($H$1591:$H$1638,$R$1591:$R$1638,$U$1591:$U$1638)/SUMPRODUCT($H$1591:$H$1638,$R$1591:$R$1638)</f>
        <v>1.05</v>
      </c>
      <c r="F1639" s="169">
        <f>SUMPRODUCT($H$1591:$H$1638,$Q$1591:$Q$1638,$O$1591:$O$1638)/SUMPRODUCT($H$1591:$H$1638,$Q$1591:$Q$1638)</f>
        <v>0.8380041940189642</v>
      </c>
      <c r="G1639" s="169">
        <f>SUMPRODUCT($H$1591:$H$1638,$R$1591:$R$1638,$O$1591:$O$1638)/SUMPRODUCT($H$1591:$H$1638,$R$1591:$R$1638)</f>
        <v>0.83134364362995383</v>
      </c>
    </row>
    <row r="1642" spans="1:21" x14ac:dyDescent="0.25">
      <c r="A1642" s="77" t="str">
        <f>INDEX(lr_key,30)</f>
        <v>BU-B|IA</v>
      </c>
      <c r="B1642" s="77" t="str">
        <f>INDEX(lr_state,30)</f>
        <v>IA</v>
      </c>
      <c r="C1642" s="52">
        <f>nr_TermMonths</f>
        <v>12</v>
      </c>
      <c r="D1642" s="52">
        <f>IF(COUNTIF(se_state,$B1642)=0,0,MATCH($B1642,se_state,0))</f>
        <v>0</v>
      </c>
      <c r="E1642" s="54">
        <f>IF($D1642=0,0,INDEX(se_sum,$D1642))</f>
        <v>0</v>
      </c>
      <c r="F1642" s="169">
        <f>IF(N(INDEX(lr_mind,30))=0,1,INDEX(lr_mind,30))</f>
        <v>0.85</v>
      </c>
      <c r="G1642" s="169">
        <f>IF(N(INDEX(lr_m0,30))=0,1,INDEX(lr_m0,30))</f>
        <v>0.84</v>
      </c>
      <c r="H1642" s="51">
        <f>IF(N(INDEX(lr_m0asof,30))=0,DATE(nr_PlanYear-1,10,1),INDEX(lr_m0asof,30))</f>
        <v>46295</v>
      </c>
      <c r="I1642" s="169">
        <f>IF(N(INDEX(lr_m1,30))=0,1,INDEX(lr_m1,30))</f>
        <v>0.84499999999999997</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25">
      <c r="A1643" s="77">
        <f>EDATE($H$1642,-12)+1</f>
        <v>45931</v>
      </c>
      <c r="B1643" s="77">
        <f>$H$1642+1</f>
        <v>46296</v>
      </c>
      <c r="C1643" s="77">
        <f>DATE(nr_PlanYear,12,31)+1</f>
        <v>46753</v>
      </c>
      <c r="D1643" s="77">
        <f>DATE(nr_PlanYear+1,12,31)+1</f>
        <v>47119</v>
      </c>
      <c r="E1643" s="77">
        <f>IF(N($J$1642)=0,$F$1643-($G$1643-$F$1643)/($C$1643-$B$1643)*($B$1643-$A$1643),$J$1642)</f>
        <v>0.8360065645514223</v>
      </c>
      <c r="F1643" s="77">
        <f>$G$1642</f>
        <v>0.84</v>
      </c>
      <c r="G1643" s="77">
        <f>$I$1642</f>
        <v>0.84499999999999997</v>
      </c>
      <c r="H1643" s="77">
        <f>IF(N($K$1642)=0,$I$1642,$K$1642)</f>
        <v>0.84499999999999997</v>
      </c>
      <c r="I1643" s="77">
        <f>($F$1643-$E$1643)/($B$1643-$A$1643)</f>
        <v>1.0940919037199081E-5</v>
      </c>
      <c r="J1643" s="77">
        <f>($G$1643-$F$1643)/($C$1643-$B$1643)</f>
        <v>1.0940919037199135E-5</v>
      </c>
      <c r="K1643" s="77">
        <f>($H$1643-$G$1643)/($D$1643-$C$1643)</f>
        <v>0</v>
      </c>
    </row>
    <row r="1644" spans="1:21" ht="24" x14ac:dyDescent="0.25">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25">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0.83318927789934349</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0.98022267988158063</v>
      </c>
      <c r="T1645" s="72">
        <f t="shared" ref="T1645:T1692" si="631">IF($G1645&lt;nr_MStartP,$S1645,$T1633*(1+IF($G1645&lt;nr_MStartP1,$M$1642,$N$1642)))</f>
        <v>0.98022267988158063</v>
      </c>
      <c r="U1645" s="72">
        <f t="shared" ref="U1645:U1692" si="632">IF($L$1642,$T1645,$N1645)</f>
        <v>1</v>
      </c>
    </row>
    <row r="1646" spans="1:21" x14ac:dyDescent="0.25">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0.83351203501094095</v>
      </c>
      <c r="P1646" s="72">
        <f t="shared" si="627"/>
        <v>0.125</v>
      </c>
      <c r="Q1646" s="72">
        <f t="shared" si="628"/>
        <v>0</v>
      </c>
      <c r="R1646" s="72">
        <f t="shared" si="629"/>
        <v>0</v>
      </c>
      <c r="S1646" s="72">
        <f t="shared" si="630"/>
        <v>0.98060239413051875</v>
      </c>
      <c r="T1646" s="72">
        <f t="shared" si="631"/>
        <v>0.98060239413051875</v>
      </c>
      <c r="U1646" s="72">
        <f t="shared" si="632"/>
        <v>1</v>
      </c>
    </row>
    <row r="1647" spans="1:21" x14ac:dyDescent="0.25">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0.8338347921225383</v>
      </c>
      <c r="P1647" s="72">
        <f t="shared" si="627"/>
        <v>0.20833333333333337</v>
      </c>
      <c r="Q1647" s="72">
        <f t="shared" si="628"/>
        <v>0</v>
      </c>
      <c r="R1647" s="72">
        <f t="shared" si="629"/>
        <v>0</v>
      </c>
      <c r="S1647" s="72">
        <f t="shared" si="630"/>
        <v>0.98098210837945687</v>
      </c>
      <c r="T1647" s="72">
        <f t="shared" si="631"/>
        <v>0.98098210837945687</v>
      </c>
      <c r="U1647" s="72">
        <f t="shared" si="632"/>
        <v>1</v>
      </c>
    </row>
    <row r="1648" spans="1:21" x14ac:dyDescent="0.25">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0.83416849015317285</v>
      </c>
      <c r="P1648" s="72">
        <f t="shared" si="627"/>
        <v>0.29166666666666663</v>
      </c>
      <c r="Q1648" s="72">
        <f t="shared" si="628"/>
        <v>0</v>
      </c>
      <c r="R1648" s="72">
        <f t="shared" si="629"/>
        <v>0</v>
      </c>
      <c r="S1648" s="72">
        <f t="shared" si="630"/>
        <v>0.9813746942978504</v>
      </c>
      <c r="T1648" s="72">
        <f t="shared" si="631"/>
        <v>0.9813746942978504</v>
      </c>
      <c r="U1648" s="72">
        <f t="shared" si="632"/>
        <v>1</v>
      </c>
    </row>
    <row r="1649" spans="1:21" x14ac:dyDescent="0.25">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0.83450218818380739</v>
      </c>
      <c r="P1649" s="72">
        <f t="shared" si="627"/>
        <v>0.375</v>
      </c>
      <c r="Q1649" s="72">
        <f t="shared" si="628"/>
        <v>0</v>
      </c>
      <c r="R1649" s="72">
        <f t="shared" si="629"/>
        <v>0</v>
      </c>
      <c r="S1649" s="72">
        <f t="shared" si="630"/>
        <v>0.98176728021624404</v>
      </c>
      <c r="T1649" s="72">
        <f t="shared" si="631"/>
        <v>0.98176728021624404</v>
      </c>
      <c r="U1649" s="72">
        <f t="shared" si="632"/>
        <v>1</v>
      </c>
    </row>
    <row r="1650" spans="1:21" x14ac:dyDescent="0.25">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0.83483588621444205</v>
      </c>
      <c r="P1650" s="72">
        <f t="shared" si="627"/>
        <v>0.45833333333333337</v>
      </c>
      <c r="Q1650" s="72">
        <f t="shared" si="628"/>
        <v>0</v>
      </c>
      <c r="R1650" s="72">
        <f t="shared" si="629"/>
        <v>0</v>
      </c>
      <c r="S1650" s="72">
        <f t="shared" si="630"/>
        <v>0.98215986613463768</v>
      </c>
      <c r="T1650" s="72">
        <f t="shared" si="631"/>
        <v>0.98215986613463768</v>
      </c>
      <c r="U1650" s="72">
        <f t="shared" si="632"/>
        <v>1</v>
      </c>
    </row>
    <row r="1651" spans="1:21" x14ac:dyDescent="0.25">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0.83516958424507659</v>
      </c>
      <c r="P1651" s="72">
        <f t="shared" si="627"/>
        <v>0.54166666666666674</v>
      </c>
      <c r="Q1651" s="72">
        <f t="shared" si="628"/>
        <v>0</v>
      </c>
      <c r="R1651" s="72">
        <f t="shared" si="629"/>
        <v>0</v>
      </c>
      <c r="S1651" s="72">
        <f t="shared" si="630"/>
        <v>0.98255245205303132</v>
      </c>
      <c r="T1651" s="72">
        <f t="shared" si="631"/>
        <v>0.98255245205303132</v>
      </c>
      <c r="U1651" s="72">
        <f t="shared" si="632"/>
        <v>1</v>
      </c>
    </row>
    <row r="1652" spans="1:21" x14ac:dyDescent="0.25">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0.83550875273522973</v>
      </c>
      <c r="P1652" s="72">
        <f t="shared" si="627"/>
        <v>0.625</v>
      </c>
      <c r="Q1652" s="72">
        <f t="shared" si="628"/>
        <v>0</v>
      </c>
      <c r="R1652" s="72">
        <f t="shared" si="629"/>
        <v>0</v>
      </c>
      <c r="S1652" s="72">
        <f t="shared" si="630"/>
        <v>0.98295147380615266</v>
      </c>
      <c r="T1652" s="72">
        <f t="shared" si="631"/>
        <v>0.98295147380615266</v>
      </c>
      <c r="U1652" s="72">
        <f t="shared" si="632"/>
        <v>1</v>
      </c>
    </row>
    <row r="1653" spans="1:21" x14ac:dyDescent="0.25">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0.83584245076586428</v>
      </c>
      <c r="P1653" s="72">
        <f t="shared" si="627"/>
        <v>0.70833333333333326</v>
      </c>
      <c r="Q1653" s="72">
        <f t="shared" si="628"/>
        <v>0</v>
      </c>
      <c r="R1653" s="72">
        <f t="shared" si="629"/>
        <v>0</v>
      </c>
      <c r="S1653" s="72">
        <f t="shared" si="630"/>
        <v>0.98334405972454619</v>
      </c>
      <c r="T1653" s="72">
        <f t="shared" si="631"/>
        <v>0.98334405972454619</v>
      </c>
      <c r="U1653" s="72">
        <f t="shared" si="632"/>
        <v>1</v>
      </c>
    </row>
    <row r="1654" spans="1:21" x14ac:dyDescent="0.25">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0.83617614879649893</v>
      </c>
      <c r="P1654" s="72">
        <f t="shared" si="627"/>
        <v>0.79166666666666663</v>
      </c>
      <c r="Q1654" s="72">
        <f t="shared" si="628"/>
        <v>0</v>
      </c>
      <c r="R1654" s="72">
        <f t="shared" si="629"/>
        <v>0</v>
      </c>
      <c r="S1654" s="72">
        <f t="shared" si="630"/>
        <v>0.98373664564293994</v>
      </c>
      <c r="T1654" s="72">
        <f t="shared" si="631"/>
        <v>0.98373664564293994</v>
      </c>
      <c r="U1654" s="72">
        <f t="shared" si="632"/>
        <v>1</v>
      </c>
    </row>
    <row r="1655" spans="1:21" x14ac:dyDescent="0.25">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0.83650984682713347</v>
      </c>
      <c r="P1655" s="72">
        <f t="shared" si="627"/>
        <v>0.875</v>
      </c>
      <c r="Q1655" s="72">
        <f t="shared" si="628"/>
        <v>0</v>
      </c>
      <c r="R1655" s="72">
        <f t="shared" si="629"/>
        <v>0</v>
      </c>
      <c r="S1655" s="72">
        <f t="shared" si="630"/>
        <v>0.98412923156133347</v>
      </c>
      <c r="T1655" s="72">
        <f t="shared" si="631"/>
        <v>0.98412923156133347</v>
      </c>
      <c r="U1655" s="72">
        <f t="shared" si="632"/>
        <v>1</v>
      </c>
    </row>
    <row r="1656" spans="1:21" x14ac:dyDescent="0.25">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0.83684354485776802</v>
      </c>
      <c r="P1656" s="72">
        <f t="shared" si="627"/>
        <v>0.95833333333333337</v>
      </c>
      <c r="Q1656" s="72">
        <f t="shared" si="628"/>
        <v>0</v>
      </c>
      <c r="R1656" s="72">
        <f t="shared" si="629"/>
        <v>0</v>
      </c>
      <c r="S1656" s="72">
        <f t="shared" si="630"/>
        <v>0.98452181747972711</v>
      </c>
      <c r="T1656" s="72">
        <f t="shared" si="631"/>
        <v>0.98452181747972711</v>
      </c>
      <c r="U1656" s="72">
        <f t="shared" si="632"/>
        <v>1</v>
      </c>
    </row>
    <row r="1657" spans="1:21" x14ac:dyDescent="0.25">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0.83718271334792116</v>
      </c>
      <c r="P1657" s="72">
        <f t="shared" si="627"/>
        <v>0.95833333333333337</v>
      </c>
      <c r="Q1657" s="72">
        <f t="shared" si="628"/>
        <v>4.166666666666663E-2</v>
      </c>
      <c r="R1657" s="72">
        <f t="shared" si="629"/>
        <v>0</v>
      </c>
      <c r="S1657" s="72">
        <f t="shared" si="630"/>
        <v>0.98492083923284846</v>
      </c>
      <c r="T1657" s="72">
        <f t="shared" si="631"/>
        <v>0.98492083923284846</v>
      </c>
      <c r="U1657" s="72">
        <f t="shared" si="632"/>
        <v>1</v>
      </c>
    </row>
    <row r="1658" spans="1:21" x14ac:dyDescent="0.25">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0.83750547045951862</v>
      </c>
      <c r="P1658" s="72">
        <f t="shared" si="627"/>
        <v>0.875</v>
      </c>
      <c r="Q1658" s="72">
        <f t="shared" si="628"/>
        <v>0.125</v>
      </c>
      <c r="R1658" s="72">
        <f t="shared" si="629"/>
        <v>0</v>
      </c>
      <c r="S1658" s="72">
        <f t="shared" si="630"/>
        <v>0.98530055348178669</v>
      </c>
      <c r="T1658" s="72">
        <f t="shared" si="631"/>
        <v>0.98530055348178669</v>
      </c>
      <c r="U1658" s="72">
        <f t="shared" si="632"/>
        <v>1</v>
      </c>
    </row>
    <row r="1659" spans="1:21" x14ac:dyDescent="0.25">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0.83782822757111597</v>
      </c>
      <c r="P1659" s="72">
        <f t="shared" si="627"/>
        <v>0.79166666666666663</v>
      </c>
      <c r="Q1659" s="72">
        <f t="shared" si="628"/>
        <v>0.20833333333333337</v>
      </c>
      <c r="R1659" s="72">
        <f t="shared" si="629"/>
        <v>0</v>
      </c>
      <c r="S1659" s="72">
        <f t="shared" si="630"/>
        <v>0.9856802677307247</v>
      </c>
      <c r="T1659" s="72">
        <f t="shared" si="631"/>
        <v>0.9856802677307247</v>
      </c>
      <c r="U1659" s="72">
        <f t="shared" si="632"/>
        <v>1</v>
      </c>
    </row>
    <row r="1660" spans="1:21" x14ac:dyDescent="0.25">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0.83816192560175051</v>
      </c>
      <c r="P1660" s="72">
        <f t="shared" si="627"/>
        <v>0.70833333333333337</v>
      </c>
      <c r="Q1660" s="72">
        <f t="shared" si="628"/>
        <v>0.29166666666666663</v>
      </c>
      <c r="R1660" s="72">
        <f t="shared" si="629"/>
        <v>0</v>
      </c>
      <c r="S1660" s="72">
        <f t="shared" si="630"/>
        <v>0.98607285364911823</v>
      </c>
      <c r="T1660" s="72">
        <f t="shared" si="631"/>
        <v>0.98607285364911823</v>
      </c>
      <c r="U1660" s="72">
        <f t="shared" si="632"/>
        <v>1</v>
      </c>
    </row>
    <row r="1661" spans="1:21" x14ac:dyDescent="0.25">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0.83849562363238506</v>
      </c>
      <c r="P1661" s="72">
        <f t="shared" si="627"/>
        <v>0.625</v>
      </c>
      <c r="Q1661" s="72">
        <f t="shared" si="628"/>
        <v>0.375</v>
      </c>
      <c r="R1661" s="72">
        <f t="shared" si="629"/>
        <v>0</v>
      </c>
      <c r="S1661" s="72">
        <f t="shared" si="630"/>
        <v>0.98646543956751187</v>
      </c>
      <c r="T1661" s="72">
        <f t="shared" si="631"/>
        <v>0.98646543956751187</v>
      </c>
      <c r="U1661" s="72">
        <f t="shared" si="632"/>
        <v>1</v>
      </c>
    </row>
    <row r="1662" spans="1:21" x14ac:dyDescent="0.25">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0.83882932166301971</v>
      </c>
      <c r="P1662" s="72">
        <f t="shared" si="627"/>
        <v>0.54166666666666663</v>
      </c>
      <c r="Q1662" s="72">
        <f t="shared" si="628"/>
        <v>0.45833333333333337</v>
      </c>
      <c r="R1662" s="72">
        <f t="shared" si="629"/>
        <v>0</v>
      </c>
      <c r="S1662" s="72">
        <f t="shared" si="630"/>
        <v>0.98685802548590562</v>
      </c>
      <c r="T1662" s="72">
        <f t="shared" si="631"/>
        <v>0.98685802548590562</v>
      </c>
      <c r="U1662" s="72">
        <f t="shared" si="632"/>
        <v>1</v>
      </c>
    </row>
    <row r="1663" spans="1:21" x14ac:dyDescent="0.25">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0.83916301969365426</v>
      </c>
      <c r="P1663" s="72">
        <f t="shared" si="627"/>
        <v>0.45833333333333331</v>
      </c>
      <c r="Q1663" s="72">
        <f t="shared" si="628"/>
        <v>0.54166666666666674</v>
      </c>
      <c r="R1663" s="72">
        <f t="shared" si="629"/>
        <v>0</v>
      </c>
      <c r="S1663" s="72">
        <f t="shared" si="630"/>
        <v>0.98725061140429915</v>
      </c>
      <c r="T1663" s="72">
        <f t="shared" si="631"/>
        <v>0.98725061140429915</v>
      </c>
      <c r="U1663" s="72">
        <f t="shared" si="632"/>
        <v>1</v>
      </c>
    </row>
    <row r="1664" spans="1:21" x14ac:dyDescent="0.25">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0.8395021881838074</v>
      </c>
      <c r="P1664" s="72">
        <f t="shared" si="627"/>
        <v>0.375</v>
      </c>
      <c r="Q1664" s="72">
        <f t="shared" si="628"/>
        <v>0.625</v>
      </c>
      <c r="R1664" s="72">
        <f t="shared" si="629"/>
        <v>0</v>
      </c>
      <c r="S1664" s="72">
        <f t="shared" si="630"/>
        <v>0.98764963315742049</v>
      </c>
      <c r="T1664" s="72">
        <f t="shared" si="631"/>
        <v>0.98764963315742049</v>
      </c>
      <c r="U1664" s="72">
        <f t="shared" si="632"/>
        <v>1</v>
      </c>
    </row>
    <row r="1665" spans="1:21" x14ac:dyDescent="0.25">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0.83983588621444194</v>
      </c>
      <c r="P1665" s="72">
        <f t="shared" si="627"/>
        <v>0.29166666666666669</v>
      </c>
      <c r="Q1665" s="72">
        <f t="shared" si="628"/>
        <v>0.70833333333333326</v>
      </c>
      <c r="R1665" s="72">
        <f t="shared" si="629"/>
        <v>0</v>
      </c>
      <c r="S1665" s="72">
        <f t="shared" si="630"/>
        <v>0.98804221907581402</v>
      </c>
      <c r="T1665" s="72">
        <f t="shared" si="631"/>
        <v>0.98804221907581402</v>
      </c>
      <c r="U1665" s="72">
        <f t="shared" si="632"/>
        <v>1</v>
      </c>
    </row>
    <row r="1666" spans="1:21" x14ac:dyDescent="0.25">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0.84016958424507659</v>
      </c>
      <c r="P1666" s="72">
        <f t="shared" si="627"/>
        <v>0.20833333333333334</v>
      </c>
      <c r="Q1666" s="72">
        <f t="shared" si="628"/>
        <v>0.79166666666666663</v>
      </c>
      <c r="R1666" s="72">
        <f t="shared" si="629"/>
        <v>0</v>
      </c>
      <c r="S1666" s="72">
        <f t="shared" si="630"/>
        <v>0.98843480499420777</v>
      </c>
      <c r="T1666" s="72">
        <f t="shared" si="631"/>
        <v>0.98843480499420777</v>
      </c>
      <c r="U1666" s="72">
        <f t="shared" si="632"/>
        <v>1</v>
      </c>
    </row>
    <row r="1667" spans="1:21" x14ac:dyDescent="0.25">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0.84050328227571114</v>
      </c>
      <c r="P1667" s="72">
        <f t="shared" si="627"/>
        <v>0.125</v>
      </c>
      <c r="Q1667" s="72">
        <f t="shared" si="628"/>
        <v>0.875</v>
      </c>
      <c r="R1667" s="72">
        <f t="shared" si="629"/>
        <v>0</v>
      </c>
      <c r="S1667" s="72">
        <f t="shared" si="630"/>
        <v>0.98882739091260141</v>
      </c>
      <c r="T1667" s="72">
        <f t="shared" si="631"/>
        <v>0.98882739091260141</v>
      </c>
      <c r="U1667" s="72">
        <f t="shared" si="632"/>
        <v>1</v>
      </c>
    </row>
    <row r="1668" spans="1:21" x14ac:dyDescent="0.25">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0.84083698030634568</v>
      </c>
      <c r="P1668" s="72">
        <f t="shared" si="627"/>
        <v>4.1666666666666664E-2</v>
      </c>
      <c r="Q1668" s="72">
        <f t="shared" si="628"/>
        <v>0.95833333333333337</v>
      </c>
      <c r="R1668" s="72">
        <f t="shared" si="629"/>
        <v>0</v>
      </c>
      <c r="S1668" s="72">
        <f t="shared" si="630"/>
        <v>0.98921997683099494</v>
      </c>
      <c r="T1668" s="72">
        <f t="shared" si="631"/>
        <v>0.98921997683099494</v>
      </c>
      <c r="U1668" s="72">
        <f t="shared" si="632"/>
        <v>1</v>
      </c>
    </row>
    <row r="1669" spans="1:21" x14ac:dyDescent="0.25">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0.84117614879649882</v>
      </c>
      <c r="P1669" s="72">
        <f t="shared" si="627"/>
        <v>0</v>
      </c>
      <c r="Q1669" s="72">
        <f t="shared" si="628"/>
        <v>0.95833333333333337</v>
      </c>
      <c r="R1669" s="72">
        <f t="shared" si="629"/>
        <v>4.166666666666663E-2</v>
      </c>
      <c r="S1669" s="72">
        <f t="shared" si="630"/>
        <v>0.98961899858411628</v>
      </c>
      <c r="T1669" s="72">
        <f t="shared" si="631"/>
        <v>0.98492083923284846</v>
      </c>
      <c r="U1669" s="72">
        <f t="shared" si="632"/>
        <v>1</v>
      </c>
    </row>
    <row r="1670" spans="1:21" x14ac:dyDescent="0.25">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0.84149890590809628</v>
      </c>
      <c r="P1670" s="72">
        <f t="shared" si="627"/>
        <v>0</v>
      </c>
      <c r="Q1670" s="72">
        <f t="shared" si="628"/>
        <v>0.875</v>
      </c>
      <c r="R1670" s="72">
        <f t="shared" si="629"/>
        <v>0.125</v>
      </c>
      <c r="S1670" s="72">
        <f t="shared" si="630"/>
        <v>0.98999871283305452</v>
      </c>
      <c r="T1670" s="72">
        <f t="shared" si="631"/>
        <v>0.98530055348178669</v>
      </c>
      <c r="U1670" s="72">
        <f t="shared" si="632"/>
        <v>1</v>
      </c>
    </row>
    <row r="1671" spans="1:21" x14ac:dyDescent="0.25">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0.84182166301969363</v>
      </c>
      <c r="P1671" s="72">
        <f t="shared" si="627"/>
        <v>0</v>
      </c>
      <c r="Q1671" s="72">
        <f t="shared" si="628"/>
        <v>0.79166666666666663</v>
      </c>
      <c r="R1671" s="72">
        <f t="shared" si="629"/>
        <v>0.20833333333333337</v>
      </c>
      <c r="S1671" s="72">
        <f t="shared" si="630"/>
        <v>0.99037842708199253</v>
      </c>
      <c r="T1671" s="72">
        <f t="shared" si="631"/>
        <v>0.9856802677307247</v>
      </c>
      <c r="U1671" s="72">
        <f t="shared" si="632"/>
        <v>1</v>
      </c>
    </row>
    <row r="1672" spans="1:21" x14ac:dyDescent="0.25">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0.84215536105032818</v>
      </c>
      <c r="P1672" s="72">
        <f t="shared" si="627"/>
        <v>0</v>
      </c>
      <c r="Q1672" s="72">
        <f t="shared" si="628"/>
        <v>0.70833333333333337</v>
      </c>
      <c r="R1672" s="72">
        <f t="shared" si="629"/>
        <v>0.29166666666666663</v>
      </c>
      <c r="S1672" s="72">
        <f t="shared" si="630"/>
        <v>0.99077101300038617</v>
      </c>
      <c r="T1672" s="72">
        <f t="shared" si="631"/>
        <v>0.98607285364911823</v>
      </c>
      <c r="U1672" s="72">
        <f t="shared" si="632"/>
        <v>1</v>
      </c>
    </row>
    <row r="1673" spans="1:21" x14ac:dyDescent="0.25">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0.84248905908096272</v>
      </c>
      <c r="P1673" s="72">
        <f t="shared" si="627"/>
        <v>0</v>
      </c>
      <c r="Q1673" s="72">
        <f t="shared" si="628"/>
        <v>0.625</v>
      </c>
      <c r="R1673" s="72">
        <f t="shared" si="629"/>
        <v>0.375</v>
      </c>
      <c r="S1673" s="72">
        <f t="shared" si="630"/>
        <v>0.9911635989187797</v>
      </c>
      <c r="T1673" s="72">
        <f t="shared" si="631"/>
        <v>0.98646543956751187</v>
      </c>
      <c r="U1673" s="72">
        <f t="shared" si="632"/>
        <v>1</v>
      </c>
    </row>
    <row r="1674" spans="1:21" x14ac:dyDescent="0.25">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0.84282275711159738</v>
      </c>
      <c r="P1674" s="72">
        <f t="shared" si="627"/>
        <v>0</v>
      </c>
      <c r="Q1674" s="72">
        <f t="shared" si="628"/>
        <v>0.54166666666666663</v>
      </c>
      <c r="R1674" s="72">
        <f t="shared" si="629"/>
        <v>0.45833333333333337</v>
      </c>
      <c r="S1674" s="72">
        <f t="shared" si="630"/>
        <v>0.99155618483717345</v>
      </c>
      <c r="T1674" s="72">
        <f t="shared" si="631"/>
        <v>0.98685802548590562</v>
      </c>
      <c r="U1674" s="72">
        <f t="shared" si="632"/>
        <v>1</v>
      </c>
    </row>
    <row r="1675" spans="1:21" x14ac:dyDescent="0.25">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0.84315645514223192</v>
      </c>
      <c r="P1675" s="72">
        <f t="shared" si="627"/>
        <v>0</v>
      </c>
      <c r="Q1675" s="72">
        <f t="shared" si="628"/>
        <v>0.45833333333333331</v>
      </c>
      <c r="R1675" s="72">
        <f t="shared" si="629"/>
        <v>0.54166666666666674</v>
      </c>
      <c r="S1675" s="72">
        <f t="shared" si="630"/>
        <v>0.99194877075556698</v>
      </c>
      <c r="T1675" s="72">
        <f t="shared" si="631"/>
        <v>0.98725061140429915</v>
      </c>
      <c r="U1675" s="72">
        <f t="shared" si="632"/>
        <v>1</v>
      </c>
    </row>
    <row r="1676" spans="1:21" x14ac:dyDescent="0.25">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0.84349562363238506</v>
      </c>
      <c r="P1676" s="72">
        <f t="shared" si="627"/>
        <v>0</v>
      </c>
      <c r="Q1676" s="72">
        <f t="shared" si="628"/>
        <v>0.375</v>
      </c>
      <c r="R1676" s="72">
        <f t="shared" si="629"/>
        <v>0.625</v>
      </c>
      <c r="S1676" s="72">
        <f t="shared" si="630"/>
        <v>0.99234779250868832</v>
      </c>
      <c r="T1676" s="72">
        <f t="shared" si="631"/>
        <v>0.98764963315742049</v>
      </c>
      <c r="U1676" s="72">
        <f t="shared" si="632"/>
        <v>1</v>
      </c>
    </row>
    <row r="1677" spans="1:21" x14ac:dyDescent="0.25">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0.84382932166301972</v>
      </c>
      <c r="P1677" s="72">
        <f t="shared" si="627"/>
        <v>0</v>
      </c>
      <c r="Q1677" s="72">
        <f t="shared" si="628"/>
        <v>0.29166666666666669</v>
      </c>
      <c r="R1677" s="72">
        <f t="shared" si="629"/>
        <v>0.70833333333333326</v>
      </c>
      <c r="S1677" s="72">
        <f t="shared" si="630"/>
        <v>0.99274037842708207</v>
      </c>
      <c r="T1677" s="72">
        <f t="shared" si="631"/>
        <v>0.98804221907581402</v>
      </c>
      <c r="U1677" s="72">
        <f t="shared" si="632"/>
        <v>1</v>
      </c>
    </row>
    <row r="1678" spans="1:21" x14ac:dyDescent="0.25">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0.84416301969365426</v>
      </c>
      <c r="P1678" s="72">
        <f t="shared" si="627"/>
        <v>0</v>
      </c>
      <c r="Q1678" s="72">
        <f t="shared" si="628"/>
        <v>0.20833333333333334</v>
      </c>
      <c r="R1678" s="72">
        <f t="shared" si="629"/>
        <v>0.79166666666666663</v>
      </c>
      <c r="S1678" s="72">
        <f t="shared" si="630"/>
        <v>1.0328582829192947</v>
      </c>
      <c r="T1678" s="72">
        <f t="shared" si="631"/>
        <v>0.98843480499420777</v>
      </c>
      <c r="U1678" s="72">
        <f t="shared" si="632"/>
        <v>1.04</v>
      </c>
    </row>
    <row r="1679" spans="1:21" x14ac:dyDescent="0.25">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0.8444967177242888</v>
      </c>
      <c r="P1679" s="72">
        <f t="shared" si="627"/>
        <v>0</v>
      </c>
      <c r="Q1679" s="72">
        <f t="shared" si="628"/>
        <v>0.125</v>
      </c>
      <c r="R1679" s="72">
        <f t="shared" si="629"/>
        <v>0.875</v>
      </c>
      <c r="S1679" s="72">
        <f t="shared" si="630"/>
        <v>1.0332665722744241</v>
      </c>
      <c r="T1679" s="72">
        <f t="shared" si="631"/>
        <v>0.98882739091260141</v>
      </c>
      <c r="U1679" s="72">
        <f t="shared" si="632"/>
        <v>1.04</v>
      </c>
    </row>
    <row r="1680" spans="1:21" x14ac:dyDescent="0.25">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0.84483041575492335</v>
      </c>
      <c r="P1680" s="72">
        <f t="shared" si="627"/>
        <v>0</v>
      </c>
      <c r="Q1680" s="72">
        <f t="shared" si="628"/>
        <v>4.1666666666666664E-2</v>
      </c>
      <c r="R1680" s="72">
        <f t="shared" si="629"/>
        <v>0.95833333333333337</v>
      </c>
      <c r="S1680" s="72">
        <f t="shared" si="630"/>
        <v>1.0336748616295532</v>
      </c>
      <c r="T1680" s="72">
        <f t="shared" si="631"/>
        <v>0.98921997683099494</v>
      </c>
      <c r="U1680" s="72">
        <f t="shared" si="632"/>
        <v>1.04</v>
      </c>
    </row>
    <row r="1681" spans="1:21" x14ac:dyDescent="0.25">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0.84499999999999997</v>
      </c>
      <c r="P1681" s="72">
        <f t="shared" si="627"/>
        <v>0</v>
      </c>
      <c r="Q1681" s="72">
        <f t="shared" si="628"/>
        <v>0</v>
      </c>
      <c r="R1681" s="72">
        <f t="shared" si="629"/>
        <v>0.95833333333333337</v>
      </c>
      <c r="S1681" s="72">
        <f t="shared" si="630"/>
        <v>1.0338823529411765</v>
      </c>
      <c r="T1681" s="72">
        <f t="shared" si="631"/>
        <v>0.98492083923284846</v>
      </c>
      <c r="U1681" s="72">
        <f t="shared" si="632"/>
        <v>1.04</v>
      </c>
    </row>
    <row r="1682" spans="1:21" x14ac:dyDescent="0.25">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0.84499999999999997</v>
      </c>
      <c r="P1682" s="72">
        <f t="shared" si="627"/>
        <v>0</v>
      </c>
      <c r="Q1682" s="72">
        <f t="shared" si="628"/>
        <v>0</v>
      </c>
      <c r="R1682" s="72">
        <f t="shared" si="629"/>
        <v>0.875</v>
      </c>
      <c r="S1682" s="72">
        <f t="shared" si="630"/>
        <v>1.0338823529411765</v>
      </c>
      <c r="T1682" s="72">
        <f t="shared" si="631"/>
        <v>0.98530055348178669</v>
      </c>
      <c r="U1682" s="72">
        <f t="shared" si="632"/>
        <v>1.04</v>
      </c>
    </row>
    <row r="1683" spans="1:21" x14ac:dyDescent="0.25">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0.84499999999999997</v>
      </c>
      <c r="P1683" s="72">
        <f t="shared" si="627"/>
        <v>0</v>
      </c>
      <c r="Q1683" s="72">
        <f t="shared" si="628"/>
        <v>0</v>
      </c>
      <c r="R1683" s="72">
        <f t="shared" si="629"/>
        <v>0.79166666666666663</v>
      </c>
      <c r="S1683" s="72">
        <f t="shared" si="630"/>
        <v>1.0338823529411765</v>
      </c>
      <c r="T1683" s="72">
        <f t="shared" si="631"/>
        <v>0.9856802677307247</v>
      </c>
      <c r="U1683" s="72">
        <f t="shared" si="632"/>
        <v>1.04</v>
      </c>
    </row>
    <row r="1684" spans="1:21" x14ac:dyDescent="0.25">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0.84499999999999997</v>
      </c>
      <c r="P1684" s="72">
        <f t="shared" si="627"/>
        <v>0</v>
      </c>
      <c r="Q1684" s="72">
        <f t="shared" si="628"/>
        <v>0</v>
      </c>
      <c r="R1684" s="72">
        <f t="shared" si="629"/>
        <v>0.70833333333333337</v>
      </c>
      <c r="S1684" s="72">
        <f t="shared" si="630"/>
        <v>1.0338823529411765</v>
      </c>
      <c r="T1684" s="72">
        <f t="shared" si="631"/>
        <v>0.98607285364911823</v>
      </c>
      <c r="U1684" s="72">
        <f t="shared" si="632"/>
        <v>1.04</v>
      </c>
    </row>
    <row r="1685" spans="1:21" x14ac:dyDescent="0.25">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0.84499999999999997</v>
      </c>
      <c r="P1685" s="72">
        <f t="shared" si="627"/>
        <v>0</v>
      </c>
      <c r="Q1685" s="72">
        <f t="shared" si="628"/>
        <v>0</v>
      </c>
      <c r="R1685" s="72">
        <f t="shared" si="629"/>
        <v>0.625</v>
      </c>
      <c r="S1685" s="72">
        <f t="shared" si="630"/>
        <v>1.0338823529411765</v>
      </c>
      <c r="T1685" s="72">
        <f t="shared" si="631"/>
        <v>0.98646543956751187</v>
      </c>
      <c r="U1685" s="72">
        <f t="shared" si="632"/>
        <v>1.04</v>
      </c>
    </row>
    <row r="1686" spans="1:21" x14ac:dyDescent="0.25">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0.84499999999999997</v>
      </c>
      <c r="P1686" s="72">
        <f t="shared" si="627"/>
        <v>0</v>
      </c>
      <c r="Q1686" s="72">
        <f t="shared" si="628"/>
        <v>0</v>
      </c>
      <c r="R1686" s="72">
        <f t="shared" si="629"/>
        <v>0.54166666666666663</v>
      </c>
      <c r="S1686" s="72">
        <f t="shared" si="630"/>
        <v>1.0338823529411765</v>
      </c>
      <c r="T1686" s="72">
        <f t="shared" si="631"/>
        <v>0.98685802548590562</v>
      </c>
      <c r="U1686" s="72">
        <f t="shared" si="632"/>
        <v>1.04</v>
      </c>
    </row>
    <row r="1687" spans="1:21" x14ac:dyDescent="0.25">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0.84499999999999997</v>
      </c>
      <c r="P1687" s="72">
        <f t="shared" si="627"/>
        <v>0</v>
      </c>
      <c r="Q1687" s="72">
        <f t="shared" si="628"/>
        <v>0</v>
      </c>
      <c r="R1687" s="72">
        <f t="shared" si="629"/>
        <v>0.45833333333333331</v>
      </c>
      <c r="S1687" s="72">
        <f t="shared" si="630"/>
        <v>1.0338823529411765</v>
      </c>
      <c r="T1687" s="72">
        <f t="shared" si="631"/>
        <v>0.98725061140429915</v>
      </c>
      <c r="U1687" s="72">
        <f t="shared" si="632"/>
        <v>1.04</v>
      </c>
    </row>
    <row r="1688" spans="1:21" x14ac:dyDescent="0.25">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0.84499999999999997</v>
      </c>
      <c r="P1688" s="72">
        <f t="shared" si="627"/>
        <v>0</v>
      </c>
      <c r="Q1688" s="72">
        <f t="shared" si="628"/>
        <v>0</v>
      </c>
      <c r="R1688" s="72">
        <f t="shared" si="629"/>
        <v>0.375</v>
      </c>
      <c r="S1688" s="72">
        <f t="shared" si="630"/>
        <v>1.0338823529411765</v>
      </c>
      <c r="T1688" s="72">
        <f t="shared" si="631"/>
        <v>0.98764963315742049</v>
      </c>
      <c r="U1688" s="72">
        <f t="shared" si="632"/>
        <v>1.04</v>
      </c>
    </row>
    <row r="1689" spans="1:21" x14ac:dyDescent="0.25">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0.84499999999999997</v>
      </c>
      <c r="P1689" s="72">
        <f t="shared" si="627"/>
        <v>0</v>
      </c>
      <c r="Q1689" s="72">
        <f t="shared" si="628"/>
        <v>0</v>
      </c>
      <c r="R1689" s="72">
        <f t="shared" si="629"/>
        <v>0.29166666666666669</v>
      </c>
      <c r="S1689" s="72">
        <f t="shared" si="630"/>
        <v>1.0338823529411765</v>
      </c>
      <c r="T1689" s="72">
        <f t="shared" si="631"/>
        <v>0.98804221907581402</v>
      </c>
      <c r="U1689" s="72">
        <f t="shared" si="632"/>
        <v>1.04</v>
      </c>
    </row>
    <row r="1690" spans="1:21" x14ac:dyDescent="0.25">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0.84499999999999997</v>
      </c>
      <c r="P1690" s="72">
        <f t="shared" si="627"/>
        <v>0</v>
      </c>
      <c r="Q1690" s="72">
        <f t="shared" si="628"/>
        <v>0</v>
      </c>
      <c r="R1690" s="72">
        <f t="shared" si="629"/>
        <v>0.20833333333333334</v>
      </c>
      <c r="S1690" s="72">
        <f t="shared" si="630"/>
        <v>1.0338823529411765</v>
      </c>
      <c r="T1690" s="72">
        <f t="shared" si="631"/>
        <v>0.98843480499420777</v>
      </c>
      <c r="U1690" s="72">
        <f t="shared" si="632"/>
        <v>1.04</v>
      </c>
    </row>
    <row r="1691" spans="1:21" x14ac:dyDescent="0.25">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0.84499999999999997</v>
      </c>
      <c r="P1691" s="72">
        <f t="shared" si="627"/>
        <v>0</v>
      </c>
      <c r="Q1691" s="72">
        <f t="shared" si="628"/>
        <v>0</v>
      </c>
      <c r="R1691" s="72">
        <f t="shared" si="629"/>
        <v>0.125</v>
      </c>
      <c r="S1691" s="72">
        <f t="shared" si="630"/>
        <v>1.0338823529411765</v>
      </c>
      <c r="T1691" s="72">
        <f t="shared" si="631"/>
        <v>0.98882739091260141</v>
      </c>
      <c r="U1691" s="72">
        <f t="shared" si="632"/>
        <v>1.04</v>
      </c>
    </row>
    <row r="1692" spans="1:21" x14ac:dyDescent="0.25">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0.84499999999999997</v>
      </c>
      <c r="P1692" s="72">
        <f t="shared" si="627"/>
        <v>0</v>
      </c>
      <c r="Q1692" s="72">
        <f t="shared" si="628"/>
        <v>0</v>
      </c>
      <c r="R1692" s="72">
        <f t="shared" si="629"/>
        <v>4.1666666666666664E-2</v>
      </c>
      <c r="S1692" s="72">
        <f t="shared" si="630"/>
        <v>1.0338823529411765</v>
      </c>
      <c r="T1692" s="72">
        <f t="shared" si="631"/>
        <v>0.98921997683099494</v>
      </c>
      <c r="U1692" s="72">
        <f t="shared" si="632"/>
        <v>1.04</v>
      </c>
    </row>
    <row r="1693" spans="1:21" x14ac:dyDescent="0.25">
      <c r="A1693" s="77" t="s">
        <v>1209</v>
      </c>
      <c r="B1693" s="50">
        <f>EXP(SUMPRODUCT((rl_key=$A$1642)*(rl_cons="Y")*rl_ln1p))</f>
        <v>1</v>
      </c>
      <c r="C1693" s="50">
        <f>SUMPRODUCT($H$1645:$H$1692,$P$1645:$P$1692,$U$1645:$U$1692)/SUMPRODUCT($H$1645:$H$1692,$P$1645:$P$1692)</f>
        <v>1</v>
      </c>
      <c r="D1693" s="50">
        <f>SUMPRODUCT($H$1645:$H$1692,$Q$1645:$Q$1692,$U$1645:$U$1692)/SUMPRODUCT($H$1645:$H$1692,$Q$1645:$Q$1692)</f>
        <v>1.00125</v>
      </c>
      <c r="E1693" s="50">
        <f>SUMPRODUCT($H$1645:$H$1692,$R$1645:$R$1692,$U$1645:$U$1692)/SUMPRODUCT($H$1645:$H$1692,$R$1645:$R$1692)</f>
        <v>1.0287500000000001</v>
      </c>
      <c r="F1693" s="169">
        <f>SUMPRODUCT($H$1645:$H$1692,$Q$1645:$Q$1692,$O$1645:$O$1692)/SUMPRODUCT($H$1645:$H$1692,$Q$1645:$Q$1692)</f>
        <v>0.84099790299051769</v>
      </c>
      <c r="G1693" s="169">
        <f>SUMPRODUCT($H$1645:$H$1692,$R$1645:$R$1692,$O$1645:$O$1692)/SUMPRODUCT($H$1645:$H$1692,$R$1645:$R$1692)</f>
        <v>0.84432817818502282</v>
      </c>
    </row>
    <row r="1696" spans="1:21" x14ac:dyDescent="0.25">
      <c r="A1696" s="77" t="str">
        <f>INDEX(lr_key,31)</f>
        <v>BU-B|KY</v>
      </c>
      <c r="B1696" s="77" t="str">
        <f>INDEX(lr_state,31)</f>
        <v>KY</v>
      </c>
      <c r="C1696" s="52">
        <f>nr_TermMonths</f>
        <v>12</v>
      </c>
      <c r="D1696" s="52">
        <f>IF(COUNTIF(se_state,$B1696)=0,0,MATCH($B1696,se_state,0))</f>
        <v>0</v>
      </c>
      <c r="E1696" s="54">
        <f>IF($D1696=0,0,INDEX(se_sum,$D1696))</f>
        <v>0</v>
      </c>
      <c r="F1696" s="169">
        <f>IF(N(INDEX(lr_mind,31))=0,1,INDEX(lr_mind,31))</f>
        <v>0.85</v>
      </c>
      <c r="G1696" s="169">
        <f>IF(N(INDEX(lr_m0,31))=0,1,INDEX(lr_m0,31))</f>
        <v>0.84</v>
      </c>
      <c r="H1696" s="51">
        <f>IF(N(INDEX(lr_m0asof,31))=0,DATE(nr_PlanYear-1,10,1),INDEX(lr_m0asof,31))</f>
        <v>46295</v>
      </c>
      <c r="I1696" s="169">
        <f>IF(N(INDEX(lr_m1,31))=0,1,INDEX(lr_m1,31))</f>
        <v>0.86</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25">
      <c r="A1697" s="77">
        <f>EDATE($H$1696,-12)+1</f>
        <v>45931</v>
      </c>
      <c r="B1697" s="77">
        <f>$H$1696+1</f>
        <v>46296</v>
      </c>
      <c r="C1697" s="77">
        <f>DATE(nr_PlanYear,12,31)+1</f>
        <v>46753</v>
      </c>
      <c r="D1697" s="77">
        <f>DATE(nr_PlanYear+1,12,31)+1</f>
        <v>47119</v>
      </c>
      <c r="E1697" s="77">
        <f>IF(N($J$1696)=0,$F$1697-($G$1697-$F$1697)/($C$1697-$B$1697)*($B$1697-$A$1697),$J$1696)</f>
        <v>0.8240262582056892</v>
      </c>
      <c r="F1697" s="77">
        <f>$G$1696</f>
        <v>0.84</v>
      </c>
      <c r="G1697" s="77">
        <f>$I$1696</f>
        <v>0.86</v>
      </c>
      <c r="H1697" s="77">
        <f>IF(N($K$1696)=0,$I$1696,$K$1696)</f>
        <v>0.86</v>
      </c>
      <c r="I1697" s="77">
        <f>($F$1697-$E$1697)/($B$1697-$A$1697)</f>
        <v>4.3763676148796628E-5</v>
      </c>
      <c r="J1697" s="77">
        <f>($G$1697-$F$1697)/($C$1697-$B$1697)</f>
        <v>4.376367614879654E-5</v>
      </c>
      <c r="K1697" s="77">
        <f>($H$1697-$G$1697)/($D$1697-$C$1697)</f>
        <v>0</v>
      </c>
    </row>
    <row r="1698" spans="1:21" ht="24" x14ac:dyDescent="0.25">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25">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0.81275711159737407</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0.95618483717338132</v>
      </c>
      <c r="T1699" s="72">
        <f t="shared" ref="T1699:T1746" si="651">IF($G1699&lt;nr_MStartP,$S1699,$T1687*(1+IF($G1699&lt;nr_MStartP1,$M$1696,$N$1696)))</f>
        <v>0.95618483717338132</v>
      </c>
      <c r="U1699" s="72">
        <f t="shared" ref="U1699:U1746" si="652">IF($L$1696,$T1699,$N1699)</f>
        <v>1</v>
      </c>
    </row>
    <row r="1700" spans="1:21" x14ac:dyDescent="0.25">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0.81404814004376358</v>
      </c>
      <c r="P1700" s="72">
        <f t="shared" si="647"/>
        <v>0.125</v>
      </c>
      <c r="Q1700" s="72">
        <f t="shared" si="648"/>
        <v>0</v>
      </c>
      <c r="R1700" s="72">
        <f t="shared" si="649"/>
        <v>0</v>
      </c>
      <c r="S1700" s="72">
        <f t="shared" si="650"/>
        <v>0.9577036941691337</v>
      </c>
      <c r="T1700" s="72">
        <f t="shared" si="651"/>
        <v>0.9577036941691337</v>
      </c>
      <c r="U1700" s="72">
        <f t="shared" si="652"/>
        <v>1</v>
      </c>
    </row>
    <row r="1701" spans="1:21" x14ac:dyDescent="0.25">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0.81533916849015309</v>
      </c>
      <c r="P1701" s="72">
        <f t="shared" si="647"/>
        <v>0.20833333333333337</v>
      </c>
      <c r="Q1701" s="72">
        <f t="shared" si="648"/>
        <v>0</v>
      </c>
      <c r="R1701" s="72">
        <f t="shared" si="649"/>
        <v>0</v>
      </c>
      <c r="S1701" s="72">
        <f t="shared" si="650"/>
        <v>0.95922255116488597</v>
      </c>
      <c r="T1701" s="72">
        <f t="shared" si="651"/>
        <v>0.95922255116488597</v>
      </c>
      <c r="U1701" s="72">
        <f t="shared" si="652"/>
        <v>1</v>
      </c>
    </row>
    <row r="1702" spans="1:21" x14ac:dyDescent="0.25">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0.81667396061269137</v>
      </c>
      <c r="P1702" s="72">
        <f t="shared" si="647"/>
        <v>0.29166666666666663</v>
      </c>
      <c r="Q1702" s="72">
        <f t="shared" si="648"/>
        <v>0</v>
      </c>
      <c r="R1702" s="72">
        <f t="shared" si="649"/>
        <v>0</v>
      </c>
      <c r="S1702" s="72">
        <f t="shared" si="650"/>
        <v>0.96079289483846042</v>
      </c>
      <c r="T1702" s="72">
        <f t="shared" si="651"/>
        <v>0.96079289483846042</v>
      </c>
      <c r="U1702" s="72">
        <f t="shared" si="652"/>
        <v>1</v>
      </c>
    </row>
    <row r="1703" spans="1:21" x14ac:dyDescent="0.25">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0.81800875273522966</v>
      </c>
      <c r="P1703" s="72">
        <f t="shared" si="647"/>
        <v>0.375</v>
      </c>
      <c r="Q1703" s="72">
        <f t="shared" si="648"/>
        <v>0</v>
      </c>
      <c r="R1703" s="72">
        <f t="shared" si="649"/>
        <v>0</v>
      </c>
      <c r="S1703" s="72">
        <f t="shared" si="650"/>
        <v>0.96236323851203487</v>
      </c>
      <c r="T1703" s="72">
        <f t="shared" si="651"/>
        <v>0.96236323851203487</v>
      </c>
      <c r="U1703" s="72">
        <f t="shared" si="652"/>
        <v>1</v>
      </c>
    </row>
    <row r="1704" spans="1:21" x14ac:dyDescent="0.25">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0.81934354485776795</v>
      </c>
      <c r="P1704" s="72">
        <f t="shared" si="647"/>
        <v>0.45833333333333337</v>
      </c>
      <c r="Q1704" s="72">
        <f t="shared" si="648"/>
        <v>0</v>
      </c>
      <c r="R1704" s="72">
        <f t="shared" si="649"/>
        <v>0</v>
      </c>
      <c r="S1704" s="72">
        <f t="shared" si="650"/>
        <v>0.96393358218560943</v>
      </c>
      <c r="T1704" s="72">
        <f t="shared" si="651"/>
        <v>0.96393358218560943</v>
      </c>
      <c r="U1704" s="72">
        <f t="shared" si="652"/>
        <v>1</v>
      </c>
    </row>
    <row r="1705" spans="1:21" x14ac:dyDescent="0.25">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0.82067833698030623</v>
      </c>
      <c r="P1705" s="72">
        <f t="shared" si="647"/>
        <v>0.54166666666666674</v>
      </c>
      <c r="Q1705" s="72">
        <f t="shared" si="648"/>
        <v>0</v>
      </c>
      <c r="R1705" s="72">
        <f t="shared" si="649"/>
        <v>0</v>
      </c>
      <c r="S1705" s="72">
        <f t="shared" si="650"/>
        <v>0.96550392585918388</v>
      </c>
      <c r="T1705" s="72">
        <f t="shared" si="651"/>
        <v>0.96550392585918388</v>
      </c>
      <c r="U1705" s="72">
        <f t="shared" si="652"/>
        <v>1</v>
      </c>
    </row>
    <row r="1706" spans="1:21" x14ac:dyDescent="0.25">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0.82203501094091891</v>
      </c>
      <c r="P1706" s="72">
        <f t="shared" si="647"/>
        <v>0.625</v>
      </c>
      <c r="Q1706" s="72">
        <f t="shared" si="648"/>
        <v>0</v>
      </c>
      <c r="R1706" s="72">
        <f t="shared" si="649"/>
        <v>0</v>
      </c>
      <c r="S1706" s="72">
        <f t="shared" si="650"/>
        <v>0.96710001287166936</v>
      </c>
      <c r="T1706" s="72">
        <f t="shared" si="651"/>
        <v>0.96710001287166936</v>
      </c>
      <c r="U1706" s="72">
        <f t="shared" si="652"/>
        <v>1</v>
      </c>
    </row>
    <row r="1707" spans="1:21" x14ac:dyDescent="0.25">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0.8233698030634572</v>
      </c>
      <c r="P1707" s="72">
        <f t="shared" si="647"/>
        <v>0.70833333333333326</v>
      </c>
      <c r="Q1707" s="72">
        <f t="shared" si="648"/>
        <v>0</v>
      </c>
      <c r="R1707" s="72">
        <f t="shared" si="649"/>
        <v>0</v>
      </c>
      <c r="S1707" s="72">
        <f t="shared" si="650"/>
        <v>0.9686703565452438</v>
      </c>
      <c r="T1707" s="72">
        <f t="shared" si="651"/>
        <v>0.9686703565452438</v>
      </c>
      <c r="U1707" s="72">
        <f t="shared" si="652"/>
        <v>1</v>
      </c>
    </row>
    <row r="1708" spans="1:21" x14ac:dyDescent="0.25">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0.82470459518599559</v>
      </c>
      <c r="P1708" s="72">
        <f t="shared" si="647"/>
        <v>0.79166666666666663</v>
      </c>
      <c r="Q1708" s="72">
        <f t="shared" si="648"/>
        <v>0</v>
      </c>
      <c r="R1708" s="72">
        <f t="shared" si="649"/>
        <v>0</v>
      </c>
      <c r="S1708" s="72">
        <f t="shared" si="650"/>
        <v>0.97024070021881836</v>
      </c>
      <c r="T1708" s="72">
        <f t="shared" si="651"/>
        <v>0.97024070021881836</v>
      </c>
      <c r="U1708" s="72">
        <f t="shared" si="652"/>
        <v>1</v>
      </c>
    </row>
    <row r="1709" spans="1:21" x14ac:dyDescent="0.25">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0.82603938730853388</v>
      </c>
      <c r="P1709" s="72">
        <f t="shared" si="647"/>
        <v>0.875</v>
      </c>
      <c r="Q1709" s="72">
        <f t="shared" si="648"/>
        <v>0</v>
      </c>
      <c r="R1709" s="72">
        <f t="shared" si="649"/>
        <v>0</v>
      </c>
      <c r="S1709" s="72">
        <f t="shared" si="650"/>
        <v>0.97181104389239281</v>
      </c>
      <c r="T1709" s="72">
        <f t="shared" si="651"/>
        <v>0.97181104389239281</v>
      </c>
      <c r="U1709" s="72">
        <f t="shared" si="652"/>
        <v>1</v>
      </c>
    </row>
    <row r="1710" spans="1:21" x14ac:dyDescent="0.25">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0.82737417943107217</v>
      </c>
      <c r="P1710" s="72">
        <f t="shared" si="647"/>
        <v>0.95833333333333337</v>
      </c>
      <c r="Q1710" s="72">
        <f t="shared" si="648"/>
        <v>0</v>
      </c>
      <c r="R1710" s="72">
        <f t="shared" si="649"/>
        <v>0</v>
      </c>
      <c r="S1710" s="72">
        <f t="shared" si="650"/>
        <v>0.97338138756596726</v>
      </c>
      <c r="T1710" s="72">
        <f t="shared" si="651"/>
        <v>0.97338138756596726</v>
      </c>
      <c r="U1710" s="72">
        <f t="shared" si="652"/>
        <v>1</v>
      </c>
    </row>
    <row r="1711" spans="1:21" x14ac:dyDescent="0.25">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0.82873085339168484</v>
      </c>
      <c r="P1711" s="72">
        <f t="shared" si="647"/>
        <v>0.95833333333333337</v>
      </c>
      <c r="Q1711" s="72">
        <f t="shared" si="648"/>
        <v>4.166666666666663E-2</v>
      </c>
      <c r="R1711" s="72">
        <f t="shared" si="649"/>
        <v>0</v>
      </c>
      <c r="S1711" s="72">
        <f t="shared" si="650"/>
        <v>0.97497747457845274</v>
      </c>
      <c r="T1711" s="72">
        <f t="shared" si="651"/>
        <v>0.97497747457845274</v>
      </c>
      <c r="U1711" s="72">
        <f t="shared" si="652"/>
        <v>1</v>
      </c>
    </row>
    <row r="1712" spans="1:21" x14ac:dyDescent="0.25">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0.83002188183807435</v>
      </c>
      <c r="P1712" s="72">
        <f t="shared" si="647"/>
        <v>0.875</v>
      </c>
      <c r="Q1712" s="72">
        <f t="shared" si="648"/>
        <v>0.125</v>
      </c>
      <c r="R1712" s="72">
        <f t="shared" si="649"/>
        <v>0</v>
      </c>
      <c r="S1712" s="72">
        <f t="shared" si="650"/>
        <v>0.97649633157420512</v>
      </c>
      <c r="T1712" s="72">
        <f t="shared" si="651"/>
        <v>0.97649633157420512</v>
      </c>
      <c r="U1712" s="72">
        <f t="shared" si="652"/>
        <v>1</v>
      </c>
    </row>
    <row r="1713" spans="1:21" x14ac:dyDescent="0.25">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0.83131291028446386</v>
      </c>
      <c r="P1713" s="72">
        <f t="shared" si="647"/>
        <v>0.79166666666666663</v>
      </c>
      <c r="Q1713" s="72">
        <f t="shared" si="648"/>
        <v>0.20833333333333337</v>
      </c>
      <c r="R1713" s="72">
        <f t="shared" si="649"/>
        <v>0</v>
      </c>
      <c r="S1713" s="72">
        <f t="shared" si="650"/>
        <v>0.97801518856995751</v>
      </c>
      <c r="T1713" s="72">
        <f t="shared" si="651"/>
        <v>0.97801518856995751</v>
      </c>
      <c r="U1713" s="72">
        <f t="shared" si="652"/>
        <v>1</v>
      </c>
    </row>
    <row r="1714" spans="1:21" x14ac:dyDescent="0.25">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0.83264770240700214</v>
      </c>
      <c r="P1714" s="72">
        <f t="shared" si="647"/>
        <v>0.70833333333333337</v>
      </c>
      <c r="Q1714" s="72">
        <f t="shared" si="648"/>
        <v>0.29166666666666663</v>
      </c>
      <c r="R1714" s="72">
        <f t="shared" si="649"/>
        <v>0</v>
      </c>
      <c r="S1714" s="72">
        <f t="shared" si="650"/>
        <v>0.97958553224353195</v>
      </c>
      <c r="T1714" s="72">
        <f t="shared" si="651"/>
        <v>0.97958553224353195</v>
      </c>
      <c r="U1714" s="72">
        <f t="shared" si="652"/>
        <v>1</v>
      </c>
    </row>
    <row r="1715" spans="1:21" x14ac:dyDescent="0.25">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0.83398249452954043</v>
      </c>
      <c r="P1715" s="72">
        <f t="shared" si="647"/>
        <v>0.625</v>
      </c>
      <c r="Q1715" s="72">
        <f t="shared" si="648"/>
        <v>0.375</v>
      </c>
      <c r="R1715" s="72">
        <f t="shared" si="649"/>
        <v>0</v>
      </c>
      <c r="S1715" s="72">
        <f t="shared" si="650"/>
        <v>0.9811558759171064</v>
      </c>
      <c r="T1715" s="72">
        <f t="shared" si="651"/>
        <v>0.9811558759171064</v>
      </c>
      <c r="U1715" s="72">
        <f t="shared" si="652"/>
        <v>1</v>
      </c>
    </row>
    <row r="1716" spans="1:21" x14ac:dyDescent="0.25">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0.83531728665207872</v>
      </c>
      <c r="P1716" s="72">
        <f t="shared" si="647"/>
        <v>0.54166666666666663</v>
      </c>
      <c r="Q1716" s="72">
        <f t="shared" si="648"/>
        <v>0.45833333333333337</v>
      </c>
      <c r="R1716" s="72">
        <f t="shared" si="649"/>
        <v>0</v>
      </c>
      <c r="S1716" s="72">
        <f t="shared" si="650"/>
        <v>0.98272621959068085</v>
      </c>
      <c r="T1716" s="72">
        <f t="shared" si="651"/>
        <v>0.98272621959068085</v>
      </c>
      <c r="U1716" s="72">
        <f t="shared" si="652"/>
        <v>1</v>
      </c>
    </row>
    <row r="1717" spans="1:21" x14ac:dyDescent="0.25">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0.836652078774617</v>
      </c>
      <c r="P1717" s="72">
        <f t="shared" si="647"/>
        <v>0.45833333333333331</v>
      </c>
      <c r="Q1717" s="72">
        <f t="shared" si="648"/>
        <v>0.54166666666666674</v>
      </c>
      <c r="R1717" s="72">
        <f t="shared" si="649"/>
        <v>0</v>
      </c>
      <c r="S1717" s="72">
        <f t="shared" si="650"/>
        <v>1.0039824945295404</v>
      </c>
      <c r="T1717" s="72">
        <f t="shared" si="651"/>
        <v>1.0039824945295404</v>
      </c>
      <c r="U1717" s="72">
        <f t="shared" si="652"/>
        <v>1.02</v>
      </c>
    </row>
    <row r="1718" spans="1:21" x14ac:dyDescent="0.25">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0.83800875273522968</v>
      </c>
      <c r="P1718" s="72">
        <f t="shared" si="647"/>
        <v>0.375</v>
      </c>
      <c r="Q1718" s="72">
        <f t="shared" si="648"/>
        <v>0.625</v>
      </c>
      <c r="R1718" s="72">
        <f t="shared" si="649"/>
        <v>0</v>
      </c>
      <c r="S1718" s="72">
        <f t="shared" si="650"/>
        <v>1.0056105032822755</v>
      </c>
      <c r="T1718" s="72">
        <f t="shared" si="651"/>
        <v>1.0056105032822755</v>
      </c>
      <c r="U1718" s="72">
        <f t="shared" si="652"/>
        <v>1.02</v>
      </c>
    </row>
    <row r="1719" spans="1:21" x14ac:dyDescent="0.25">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0.83934354485776796</v>
      </c>
      <c r="P1719" s="72">
        <f t="shared" si="647"/>
        <v>0.29166666666666669</v>
      </c>
      <c r="Q1719" s="72">
        <f t="shared" si="648"/>
        <v>0.70833333333333326</v>
      </c>
      <c r="R1719" s="72">
        <f t="shared" si="649"/>
        <v>0</v>
      </c>
      <c r="S1719" s="72">
        <f t="shared" si="650"/>
        <v>1.0072122538293216</v>
      </c>
      <c r="T1719" s="72">
        <f t="shared" si="651"/>
        <v>1.0072122538293216</v>
      </c>
      <c r="U1719" s="72">
        <f t="shared" si="652"/>
        <v>1.02</v>
      </c>
    </row>
    <row r="1720" spans="1:21" x14ac:dyDescent="0.25">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0.84067833698030636</v>
      </c>
      <c r="P1720" s="72">
        <f t="shared" si="647"/>
        <v>0.20833333333333334</v>
      </c>
      <c r="Q1720" s="72">
        <f t="shared" si="648"/>
        <v>0.79166666666666663</v>
      </c>
      <c r="R1720" s="72">
        <f t="shared" si="649"/>
        <v>0</v>
      </c>
      <c r="S1720" s="72">
        <f t="shared" si="650"/>
        <v>1.0088140043763678</v>
      </c>
      <c r="T1720" s="72">
        <f t="shared" si="651"/>
        <v>1.0088140043763678</v>
      </c>
      <c r="U1720" s="72">
        <f t="shared" si="652"/>
        <v>1.02</v>
      </c>
    </row>
    <row r="1721" spans="1:21" x14ac:dyDescent="0.25">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0.84201312910284465</v>
      </c>
      <c r="P1721" s="72">
        <f t="shared" si="647"/>
        <v>0.125</v>
      </c>
      <c r="Q1721" s="72">
        <f t="shared" si="648"/>
        <v>0.875</v>
      </c>
      <c r="R1721" s="72">
        <f t="shared" si="649"/>
        <v>0</v>
      </c>
      <c r="S1721" s="72">
        <f t="shared" si="650"/>
        <v>1.0104157549234136</v>
      </c>
      <c r="T1721" s="72">
        <f t="shared" si="651"/>
        <v>1.0104157549234136</v>
      </c>
      <c r="U1721" s="72">
        <f t="shared" si="652"/>
        <v>1.02</v>
      </c>
    </row>
    <row r="1722" spans="1:21" x14ac:dyDescent="0.25">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0.84334792122538293</v>
      </c>
      <c r="P1722" s="72">
        <f t="shared" si="647"/>
        <v>4.1666666666666664E-2</v>
      </c>
      <c r="Q1722" s="72">
        <f t="shared" si="648"/>
        <v>0.95833333333333337</v>
      </c>
      <c r="R1722" s="72">
        <f t="shared" si="649"/>
        <v>0</v>
      </c>
      <c r="S1722" s="72">
        <f t="shared" si="650"/>
        <v>1.0120175054704597</v>
      </c>
      <c r="T1722" s="72">
        <f t="shared" si="651"/>
        <v>1.0120175054704597</v>
      </c>
      <c r="U1722" s="72">
        <f t="shared" si="652"/>
        <v>1.02</v>
      </c>
    </row>
    <row r="1723" spans="1:21" x14ac:dyDescent="0.25">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0.84470459518599561</v>
      </c>
      <c r="P1723" s="72">
        <f t="shared" si="647"/>
        <v>0</v>
      </c>
      <c r="Q1723" s="72">
        <f t="shared" si="648"/>
        <v>0.95833333333333337</v>
      </c>
      <c r="R1723" s="72">
        <f t="shared" si="649"/>
        <v>4.166666666666663E-2</v>
      </c>
      <c r="S1723" s="72">
        <f t="shared" si="650"/>
        <v>1.0136455142231948</v>
      </c>
      <c r="T1723" s="72">
        <f t="shared" si="651"/>
        <v>0.97497747457845274</v>
      </c>
      <c r="U1723" s="72">
        <f t="shared" si="652"/>
        <v>1.02</v>
      </c>
    </row>
    <row r="1724" spans="1:21" x14ac:dyDescent="0.25">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0.84599562363238512</v>
      </c>
      <c r="P1724" s="72">
        <f t="shared" si="647"/>
        <v>0</v>
      </c>
      <c r="Q1724" s="72">
        <f t="shared" si="648"/>
        <v>0.875</v>
      </c>
      <c r="R1724" s="72">
        <f t="shared" si="649"/>
        <v>0.125</v>
      </c>
      <c r="S1724" s="72">
        <f t="shared" si="650"/>
        <v>1.0151947483588621</v>
      </c>
      <c r="T1724" s="72">
        <f t="shared" si="651"/>
        <v>0.97649633157420512</v>
      </c>
      <c r="U1724" s="72">
        <f t="shared" si="652"/>
        <v>1.02</v>
      </c>
    </row>
    <row r="1725" spans="1:21" x14ac:dyDescent="0.25">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0.84728665207877463</v>
      </c>
      <c r="P1725" s="72">
        <f t="shared" si="647"/>
        <v>0</v>
      </c>
      <c r="Q1725" s="72">
        <f t="shared" si="648"/>
        <v>0.79166666666666663</v>
      </c>
      <c r="R1725" s="72">
        <f t="shared" si="649"/>
        <v>0.20833333333333337</v>
      </c>
      <c r="S1725" s="72">
        <f t="shared" si="650"/>
        <v>1.0167439824945297</v>
      </c>
      <c r="T1725" s="72">
        <f t="shared" si="651"/>
        <v>0.97801518856995751</v>
      </c>
      <c r="U1725" s="72">
        <f t="shared" si="652"/>
        <v>1.02</v>
      </c>
    </row>
    <row r="1726" spans="1:21" x14ac:dyDescent="0.25">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0.84862144420131291</v>
      </c>
      <c r="P1726" s="72">
        <f t="shared" si="647"/>
        <v>0</v>
      </c>
      <c r="Q1726" s="72">
        <f t="shared" si="648"/>
        <v>0.70833333333333337</v>
      </c>
      <c r="R1726" s="72">
        <f t="shared" si="649"/>
        <v>0.29166666666666663</v>
      </c>
      <c r="S1726" s="72">
        <f t="shared" si="650"/>
        <v>1.0183457330415755</v>
      </c>
      <c r="T1726" s="72">
        <f t="shared" si="651"/>
        <v>0.97958553224353195</v>
      </c>
      <c r="U1726" s="72">
        <f t="shared" si="652"/>
        <v>1.02</v>
      </c>
    </row>
    <row r="1727" spans="1:21" x14ac:dyDescent="0.25">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0.8499562363238512</v>
      </c>
      <c r="P1727" s="72">
        <f t="shared" si="647"/>
        <v>0</v>
      </c>
      <c r="Q1727" s="72">
        <f t="shared" si="648"/>
        <v>0.625</v>
      </c>
      <c r="R1727" s="72">
        <f t="shared" si="649"/>
        <v>0.375</v>
      </c>
      <c r="S1727" s="72">
        <f t="shared" si="650"/>
        <v>1.0199474835886215</v>
      </c>
      <c r="T1727" s="72">
        <f t="shared" si="651"/>
        <v>0.9811558759171064</v>
      </c>
      <c r="U1727" s="72">
        <f t="shared" si="652"/>
        <v>1.02</v>
      </c>
    </row>
    <row r="1728" spans="1:21" x14ac:dyDescent="0.25">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0.85129102844638949</v>
      </c>
      <c r="P1728" s="72">
        <f t="shared" si="647"/>
        <v>0</v>
      </c>
      <c r="Q1728" s="72">
        <f t="shared" si="648"/>
        <v>0.54166666666666663</v>
      </c>
      <c r="R1728" s="72">
        <f t="shared" si="649"/>
        <v>0.45833333333333337</v>
      </c>
      <c r="S1728" s="72">
        <f t="shared" si="650"/>
        <v>1.0215492341356673</v>
      </c>
      <c r="T1728" s="72">
        <f t="shared" si="651"/>
        <v>0.98272621959068085</v>
      </c>
      <c r="U1728" s="72">
        <f t="shared" si="652"/>
        <v>1.02</v>
      </c>
    </row>
    <row r="1729" spans="1:21" x14ac:dyDescent="0.25">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0.85262582056892777</v>
      </c>
      <c r="P1729" s="72">
        <f t="shared" si="647"/>
        <v>0</v>
      </c>
      <c r="Q1729" s="72">
        <f t="shared" si="648"/>
        <v>0.45833333333333331</v>
      </c>
      <c r="R1729" s="72">
        <f t="shared" si="649"/>
        <v>0.54166666666666674</v>
      </c>
      <c r="S1729" s="72">
        <f t="shared" si="650"/>
        <v>1.0231509846827134</v>
      </c>
      <c r="T1729" s="72">
        <f t="shared" si="651"/>
        <v>1.0039824945295404</v>
      </c>
      <c r="U1729" s="72">
        <f t="shared" si="652"/>
        <v>1.02</v>
      </c>
    </row>
    <row r="1730" spans="1:21" x14ac:dyDescent="0.25">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0.85398249452954045</v>
      </c>
      <c r="P1730" s="72">
        <f t="shared" si="647"/>
        <v>0</v>
      </c>
      <c r="Q1730" s="72">
        <f t="shared" si="648"/>
        <v>0.375</v>
      </c>
      <c r="R1730" s="72">
        <f t="shared" si="649"/>
        <v>0.625</v>
      </c>
      <c r="S1730" s="72">
        <f t="shared" si="650"/>
        <v>1.0247789934354488</v>
      </c>
      <c r="T1730" s="72">
        <f t="shared" si="651"/>
        <v>1.0056105032822755</v>
      </c>
      <c r="U1730" s="72">
        <f t="shared" si="652"/>
        <v>1.02</v>
      </c>
    </row>
    <row r="1731" spans="1:21" x14ac:dyDescent="0.25">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0.85531728665207873</v>
      </c>
      <c r="P1731" s="72">
        <f t="shared" si="647"/>
        <v>0</v>
      </c>
      <c r="Q1731" s="72">
        <f t="shared" si="648"/>
        <v>0.29166666666666669</v>
      </c>
      <c r="R1731" s="72">
        <f t="shared" si="649"/>
        <v>0.70833333333333326</v>
      </c>
      <c r="S1731" s="72">
        <f t="shared" si="650"/>
        <v>1.0263807439824946</v>
      </c>
      <c r="T1731" s="72">
        <f t="shared" si="651"/>
        <v>1.0072122538293216</v>
      </c>
      <c r="U1731" s="72">
        <f t="shared" si="652"/>
        <v>1.02</v>
      </c>
    </row>
    <row r="1732" spans="1:21" x14ac:dyDescent="0.25">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0.85665207877461702</v>
      </c>
      <c r="P1732" s="72">
        <f t="shared" si="647"/>
        <v>0</v>
      </c>
      <c r="Q1732" s="72">
        <f t="shared" si="648"/>
        <v>0.20833333333333334</v>
      </c>
      <c r="R1732" s="72">
        <f t="shared" si="649"/>
        <v>0.79166666666666663</v>
      </c>
      <c r="S1732" s="72">
        <f t="shared" si="650"/>
        <v>1.0279824945295406</v>
      </c>
      <c r="T1732" s="72">
        <f t="shared" si="651"/>
        <v>1.0088140043763678</v>
      </c>
      <c r="U1732" s="72">
        <f t="shared" si="652"/>
        <v>1.02</v>
      </c>
    </row>
    <row r="1733" spans="1:21" x14ac:dyDescent="0.25">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0.85798687089715531</v>
      </c>
      <c r="P1733" s="72">
        <f t="shared" si="647"/>
        <v>0</v>
      </c>
      <c r="Q1733" s="72">
        <f t="shared" si="648"/>
        <v>0.125</v>
      </c>
      <c r="R1733" s="72">
        <f t="shared" si="649"/>
        <v>0.875</v>
      </c>
      <c r="S1733" s="72">
        <f t="shared" si="650"/>
        <v>1.0295842450765864</v>
      </c>
      <c r="T1733" s="72">
        <f t="shared" si="651"/>
        <v>1.0104157549234136</v>
      </c>
      <c r="U1733" s="72">
        <f t="shared" si="652"/>
        <v>1.02</v>
      </c>
    </row>
    <row r="1734" spans="1:21" x14ac:dyDescent="0.25">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0.85932166301969359</v>
      </c>
      <c r="P1734" s="72">
        <f t="shared" si="647"/>
        <v>0</v>
      </c>
      <c r="Q1734" s="72">
        <f t="shared" si="648"/>
        <v>4.1666666666666664E-2</v>
      </c>
      <c r="R1734" s="72">
        <f t="shared" si="649"/>
        <v>0.95833333333333337</v>
      </c>
      <c r="S1734" s="72">
        <f t="shared" si="650"/>
        <v>1.0311859956236324</v>
      </c>
      <c r="T1734" s="72">
        <f t="shared" si="651"/>
        <v>1.0120175054704597</v>
      </c>
      <c r="U1734" s="72">
        <f t="shared" si="652"/>
        <v>1.02</v>
      </c>
    </row>
    <row r="1735" spans="1:21" x14ac:dyDescent="0.25">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0.86</v>
      </c>
      <c r="P1735" s="72">
        <f t="shared" si="647"/>
        <v>0</v>
      </c>
      <c r="Q1735" s="72">
        <f t="shared" si="648"/>
        <v>0</v>
      </c>
      <c r="R1735" s="72">
        <f t="shared" si="649"/>
        <v>0.95833333333333337</v>
      </c>
      <c r="S1735" s="72">
        <f t="shared" si="650"/>
        <v>1.032</v>
      </c>
      <c r="T1735" s="72">
        <f t="shared" si="651"/>
        <v>0.97497747457845274</v>
      </c>
      <c r="U1735" s="72">
        <f t="shared" si="652"/>
        <v>1.02</v>
      </c>
    </row>
    <row r="1736" spans="1:21" x14ac:dyDescent="0.25">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0.86</v>
      </c>
      <c r="P1736" s="72">
        <f t="shared" si="647"/>
        <v>0</v>
      </c>
      <c r="Q1736" s="72">
        <f t="shared" si="648"/>
        <v>0</v>
      </c>
      <c r="R1736" s="72">
        <f t="shared" si="649"/>
        <v>0.875</v>
      </c>
      <c r="S1736" s="72">
        <f t="shared" si="650"/>
        <v>1.032</v>
      </c>
      <c r="T1736" s="72">
        <f t="shared" si="651"/>
        <v>0.97649633157420512</v>
      </c>
      <c r="U1736" s="72">
        <f t="shared" si="652"/>
        <v>1.02</v>
      </c>
    </row>
    <row r="1737" spans="1:21" x14ac:dyDescent="0.25">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0.86</v>
      </c>
      <c r="P1737" s="72">
        <f t="shared" si="647"/>
        <v>0</v>
      </c>
      <c r="Q1737" s="72">
        <f t="shared" si="648"/>
        <v>0</v>
      </c>
      <c r="R1737" s="72">
        <f t="shared" si="649"/>
        <v>0.79166666666666663</v>
      </c>
      <c r="S1737" s="72">
        <f t="shared" si="650"/>
        <v>1.032</v>
      </c>
      <c r="T1737" s="72">
        <f t="shared" si="651"/>
        <v>0.97801518856995751</v>
      </c>
      <c r="U1737" s="72">
        <f t="shared" si="652"/>
        <v>1.02</v>
      </c>
    </row>
    <row r="1738" spans="1:21" x14ac:dyDescent="0.25">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0.86</v>
      </c>
      <c r="P1738" s="72">
        <f t="shared" si="647"/>
        <v>0</v>
      </c>
      <c r="Q1738" s="72">
        <f t="shared" si="648"/>
        <v>0</v>
      </c>
      <c r="R1738" s="72">
        <f t="shared" si="649"/>
        <v>0.70833333333333337</v>
      </c>
      <c r="S1738" s="72">
        <f t="shared" si="650"/>
        <v>1.032</v>
      </c>
      <c r="T1738" s="72">
        <f t="shared" si="651"/>
        <v>0.97958553224353195</v>
      </c>
      <c r="U1738" s="72">
        <f t="shared" si="652"/>
        <v>1.02</v>
      </c>
    </row>
    <row r="1739" spans="1:21" x14ac:dyDescent="0.25">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0.86</v>
      </c>
      <c r="P1739" s="72">
        <f t="shared" si="647"/>
        <v>0</v>
      </c>
      <c r="Q1739" s="72">
        <f t="shared" si="648"/>
        <v>0</v>
      </c>
      <c r="R1739" s="72">
        <f t="shared" si="649"/>
        <v>0.625</v>
      </c>
      <c r="S1739" s="72">
        <f t="shared" si="650"/>
        <v>1.032</v>
      </c>
      <c r="T1739" s="72">
        <f t="shared" si="651"/>
        <v>0.9811558759171064</v>
      </c>
      <c r="U1739" s="72">
        <f t="shared" si="652"/>
        <v>1.02</v>
      </c>
    </row>
    <row r="1740" spans="1:21" x14ac:dyDescent="0.25">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0.86</v>
      </c>
      <c r="P1740" s="72">
        <f t="shared" si="647"/>
        <v>0</v>
      </c>
      <c r="Q1740" s="72">
        <f t="shared" si="648"/>
        <v>0</v>
      </c>
      <c r="R1740" s="72">
        <f t="shared" si="649"/>
        <v>0.54166666666666663</v>
      </c>
      <c r="S1740" s="72">
        <f t="shared" si="650"/>
        <v>1.032</v>
      </c>
      <c r="T1740" s="72">
        <f t="shared" si="651"/>
        <v>0.98272621959068085</v>
      </c>
      <c r="U1740" s="72">
        <f t="shared" si="652"/>
        <v>1.02</v>
      </c>
    </row>
    <row r="1741" spans="1:21" x14ac:dyDescent="0.25">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0.86</v>
      </c>
      <c r="P1741" s="72">
        <f t="shared" si="647"/>
        <v>0</v>
      </c>
      <c r="Q1741" s="72">
        <f t="shared" si="648"/>
        <v>0</v>
      </c>
      <c r="R1741" s="72">
        <f t="shared" si="649"/>
        <v>0.45833333333333331</v>
      </c>
      <c r="S1741" s="72">
        <f t="shared" si="650"/>
        <v>1.032</v>
      </c>
      <c r="T1741" s="72">
        <f t="shared" si="651"/>
        <v>1.0039824945295404</v>
      </c>
      <c r="U1741" s="72">
        <f t="shared" si="652"/>
        <v>1.02</v>
      </c>
    </row>
    <row r="1742" spans="1:21" x14ac:dyDescent="0.25">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0.86</v>
      </c>
      <c r="P1742" s="72">
        <f t="shared" si="647"/>
        <v>0</v>
      </c>
      <c r="Q1742" s="72">
        <f t="shared" si="648"/>
        <v>0</v>
      </c>
      <c r="R1742" s="72">
        <f t="shared" si="649"/>
        <v>0.375</v>
      </c>
      <c r="S1742" s="72">
        <f t="shared" si="650"/>
        <v>1.032</v>
      </c>
      <c r="T1742" s="72">
        <f t="shared" si="651"/>
        <v>1.0056105032822755</v>
      </c>
      <c r="U1742" s="72">
        <f t="shared" si="652"/>
        <v>1.02</v>
      </c>
    </row>
    <row r="1743" spans="1:21" x14ac:dyDescent="0.25">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0.86</v>
      </c>
      <c r="P1743" s="72">
        <f t="shared" si="647"/>
        <v>0</v>
      </c>
      <c r="Q1743" s="72">
        <f t="shared" si="648"/>
        <v>0</v>
      </c>
      <c r="R1743" s="72">
        <f t="shared" si="649"/>
        <v>0.29166666666666669</v>
      </c>
      <c r="S1743" s="72">
        <f t="shared" si="650"/>
        <v>1.032</v>
      </c>
      <c r="T1743" s="72">
        <f t="shared" si="651"/>
        <v>1.0072122538293216</v>
      </c>
      <c r="U1743" s="72">
        <f t="shared" si="652"/>
        <v>1.02</v>
      </c>
    </row>
    <row r="1744" spans="1:21" x14ac:dyDescent="0.25">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0.86</v>
      </c>
      <c r="P1744" s="72">
        <f t="shared" si="647"/>
        <v>0</v>
      </c>
      <c r="Q1744" s="72">
        <f t="shared" si="648"/>
        <v>0</v>
      </c>
      <c r="R1744" s="72">
        <f t="shared" si="649"/>
        <v>0.20833333333333334</v>
      </c>
      <c r="S1744" s="72">
        <f t="shared" si="650"/>
        <v>1.032</v>
      </c>
      <c r="T1744" s="72">
        <f t="shared" si="651"/>
        <v>1.0088140043763678</v>
      </c>
      <c r="U1744" s="72">
        <f t="shared" si="652"/>
        <v>1.02</v>
      </c>
    </row>
    <row r="1745" spans="1:21" x14ac:dyDescent="0.25">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0.86</v>
      </c>
      <c r="P1745" s="72">
        <f t="shared" si="647"/>
        <v>0</v>
      </c>
      <c r="Q1745" s="72">
        <f t="shared" si="648"/>
        <v>0</v>
      </c>
      <c r="R1745" s="72">
        <f t="shared" si="649"/>
        <v>0.125</v>
      </c>
      <c r="S1745" s="72">
        <f t="shared" si="650"/>
        <v>1.032</v>
      </c>
      <c r="T1745" s="72">
        <f t="shared" si="651"/>
        <v>1.0104157549234136</v>
      </c>
      <c r="U1745" s="72">
        <f t="shared" si="652"/>
        <v>1.02</v>
      </c>
    </row>
    <row r="1746" spans="1:21" x14ac:dyDescent="0.25">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0.86</v>
      </c>
      <c r="P1746" s="72">
        <f t="shared" si="647"/>
        <v>0</v>
      </c>
      <c r="Q1746" s="72">
        <f t="shared" si="648"/>
        <v>0</v>
      </c>
      <c r="R1746" s="72">
        <f t="shared" si="649"/>
        <v>4.1666666666666664E-2</v>
      </c>
      <c r="S1746" s="72">
        <f t="shared" si="650"/>
        <v>1.032</v>
      </c>
      <c r="T1746" s="72">
        <f t="shared" si="651"/>
        <v>1.0120175054704597</v>
      </c>
      <c r="U1746" s="72">
        <f t="shared" si="652"/>
        <v>1.02</v>
      </c>
    </row>
    <row r="1747" spans="1:21" x14ac:dyDescent="0.25">
      <c r="A1747" s="77" t="s">
        <v>1209</v>
      </c>
      <c r="B1747" s="50">
        <f>EXP(SUMPRODUCT((rl_key=$A$1696)*(rl_cons="Y")*rl_ln1p))</f>
        <v>1.02</v>
      </c>
      <c r="C1747" s="50">
        <f>SUMPRODUCT($H$1699:$H$1746,$P$1699:$P$1746,$U$1699:$U$1746)/SUMPRODUCT($H$1699:$H$1746,$P$1699:$P$1746)</f>
        <v>1.0024999999999999</v>
      </c>
      <c r="D1747" s="50">
        <f>SUMPRODUCT($H$1699:$H$1746,$Q$1699:$Q$1746,$U$1699:$U$1746)/SUMPRODUCT($H$1699:$H$1746,$Q$1699:$Q$1746)</f>
        <v>1.0174999999999998</v>
      </c>
      <c r="E1747" s="50">
        <f>SUMPRODUCT($H$1699:$H$1746,$R$1699:$R$1746,$U$1699:$U$1746)/SUMPRODUCT($H$1699:$H$1746,$R$1699:$R$1746)</f>
        <v>1.0199999999999998</v>
      </c>
      <c r="F1747" s="169">
        <f>SUMPRODUCT($H$1699:$H$1746,$Q$1699:$Q$1746,$O$1699:$O$1746)/SUMPRODUCT($H$1699:$H$1746,$Q$1699:$Q$1746)</f>
        <v>0.84399161196207151</v>
      </c>
      <c r="G1747" s="169">
        <f>SUMPRODUCT($H$1699:$H$1746,$R$1699:$R$1746,$O$1699:$O$1746)/SUMPRODUCT($H$1699:$H$1746,$R$1699:$R$1746)</f>
        <v>0.85731271274009246</v>
      </c>
    </row>
    <row r="1750" spans="1:21" x14ac:dyDescent="0.25">
      <c r="A1750" s="77" t="str">
        <f>INDEX(lr_key,32)</f>
        <v>BU-B|MD</v>
      </c>
      <c r="B1750" s="77" t="str">
        <f>INDEX(lr_state,32)</f>
        <v>MD</v>
      </c>
      <c r="C1750" s="52">
        <f>nr_TermMonths</f>
        <v>12</v>
      </c>
      <c r="D1750" s="52">
        <f>IF(COUNTIF(se_state,$B1750)=0,0,MATCH($B1750,se_state,0))</f>
        <v>0</v>
      </c>
      <c r="E1750" s="54">
        <f>IF($D1750=0,0,INDEX(se_sum,$D1750))</f>
        <v>0</v>
      </c>
      <c r="F1750" s="169">
        <f>IF(N(INDEX(lr_mind,32))=0,1,INDEX(lr_mind,32))</f>
        <v>0.85</v>
      </c>
      <c r="G1750" s="169">
        <f>IF(N(INDEX(lr_m0,32))=0,1,INDEX(lr_m0,32))</f>
        <v>0.84</v>
      </c>
      <c r="H1750" s="51">
        <f>IF(N(INDEX(lr_m0asof,32))=0,DATE(nr_PlanYear-1,10,1),INDEX(lr_m0asof,32))</f>
        <v>46295</v>
      </c>
      <c r="I1750" s="169">
        <f>IF(N(INDEX(lr_m1,32))=0,1,INDEX(lr_m1,32))</f>
        <v>0.84</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25">
      <c r="A1751" s="77">
        <f>EDATE($H$1750,-12)+1</f>
        <v>45931</v>
      </c>
      <c r="B1751" s="77">
        <f>$H$1750+1</f>
        <v>46296</v>
      </c>
      <c r="C1751" s="77">
        <f>DATE(nr_PlanYear,12,31)+1</f>
        <v>46753</v>
      </c>
      <c r="D1751" s="77">
        <f>DATE(nr_PlanYear+1,12,31)+1</f>
        <v>47119</v>
      </c>
      <c r="E1751" s="77">
        <f>IF(N($J$1750)=0,$F$1751-($G$1751-$F$1751)/($C$1751-$B$1751)*($B$1751-$A$1751),$J$1750)</f>
        <v>0.84</v>
      </c>
      <c r="F1751" s="77">
        <f>$G$1750</f>
        <v>0.84</v>
      </c>
      <c r="G1751" s="77">
        <f>$I$1750</f>
        <v>0.84</v>
      </c>
      <c r="H1751" s="77">
        <f>IF(N($K$1750)=0,$I$1750,$K$1750)</f>
        <v>0.84</v>
      </c>
      <c r="I1751" s="77">
        <f>($F$1751-$E$1751)/($B$1751-$A$1751)</f>
        <v>0</v>
      </c>
      <c r="J1751" s="77">
        <f>($G$1751-$F$1751)/($C$1751-$B$1751)</f>
        <v>0</v>
      </c>
      <c r="K1751" s="77">
        <f>($H$1751-$G$1751)/($D$1751-$C$1751)</f>
        <v>0</v>
      </c>
    </row>
    <row r="1752" spans="1:21" ht="24" x14ac:dyDescent="0.25">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25">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0.84</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0.9882352941176471</v>
      </c>
      <c r="T1753" s="72">
        <f t="shared" ref="T1753:T1800" si="671">IF($G1753&lt;nr_MStartP,$S1753,$T1741*(1+IF($G1753&lt;nr_MStartP1,$M$1750,$N$1750)))</f>
        <v>0.9882352941176471</v>
      </c>
      <c r="U1753" s="72">
        <f t="shared" ref="U1753:U1800" si="672">IF($L$1750,$T1753,$N1753)</f>
        <v>1</v>
      </c>
    </row>
    <row r="1754" spans="1:21" x14ac:dyDescent="0.25">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0.84</v>
      </c>
      <c r="P1754" s="72">
        <f t="shared" si="667"/>
        <v>0.125</v>
      </c>
      <c r="Q1754" s="72">
        <f t="shared" si="668"/>
        <v>0</v>
      </c>
      <c r="R1754" s="72">
        <f t="shared" si="669"/>
        <v>0</v>
      </c>
      <c r="S1754" s="72">
        <f t="shared" si="670"/>
        <v>0.9882352941176471</v>
      </c>
      <c r="T1754" s="72">
        <f t="shared" si="671"/>
        <v>0.9882352941176471</v>
      </c>
      <c r="U1754" s="72">
        <f t="shared" si="672"/>
        <v>1</v>
      </c>
    </row>
    <row r="1755" spans="1:21" x14ac:dyDescent="0.25">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0.84</v>
      </c>
      <c r="P1755" s="72">
        <f t="shared" si="667"/>
        <v>0.20833333333333337</v>
      </c>
      <c r="Q1755" s="72">
        <f t="shared" si="668"/>
        <v>0</v>
      </c>
      <c r="R1755" s="72">
        <f t="shared" si="669"/>
        <v>0</v>
      </c>
      <c r="S1755" s="72">
        <f t="shared" si="670"/>
        <v>0.9882352941176471</v>
      </c>
      <c r="T1755" s="72">
        <f t="shared" si="671"/>
        <v>0.9882352941176471</v>
      </c>
      <c r="U1755" s="72">
        <f t="shared" si="672"/>
        <v>1</v>
      </c>
    </row>
    <row r="1756" spans="1:21" x14ac:dyDescent="0.25">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0.84</v>
      </c>
      <c r="P1756" s="72">
        <f t="shared" si="667"/>
        <v>0.29166666666666663</v>
      </c>
      <c r="Q1756" s="72">
        <f t="shared" si="668"/>
        <v>0</v>
      </c>
      <c r="R1756" s="72">
        <f t="shared" si="669"/>
        <v>0</v>
      </c>
      <c r="S1756" s="72">
        <f t="shared" si="670"/>
        <v>0.9882352941176471</v>
      </c>
      <c r="T1756" s="72">
        <f t="shared" si="671"/>
        <v>0.9882352941176471</v>
      </c>
      <c r="U1756" s="72">
        <f t="shared" si="672"/>
        <v>1</v>
      </c>
    </row>
    <row r="1757" spans="1:21" x14ac:dyDescent="0.25">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0.84</v>
      </c>
      <c r="P1757" s="72">
        <f t="shared" si="667"/>
        <v>0.375</v>
      </c>
      <c r="Q1757" s="72">
        <f t="shared" si="668"/>
        <v>0</v>
      </c>
      <c r="R1757" s="72">
        <f t="shared" si="669"/>
        <v>0</v>
      </c>
      <c r="S1757" s="72">
        <f t="shared" si="670"/>
        <v>0.9882352941176471</v>
      </c>
      <c r="T1757" s="72">
        <f t="shared" si="671"/>
        <v>0.9882352941176471</v>
      </c>
      <c r="U1757" s="72">
        <f t="shared" si="672"/>
        <v>1</v>
      </c>
    </row>
    <row r="1758" spans="1:21" x14ac:dyDescent="0.25">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0.84</v>
      </c>
      <c r="P1758" s="72">
        <f t="shared" si="667"/>
        <v>0.45833333333333337</v>
      </c>
      <c r="Q1758" s="72">
        <f t="shared" si="668"/>
        <v>0</v>
      </c>
      <c r="R1758" s="72">
        <f t="shared" si="669"/>
        <v>0</v>
      </c>
      <c r="S1758" s="72">
        <f t="shared" si="670"/>
        <v>0.9882352941176471</v>
      </c>
      <c r="T1758" s="72">
        <f t="shared" si="671"/>
        <v>0.9882352941176471</v>
      </c>
      <c r="U1758" s="72">
        <f t="shared" si="672"/>
        <v>1</v>
      </c>
    </row>
    <row r="1759" spans="1:21" x14ac:dyDescent="0.25">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0.84</v>
      </c>
      <c r="P1759" s="72">
        <f t="shared" si="667"/>
        <v>0.54166666666666674</v>
      </c>
      <c r="Q1759" s="72">
        <f t="shared" si="668"/>
        <v>0</v>
      </c>
      <c r="R1759" s="72">
        <f t="shared" si="669"/>
        <v>0</v>
      </c>
      <c r="S1759" s="72">
        <f t="shared" si="670"/>
        <v>0.9882352941176471</v>
      </c>
      <c r="T1759" s="72">
        <f t="shared" si="671"/>
        <v>0.9882352941176471</v>
      </c>
      <c r="U1759" s="72">
        <f t="shared" si="672"/>
        <v>1</v>
      </c>
    </row>
    <row r="1760" spans="1:21" x14ac:dyDescent="0.25">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0.84</v>
      </c>
      <c r="P1760" s="72">
        <f t="shared" si="667"/>
        <v>0.625</v>
      </c>
      <c r="Q1760" s="72">
        <f t="shared" si="668"/>
        <v>0</v>
      </c>
      <c r="R1760" s="72">
        <f t="shared" si="669"/>
        <v>0</v>
      </c>
      <c r="S1760" s="72">
        <f t="shared" si="670"/>
        <v>0.9882352941176471</v>
      </c>
      <c r="T1760" s="72">
        <f t="shared" si="671"/>
        <v>0.9882352941176471</v>
      </c>
      <c r="U1760" s="72">
        <f t="shared" si="672"/>
        <v>1</v>
      </c>
    </row>
    <row r="1761" spans="1:21" x14ac:dyDescent="0.25">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0.84</v>
      </c>
      <c r="P1761" s="72">
        <f t="shared" si="667"/>
        <v>0.70833333333333326</v>
      </c>
      <c r="Q1761" s="72">
        <f t="shared" si="668"/>
        <v>0</v>
      </c>
      <c r="R1761" s="72">
        <f t="shared" si="669"/>
        <v>0</v>
      </c>
      <c r="S1761" s="72">
        <f t="shared" si="670"/>
        <v>0.9882352941176471</v>
      </c>
      <c r="T1761" s="72">
        <f t="shared" si="671"/>
        <v>0.9882352941176471</v>
      </c>
      <c r="U1761" s="72">
        <f t="shared" si="672"/>
        <v>1</v>
      </c>
    </row>
    <row r="1762" spans="1:21" x14ac:dyDescent="0.25">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0.84</v>
      </c>
      <c r="P1762" s="72">
        <f t="shared" si="667"/>
        <v>0.79166666666666663</v>
      </c>
      <c r="Q1762" s="72">
        <f t="shared" si="668"/>
        <v>0</v>
      </c>
      <c r="R1762" s="72">
        <f t="shared" si="669"/>
        <v>0</v>
      </c>
      <c r="S1762" s="72">
        <f t="shared" si="670"/>
        <v>0.9882352941176471</v>
      </c>
      <c r="T1762" s="72">
        <f t="shared" si="671"/>
        <v>0.9882352941176471</v>
      </c>
      <c r="U1762" s="72">
        <f t="shared" si="672"/>
        <v>1</v>
      </c>
    </row>
    <row r="1763" spans="1:21" x14ac:dyDescent="0.25">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0.84</v>
      </c>
      <c r="P1763" s="72">
        <f t="shared" si="667"/>
        <v>0.875</v>
      </c>
      <c r="Q1763" s="72">
        <f t="shared" si="668"/>
        <v>0</v>
      </c>
      <c r="R1763" s="72">
        <f t="shared" si="669"/>
        <v>0</v>
      </c>
      <c r="S1763" s="72">
        <f t="shared" si="670"/>
        <v>0.9882352941176471</v>
      </c>
      <c r="T1763" s="72">
        <f t="shared" si="671"/>
        <v>0.9882352941176471</v>
      </c>
      <c r="U1763" s="72">
        <f t="shared" si="672"/>
        <v>1</v>
      </c>
    </row>
    <row r="1764" spans="1:21" x14ac:dyDescent="0.25">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0.84</v>
      </c>
      <c r="P1764" s="72">
        <f t="shared" si="667"/>
        <v>0.95833333333333337</v>
      </c>
      <c r="Q1764" s="72">
        <f t="shared" si="668"/>
        <v>0</v>
      </c>
      <c r="R1764" s="72">
        <f t="shared" si="669"/>
        <v>0</v>
      </c>
      <c r="S1764" s="72">
        <f t="shared" si="670"/>
        <v>0.9882352941176471</v>
      </c>
      <c r="T1764" s="72">
        <f t="shared" si="671"/>
        <v>0.9882352941176471</v>
      </c>
      <c r="U1764" s="72">
        <f t="shared" si="672"/>
        <v>1</v>
      </c>
    </row>
    <row r="1765" spans="1:21" x14ac:dyDescent="0.25">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0.84</v>
      </c>
      <c r="P1765" s="72">
        <f t="shared" si="667"/>
        <v>0.95833333333333337</v>
      </c>
      <c r="Q1765" s="72">
        <f t="shared" si="668"/>
        <v>4.166666666666663E-2</v>
      </c>
      <c r="R1765" s="72">
        <f t="shared" si="669"/>
        <v>0</v>
      </c>
      <c r="S1765" s="72">
        <f t="shared" si="670"/>
        <v>0.9882352941176471</v>
      </c>
      <c r="T1765" s="72">
        <f t="shared" si="671"/>
        <v>0.9882352941176471</v>
      </c>
      <c r="U1765" s="72">
        <f t="shared" si="672"/>
        <v>1</v>
      </c>
    </row>
    <row r="1766" spans="1:21" x14ac:dyDescent="0.25">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0.84</v>
      </c>
      <c r="P1766" s="72">
        <f t="shared" si="667"/>
        <v>0.875</v>
      </c>
      <c r="Q1766" s="72">
        <f t="shared" si="668"/>
        <v>0.125</v>
      </c>
      <c r="R1766" s="72">
        <f t="shared" si="669"/>
        <v>0</v>
      </c>
      <c r="S1766" s="72">
        <f t="shared" si="670"/>
        <v>0.9882352941176471</v>
      </c>
      <c r="T1766" s="72">
        <f t="shared" si="671"/>
        <v>0.9882352941176471</v>
      </c>
      <c r="U1766" s="72">
        <f t="shared" si="672"/>
        <v>1</v>
      </c>
    </row>
    <row r="1767" spans="1:21" x14ac:dyDescent="0.25">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0.84</v>
      </c>
      <c r="P1767" s="72">
        <f t="shared" si="667"/>
        <v>0.79166666666666663</v>
      </c>
      <c r="Q1767" s="72">
        <f t="shared" si="668"/>
        <v>0.20833333333333337</v>
      </c>
      <c r="R1767" s="72">
        <f t="shared" si="669"/>
        <v>0</v>
      </c>
      <c r="S1767" s="72">
        <f t="shared" si="670"/>
        <v>0.9882352941176471</v>
      </c>
      <c r="T1767" s="72">
        <f t="shared" si="671"/>
        <v>0.9882352941176471</v>
      </c>
      <c r="U1767" s="72">
        <f t="shared" si="672"/>
        <v>1</v>
      </c>
    </row>
    <row r="1768" spans="1:21" x14ac:dyDescent="0.25">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0.84</v>
      </c>
      <c r="P1768" s="72">
        <f t="shared" si="667"/>
        <v>0.70833333333333337</v>
      </c>
      <c r="Q1768" s="72">
        <f t="shared" si="668"/>
        <v>0.29166666666666663</v>
      </c>
      <c r="R1768" s="72">
        <f t="shared" si="669"/>
        <v>0</v>
      </c>
      <c r="S1768" s="72">
        <f t="shared" si="670"/>
        <v>0.9882352941176471</v>
      </c>
      <c r="T1768" s="72">
        <f t="shared" si="671"/>
        <v>0.9882352941176471</v>
      </c>
      <c r="U1768" s="72">
        <f t="shared" si="672"/>
        <v>1</v>
      </c>
    </row>
    <row r="1769" spans="1:21" x14ac:dyDescent="0.25">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0.84</v>
      </c>
      <c r="P1769" s="72">
        <f t="shared" si="667"/>
        <v>0.625</v>
      </c>
      <c r="Q1769" s="72">
        <f t="shared" si="668"/>
        <v>0.375</v>
      </c>
      <c r="R1769" s="72">
        <f t="shared" si="669"/>
        <v>0</v>
      </c>
      <c r="S1769" s="72">
        <f t="shared" si="670"/>
        <v>0.9882352941176471</v>
      </c>
      <c r="T1769" s="72">
        <f t="shared" si="671"/>
        <v>0.9882352941176471</v>
      </c>
      <c r="U1769" s="72">
        <f t="shared" si="672"/>
        <v>1</v>
      </c>
    </row>
    <row r="1770" spans="1:21" x14ac:dyDescent="0.25">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0.84</v>
      </c>
      <c r="P1770" s="72">
        <f t="shared" si="667"/>
        <v>0.54166666666666663</v>
      </c>
      <c r="Q1770" s="72">
        <f t="shared" si="668"/>
        <v>0.45833333333333337</v>
      </c>
      <c r="R1770" s="72">
        <f t="shared" si="669"/>
        <v>0</v>
      </c>
      <c r="S1770" s="72">
        <f t="shared" si="670"/>
        <v>0.9882352941176471</v>
      </c>
      <c r="T1770" s="72">
        <f t="shared" si="671"/>
        <v>0.9882352941176471</v>
      </c>
      <c r="U1770" s="72">
        <f t="shared" si="672"/>
        <v>1</v>
      </c>
    </row>
    <row r="1771" spans="1:21" x14ac:dyDescent="0.25">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0.84</v>
      </c>
      <c r="P1771" s="72">
        <f t="shared" si="667"/>
        <v>0.45833333333333331</v>
      </c>
      <c r="Q1771" s="72">
        <f t="shared" si="668"/>
        <v>0.54166666666666674</v>
      </c>
      <c r="R1771" s="72">
        <f t="shared" si="669"/>
        <v>0</v>
      </c>
      <c r="S1771" s="72">
        <f t="shared" si="670"/>
        <v>0.9882352941176471</v>
      </c>
      <c r="T1771" s="72">
        <f t="shared" si="671"/>
        <v>0.9882352941176471</v>
      </c>
      <c r="U1771" s="72">
        <f t="shared" si="672"/>
        <v>1</v>
      </c>
    </row>
    <row r="1772" spans="1:21" x14ac:dyDescent="0.25">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0.84</v>
      </c>
      <c r="P1772" s="72">
        <f t="shared" si="667"/>
        <v>0.375</v>
      </c>
      <c r="Q1772" s="72">
        <f t="shared" si="668"/>
        <v>0.625</v>
      </c>
      <c r="R1772" s="72">
        <f t="shared" si="669"/>
        <v>0</v>
      </c>
      <c r="S1772" s="72">
        <f t="shared" si="670"/>
        <v>1.0178823529411765</v>
      </c>
      <c r="T1772" s="72">
        <f t="shared" si="671"/>
        <v>1.0178823529411765</v>
      </c>
      <c r="U1772" s="72">
        <f t="shared" si="672"/>
        <v>1.03</v>
      </c>
    </row>
    <row r="1773" spans="1:21" x14ac:dyDescent="0.25">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0.84</v>
      </c>
      <c r="P1773" s="72">
        <f t="shared" si="667"/>
        <v>0.29166666666666669</v>
      </c>
      <c r="Q1773" s="72">
        <f t="shared" si="668"/>
        <v>0.70833333333333326</v>
      </c>
      <c r="R1773" s="72">
        <f t="shared" si="669"/>
        <v>0</v>
      </c>
      <c r="S1773" s="72">
        <f t="shared" si="670"/>
        <v>1.0178823529411765</v>
      </c>
      <c r="T1773" s="72">
        <f t="shared" si="671"/>
        <v>1.0178823529411765</v>
      </c>
      <c r="U1773" s="72">
        <f t="shared" si="672"/>
        <v>1.03</v>
      </c>
    </row>
    <row r="1774" spans="1:21" x14ac:dyDescent="0.25">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0.84</v>
      </c>
      <c r="P1774" s="72">
        <f t="shared" si="667"/>
        <v>0.20833333333333334</v>
      </c>
      <c r="Q1774" s="72">
        <f t="shared" si="668"/>
        <v>0.79166666666666663</v>
      </c>
      <c r="R1774" s="72">
        <f t="shared" si="669"/>
        <v>0</v>
      </c>
      <c r="S1774" s="72">
        <f t="shared" si="670"/>
        <v>1.0178823529411765</v>
      </c>
      <c r="T1774" s="72">
        <f t="shared" si="671"/>
        <v>1.0178823529411765</v>
      </c>
      <c r="U1774" s="72">
        <f t="shared" si="672"/>
        <v>1.03</v>
      </c>
    </row>
    <row r="1775" spans="1:21" x14ac:dyDescent="0.25">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0.84</v>
      </c>
      <c r="P1775" s="72">
        <f t="shared" si="667"/>
        <v>0.125</v>
      </c>
      <c r="Q1775" s="72">
        <f t="shared" si="668"/>
        <v>0.875</v>
      </c>
      <c r="R1775" s="72">
        <f t="shared" si="669"/>
        <v>0</v>
      </c>
      <c r="S1775" s="72">
        <f t="shared" si="670"/>
        <v>1.0178823529411765</v>
      </c>
      <c r="T1775" s="72">
        <f t="shared" si="671"/>
        <v>1.0178823529411765</v>
      </c>
      <c r="U1775" s="72">
        <f t="shared" si="672"/>
        <v>1.03</v>
      </c>
    </row>
    <row r="1776" spans="1:21" x14ac:dyDescent="0.25">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0.84</v>
      </c>
      <c r="P1776" s="72">
        <f t="shared" si="667"/>
        <v>4.1666666666666664E-2</v>
      </c>
      <c r="Q1776" s="72">
        <f t="shared" si="668"/>
        <v>0.95833333333333337</v>
      </c>
      <c r="R1776" s="72">
        <f t="shared" si="669"/>
        <v>0</v>
      </c>
      <c r="S1776" s="72">
        <f t="shared" si="670"/>
        <v>1.0178823529411765</v>
      </c>
      <c r="T1776" s="72">
        <f t="shared" si="671"/>
        <v>1.0178823529411765</v>
      </c>
      <c r="U1776" s="72">
        <f t="shared" si="672"/>
        <v>1.03</v>
      </c>
    </row>
    <row r="1777" spans="1:21" x14ac:dyDescent="0.25">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0.84</v>
      </c>
      <c r="P1777" s="72">
        <f t="shared" si="667"/>
        <v>0</v>
      </c>
      <c r="Q1777" s="72">
        <f t="shared" si="668"/>
        <v>0.95833333333333337</v>
      </c>
      <c r="R1777" s="72">
        <f t="shared" si="669"/>
        <v>4.166666666666663E-2</v>
      </c>
      <c r="S1777" s="72">
        <f t="shared" si="670"/>
        <v>1.0178823529411765</v>
      </c>
      <c r="T1777" s="72">
        <f t="shared" si="671"/>
        <v>0.9882352941176471</v>
      </c>
      <c r="U1777" s="72">
        <f t="shared" si="672"/>
        <v>1.03</v>
      </c>
    </row>
    <row r="1778" spans="1:21" x14ac:dyDescent="0.25">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0.84</v>
      </c>
      <c r="P1778" s="72">
        <f t="shared" si="667"/>
        <v>0</v>
      </c>
      <c r="Q1778" s="72">
        <f t="shared" si="668"/>
        <v>0.875</v>
      </c>
      <c r="R1778" s="72">
        <f t="shared" si="669"/>
        <v>0.125</v>
      </c>
      <c r="S1778" s="72">
        <f t="shared" si="670"/>
        <v>1.0178823529411765</v>
      </c>
      <c r="T1778" s="72">
        <f t="shared" si="671"/>
        <v>0.9882352941176471</v>
      </c>
      <c r="U1778" s="72">
        <f t="shared" si="672"/>
        <v>1.03</v>
      </c>
    </row>
    <row r="1779" spans="1:21" x14ac:dyDescent="0.25">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0.84</v>
      </c>
      <c r="P1779" s="72">
        <f t="shared" si="667"/>
        <v>0</v>
      </c>
      <c r="Q1779" s="72">
        <f t="shared" si="668"/>
        <v>0.79166666666666663</v>
      </c>
      <c r="R1779" s="72">
        <f t="shared" si="669"/>
        <v>0.20833333333333337</v>
      </c>
      <c r="S1779" s="72">
        <f t="shared" si="670"/>
        <v>1.0178823529411765</v>
      </c>
      <c r="T1779" s="72">
        <f t="shared" si="671"/>
        <v>0.9882352941176471</v>
      </c>
      <c r="U1779" s="72">
        <f t="shared" si="672"/>
        <v>1.03</v>
      </c>
    </row>
    <row r="1780" spans="1:21" x14ac:dyDescent="0.25">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0.84</v>
      </c>
      <c r="P1780" s="72">
        <f t="shared" si="667"/>
        <v>0</v>
      </c>
      <c r="Q1780" s="72">
        <f t="shared" si="668"/>
        <v>0.70833333333333337</v>
      </c>
      <c r="R1780" s="72">
        <f t="shared" si="669"/>
        <v>0.29166666666666663</v>
      </c>
      <c r="S1780" s="72">
        <f t="shared" si="670"/>
        <v>1.0178823529411765</v>
      </c>
      <c r="T1780" s="72">
        <f t="shared" si="671"/>
        <v>0.9882352941176471</v>
      </c>
      <c r="U1780" s="72">
        <f t="shared" si="672"/>
        <v>1.03</v>
      </c>
    </row>
    <row r="1781" spans="1:21" x14ac:dyDescent="0.25">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0.84</v>
      </c>
      <c r="P1781" s="72">
        <f t="shared" si="667"/>
        <v>0</v>
      </c>
      <c r="Q1781" s="72">
        <f t="shared" si="668"/>
        <v>0.625</v>
      </c>
      <c r="R1781" s="72">
        <f t="shared" si="669"/>
        <v>0.375</v>
      </c>
      <c r="S1781" s="72">
        <f t="shared" si="670"/>
        <v>1.0178823529411765</v>
      </c>
      <c r="T1781" s="72">
        <f t="shared" si="671"/>
        <v>0.9882352941176471</v>
      </c>
      <c r="U1781" s="72">
        <f t="shared" si="672"/>
        <v>1.03</v>
      </c>
    </row>
    <row r="1782" spans="1:21" x14ac:dyDescent="0.25">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0.84</v>
      </c>
      <c r="P1782" s="72">
        <f t="shared" si="667"/>
        <v>0</v>
      </c>
      <c r="Q1782" s="72">
        <f t="shared" si="668"/>
        <v>0.54166666666666663</v>
      </c>
      <c r="R1782" s="72">
        <f t="shared" si="669"/>
        <v>0.45833333333333337</v>
      </c>
      <c r="S1782" s="72">
        <f t="shared" si="670"/>
        <v>1.0178823529411765</v>
      </c>
      <c r="T1782" s="72">
        <f t="shared" si="671"/>
        <v>0.9882352941176471</v>
      </c>
      <c r="U1782" s="72">
        <f t="shared" si="672"/>
        <v>1.03</v>
      </c>
    </row>
    <row r="1783" spans="1:21" x14ac:dyDescent="0.25">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0.84</v>
      </c>
      <c r="P1783" s="72">
        <f t="shared" si="667"/>
        <v>0</v>
      </c>
      <c r="Q1783" s="72">
        <f t="shared" si="668"/>
        <v>0.45833333333333331</v>
      </c>
      <c r="R1783" s="72">
        <f t="shared" si="669"/>
        <v>0.54166666666666674</v>
      </c>
      <c r="S1783" s="72">
        <f t="shared" si="670"/>
        <v>1.0178823529411765</v>
      </c>
      <c r="T1783" s="72">
        <f t="shared" si="671"/>
        <v>0.9882352941176471</v>
      </c>
      <c r="U1783" s="72">
        <f t="shared" si="672"/>
        <v>1.03</v>
      </c>
    </row>
    <row r="1784" spans="1:21" x14ac:dyDescent="0.25">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0.84</v>
      </c>
      <c r="P1784" s="72">
        <f t="shared" si="667"/>
        <v>0</v>
      </c>
      <c r="Q1784" s="72">
        <f t="shared" si="668"/>
        <v>0.375</v>
      </c>
      <c r="R1784" s="72">
        <f t="shared" si="669"/>
        <v>0.625</v>
      </c>
      <c r="S1784" s="72">
        <f t="shared" si="670"/>
        <v>1.0178823529411765</v>
      </c>
      <c r="T1784" s="72">
        <f t="shared" si="671"/>
        <v>1.0178823529411765</v>
      </c>
      <c r="U1784" s="72">
        <f t="shared" si="672"/>
        <v>1.03</v>
      </c>
    </row>
    <row r="1785" spans="1:21" x14ac:dyDescent="0.25">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0.84</v>
      </c>
      <c r="P1785" s="72">
        <f t="shared" si="667"/>
        <v>0</v>
      </c>
      <c r="Q1785" s="72">
        <f t="shared" si="668"/>
        <v>0.29166666666666669</v>
      </c>
      <c r="R1785" s="72">
        <f t="shared" si="669"/>
        <v>0.70833333333333326</v>
      </c>
      <c r="S1785" s="72">
        <f t="shared" si="670"/>
        <v>1.0178823529411765</v>
      </c>
      <c r="T1785" s="72">
        <f t="shared" si="671"/>
        <v>1.0178823529411765</v>
      </c>
      <c r="U1785" s="72">
        <f t="shared" si="672"/>
        <v>1.03</v>
      </c>
    </row>
    <row r="1786" spans="1:21" x14ac:dyDescent="0.25">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0.84</v>
      </c>
      <c r="P1786" s="72">
        <f t="shared" si="667"/>
        <v>0</v>
      </c>
      <c r="Q1786" s="72">
        <f t="shared" si="668"/>
        <v>0.20833333333333334</v>
      </c>
      <c r="R1786" s="72">
        <f t="shared" si="669"/>
        <v>0.79166666666666663</v>
      </c>
      <c r="S1786" s="72">
        <f t="shared" si="670"/>
        <v>1.0178823529411765</v>
      </c>
      <c r="T1786" s="72">
        <f t="shared" si="671"/>
        <v>1.0178823529411765</v>
      </c>
      <c r="U1786" s="72">
        <f t="shared" si="672"/>
        <v>1.03</v>
      </c>
    </row>
    <row r="1787" spans="1:21" x14ac:dyDescent="0.25">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0.84</v>
      </c>
      <c r="P1787" s="72">
        <f t="shared" si="667"/>
        <v>0</v>
      </c>
      <c r="Q1787" s="72">
        <f t="shared" si="668"/>
        <v>0.125</v>
      </c>
      <c r="R1787" s="72">
        <f t="shared" si="669"/>
        <v>0.875</v>
      </c>
      <c r="S1787" s="72">
        <f t="shared" si="670"/>
        <v>1.0178823529411765</v>
      </c>
      <c r="T1787" s="72">
        <f t="shared" si="671"/>
        <v>1.0178823529411765</v>
      </c>
      <c r="U1787" s="72">
        <f t="shared" si="672"/>
        <v>1.03</v>
      </c>
    </row>
    <row r="1788" spans="1:21" x14ac:dyDescent="0.25">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0.84</v>
      </c>
      <c r="P1788" s="72">
        <f t="shared" si="667"/>
        <v>0</v>
      </c>
      <c r="Q1788" s="72">
        <f t="shared" si="668"/>
        <v>4.1666666666666664E-2</v>
      </c>
      <c r="R1788" s="72">
        <f t="shared" si="669"/>
        <v>0.95833333333333337</v>
      </c>
      <c r="S1788" s="72">
        <f t="shared" si="670"/>
        <v>1.0178823529411765</v>
      </c>
      <c r="T1788" s="72">
        <f t="shared" si="671"/>
        <v>1.0178823529411765</v>
      </c>
      <c r="U1788" s="72">
        <f t="shared" si="672"/>
        <v>1.03</v>
      </c>
    </row>
    <row r="1789" spans="1:21" x14ac:dyDescent="0.25">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0.84</v>
      </c>
      <c r="P1789" s="72">
        <f t="shared" si="667"/>
        <v>0</v>
      </c>
      <c r="Q1789" s="72">
        <f t="shared" si="668"/>
        <v>0</v>
      </c>
      <c r="R1789" s="72">
        <f t="shared" si="669"/>
        <v>0.95833333333333337</v>
      </c>
      <c r="S1789" s="72">
        <f t="shared" si="670"/>
        <v>1.0178823529411765</v>
      </c>
      <c r="T1789" s="72">
        <f t="shared" si="671"/>
        <v>0.9882352941176471</v>
      </c>
      <c r="U1789" s="72">
        <f t="shared" si="672"/>
        <v>1.03</v>
      </c>
    </row>
    <row r="1790" spans="1:21" x14ac:dyDescent="0.25">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0.84</v>
      </c>
      <c r="P1790" s="72">
        <f t="shared" si="667"/>
        <v>0</v>
      </c>
      <c r="Q1790" s="72">
        <f t="shared" si="668"/>
        <v>0</v>
      </c>
      <c r="R1790" s="72">
        <f t="shared" si="669"/>
        <v>0.875</v>
      </c>
      <c r="S1790" s="72">
        <f t="shared" si="670"/>
        <v>1.0178823529411765</v>
      </c>
      <c r="T1790" s="72">
        <f t="shared" si="671"/>
        <v>0.9882352941176471</v>
      </c>
      <c r="U1790" s="72">
        <f t="shared" si="672"/>
        <v>1.03</v>
      </c>
    </row>
    <row r="1791" spans="1:21" x14ac:dyDescent="0.25">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0.84</v>
      </c>
      <c r="P1791" s="72">
        <f t="shared" si="667"/>
        <v>0</v>
      </c>
      <c r="Q1791" s="72">
        <f t="shared" si="668"/>
        <v>0</v>
      </c>
      <c r="R1791" s="72">
        <f t="shared" si="669"/>
        <v>0.79166666666666663</v>
      </c>
      <c r="S1791" s="72">
        <f t="shared" si="670"/>
        <v>1.0178823529411765</v>
      </c>
      <c r="T1791" s="72">
        <f t="shared" si="671"/>
        <v>0.9882352941176471</v>
      </c>
      <c r="U1791" s="72">
        <f t="shared" si="672"/>
        <v>1.03</v>
      </c>
    </row>
    <row r="1792" spans="1:21" x14ac:dyDescent="0.25">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0.84</v>
      </c>
      <c r="P1792" s="72">
        <f t="shared" si="667"/>
        <v>0</v>
      </c>
      <c r="Q1792" s="72">
        <f t="shared" si="668"/>
        <v>0</v>
      </c>
      <c r="R1792" s="72">
        <f t="shared" si="669"/>
        <v>0.70833333333333337</v>
      </c>
      <c r="S1792" s="72">
        <f t="shared" si="670"/>
        <v>1.0178823529411765</v>
      </c>
      <c r="T1792" s="72">
        <f t="shared" si="671"/>
        <v>0.9882352941176471</v>
      </c>
      <c r="U1792" s="72">
        <f t="shared" si="672"/>
        <v>1.03</v>
      </c>
    </row>
    <row r="1793" spans="1:21" x14ac:dyDescent="0.25">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0.84</v>
      </c>
      <c r="P1793" s="72">
        <f t="shared" si="667"/>
        <v>0</v>
      </c>
      <c r="Q1793" s="72">
        <f t="shared" si="668"/>
        <v>0</v>
      </c>
      <c r="R1793" s="72">
        <f t="shared" si="669"/>
        <v>0.625</v>
      </c>
      <c r="S1793" s="72">
        <f t="shared" si="670"/>
        <v>1.0178823529411765</v>
      </c>
      <c r="T1793" s="72">
        <f t="shared" si="671"/>
        <v>0.9882352941176471</v>
      </c>
      <c r="U1793" s="72">
        <f t="shared" si="672"/>
        <v>1.03</v>
      </c>
    </row>
    <row r="1794" spans="1:21" x14ac:dyDescent="0.25">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0.84</v>
      </c>
      <c r="P1794" s="72">
        <f t="shared" si="667"/>
        <v>0</v>
      </c>
      <c r="Q1794" s="72">
        <f t="shared" si="668"/>
        <v>0</v>
      </c>
      <c r="R1794" s="72">
        <f t="shared" si="669"/>
        <v>0.54166666666666663</v>
      </c>
      <c r="S1794" s="72">
        <f t="shared" si="670"/>
        <v>1.0178823529411765</v>
      </c>
      <c r="T1794" s="72">
        <f t="shared" si="671"/>
        <v>0.9882352941176471</v>
      </c>
      <c r="U1794" s="72">
        <f t="shared" si="672"/>
        <v>1.03</v>
      </c>
    </row>
    <row r="1795" spans="1:21" x14ac:dyDescent="0.25">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0.84</v>
      </c>
      <c r="P1795" s="72">
        <f t="shared" si="667"/>
        <v>0</v>
      </c>
      <c r="Q1795" s="72">
        <f t="shared" si="668"/>
        <v>0</v>
      </c>
      <c r="R1795" s="72">
        <f t="shared" si="669"/>
        <v>0.45833333333333331</v>
      </c>
      <c r="S1795" s="72">
        <f t="shared" si="670"/>
        <v>1.0178823529411765</v>
      </c>
      <c r="T1795" s="72">
        <f t="shared" si="671"/>
        <v>0.9882352941176471</v>
      </c>
      <c r="U1795" s="72">
        <f t="shared" si="672"/>
        <v>1.03</v>
      </c>
    </row>
    <row r="1796" spans="1:21" x14ac:dyDescent="0.25">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0.84</v>
      </c>
      <c r="P1796" s="72">
        <f t="shared" si="667"/>
        <v>0</v>
      </c>
      <c r="Q1796" s="72">
        <f t="shared" si="668"/>
        <v>0</v>
      </c>
      <c r="R1796" s="72">
        <f t="shared" si="669"/>
        <v>0.375</v>
      </c>
      <c r="S1796" s="72">
        <f t="shared" si="670"/>
        <v>1.0178823529411765</v>
      </c>
      <c r="T1796" s="72">
        <f t="shared" si="671"/>
        <v>1.0178823529411765</v>
      </c>
      <c r="U1796" s="72">
        <f t="shared" si="672"/>
        <v>1.03</v>
      </c>
    </row>
    <row r="1797" spans="1:21" x14ac:dyDescent="0.25">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0.84</v>
      </c>
      <c r="P1797" s="72">
        <f t="shared" si="667"/>
        <v>0</v>
      </c>
      <c r="Q1797" s="72">
        <f t="shared" si="668"/>
        <v>0</v>
      </c>
      <c r="R1797" s="72">
        <f t="shared" si="669"/>
        <v>0.29166666666666669</v>
      </c>
      <c r="S1797" s="72">
        <f t="shared" si="670"/>
        <v>1.0178823529411765</v>
      </c>
      <c r="T1797" s="72">
        <f t="shared" si="671"/>
        <v>1.0178823529411765</v>
      </c>
      <c r="U1797" s="72">
        <f t="shared" si="672"/>
        <v>1.03</v>
      </c>
    </row>
    <row r="1798" spans="1:21" x14ac:dyDescent="0.25">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0.84</v>
      </c>
      <c r="P1798" s="72">
        <f t="shared" si="667"/>
        <v>0</v>
      </c>
      <c r="Q1798" s="72">
        <f t="shared" si="668"/>
        <v>0</v>
      </c>
      <c r="R1798" s="72">
        <f t="shared" si="669"/>
        <v>0.20833333333333334</v>
      </c>
      <c r="S1798" s="72">
        <f t="shared" si="670"/>
        <v>1.0178823529411765</v>
      </c>
      <c r="T1798" s="72">
        <f t="shared" si="671"/>
        <v>1.0178823529411765</v>
      </c>
      <c r="U1798" s="72">
        <f t="shared" si="672"/>
        <v>1.03</v>
      </c>
    </row>
    <row r="1799" spans="1:21" x14ac:dyDescent="0.25">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0.84</v>
      </c>
      <c r="P1799" s="72">
        <f t="shared" si="667"/>
        <v>0</v>
      </c>
      <c r="Q1799" s="72">
        <f t="shared" si="668"/>
        <v>0</v>
      </c>
      <c r="R1799" s="72">
        <f t="shared" si="669"/>
        <v>0.125</v>
      </c>
      <c r="S1799" s="72">
        <f t="shared" si="670"/>
        <v>1.0178823529411765</v>
      </c>
      <c r="T1799" s="72">
        <f t="shared" si="671"/>
        <v>1.0178823529411765</v>
      </c>
      <c r="U1799" s="72">
        <f t="shared" si="672"/>
        <v>1.03</v>
      </c>
    </row>
    <row r="1800" spans="1:21" x14ac:dyDescent="0.25">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0.84</v>
      </c>
      <c r="P1800" s="72">
        <f t="shared" si="667"/>
        <v>0</v>
      </c>
      <c r="Q1800" s="72">
        <f t="shared" si="668"/>
        <v>0</v>
      </c>
      <c r="R1800" s="72">
        <f t="shared" si="669"/>
        <v>4.1666666666666664E-2</v>
      </c>
      <c r="S1800" s="72">
        <f t="shared" si="670"/>
        <v>1.0178823529411765</v>
      </c>
      <c r="T1800" s="72">
        <f t="shared" si="671"/>
        <v>1.0178823529411765</v>
      </c>
      <c r="U1800" s="72">
        <f t="shared" si="672"/>
        <v>1.03</v>
      </c>
    </row>
    <row r="1801" spans="1:21" x14ac:dyDescent="0.25">
      <c r="A1801" s="77" t="s">
        <v>1209</v>
      </c>
      <c r="B1801" s="50">
        <f>EXP(SUMPRODUCT((rl_key=$A$1750)*(rl_cons="Y")*rl_ln1p))</f>
        <v>1.03</v>
      </c>
      <c r="C1801" s="50">
        <f>SUMPRODUCT($H$1753:$H$1800,$P$1753:$P$1800,$U$1753:$U$1800)/SUMPRODUCT($H$1753:$H$1800,$P$1753:$P$1800)</f>
        <v>1.0026041666666667</v>
      </c>
      <c r="D1801" s="50">
        <f>SUMPRODUCT($H$1753:$H$1800,$Q$1753:$Q$1800,$U$1753:$U$1800)/SUMPRODUCT($H$1753:$H$1800,$Q$1753:$Q$1800)</f>
        <v>1.0248958333333338</v>
      </c>
      <c r="E1801" s="50">
        <f>SUMPRODUCT($H$1753:$H$1800,$R$1753:$R$1800,$U$1753:$U$1800)/SUMPRODUCT($H$1753:$H$1800,$R$1753:$R$1800)</f>
        <v>1.0300000000000002</v>
      </c>
      <c r="F1801" s="169">
        <f>SUMPRODUCT($H$1753:$H$1800,$Q$1753:$Q$1800,$O$1753:$O$1800)/SUMPRODUCT($H$1753:$H$1800,$Q$1753:$Q$1800)</f>
        <v>0.84</v>
      </c>
      <c r="G1801" s="169">
        <f>SUMPRODUCT($H$1753:$H$1800,$R$1753:$R$1800,$O$1753:$O$1800)/SUMPRODUCT($H$1753:$H$1800,$R$1753:$R$1800)</f>
        <v>0.84</v>
      </c>
    </row>
    <row r="1804" spans="1:21" x14ac:dyDescent="0.25">
      <c r="A1804" s="77" t="str">
        <f>INDEX(lr_key,33)</f>
        <v>BU-B|MI</v>
      </c>
      <c r="B1804" s="77" t="str">
        <f>INDEX(lr_state,33)</f>
        <v>MI</v>
      </c>
      <c r="C1804" s="52">
        <f>nr_TermMonths</f>
        <v>12</v>
      </c>
      <c r="D1804" s="52">
        <f>IF(COUNTIF(se_state,$B1804)=0,0,MATCH($B1804,se_state,0))</f>
        <v>0</v>
      </c>
      <c r="E1804" s="54">
        <f>IF($D1804=0,0,INDEX(se_sum,$D1804))</f>
        <v>0</v>
      </c>
      <c r="F1804" s="169">
        <f>IF(N(INDEX(lr_mind,33))=0,1,INDEX(lr_mind,33))</f>
        <v>0.85</v>
      </c>
      <c r="G1804" s="169">
        <f>IF(N(INDEX(lr_m0,33))=0,1,INDEX(lr_m0,33))</f>
        <v>0.84</v>
      </c>
      <c r="H1804" s="51">
        <f>IF(N(INDEX(lr_m0asof,33))=0,DATE(nr_PlanYear-1,10,1),INDEX(lr_m0asof,33))</f>
        <v>46295</v>
      </c>
      <c r="I1804" s="169">
        <f>IF(N(INDEX(lr_m1,33))=0,1,INDEX(lr_m1,33))</f>
        <v>0.85499999999999998</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25">
      <c r="A1805" s="77">
        <f>EDATE($H$1804,-12)+1</f>
        <v>45931</v>
      </c>
      <c r="B1805" s="77">
        <f>$H$1804+1</f>
        <v>46296</v>
      </c>
      <c r="C1805" s="77">
        <f>DATE(nr_PlanYear,12,31)+1</f>
        <v>46753</v>
      </c>
      <c r="D1805" s="77">
        <f>DATE(nr_PlanYear+1,12,31)+1</f>
        <v>47119</v>
      </c>
      <c r="E1805" s="77">
        <f>IF(N($J$1804)=0,$F$1805-($G$1805-$F$1805)/($C$1805-$B$1805)*($B$1805-$A$1805),$J$1804)</f>
        <v>0.82801969365426686</v>
      </c>
      <c r="F1805" s="77">
        <f>$G$1804</f>
        <v>0.84</v>
      </c>
      <c r="G1805" s="77">
        <f>$I$1804</f>
        <v>0.85499999999999998</v>
      </c>
      <c r="H1805" s="77">
        <f>IF(N($K$1804)=0,$I$1804,$K$1804)</f>
        <v>0.85499999999999998</v>
      </c>
      <c r="I1805" s="77">
        <f>($F$1805-$E$1805)/($B$1805-$A$1805)</f>
        <v>3.2822757111597549E-5</v>
      </c>
      <c r="J1805" s="77">
        <f>($G$1805-$F$1805)/($C$1805-$B$1805)</f>
        <v>3.2822757111597407E-5</v>
      </c>
      <c r="K1805" s="77">
        <f>($H$1805-$G$1805)/($D$1805-$C$1805)</f>
        <v>0</v>
      </c>
    </row>
    <row r="1806" spans="1:21" ht="24" x14ac:dyDescent="0.25">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25">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0.81956783369803055</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0.96419745140944768</v>
      </c>
      <c r="T1807" s="72">
        <f t="shared" ref="T1807:T1854" si="691">IF($G1807&lt;nr_MStartP,$S1807,$T1795*(1+IF($G1807&lt;nr_MStartP1,$M$1804,$N$1804)))</f>
        <v>0.96419745140944768</v>
      </c>
      <c r="U1807" s="72">
        <f t="shared" ref="U1807:U1854" si="692">IF($L$1804,$T1807,$N1807)</f>
        <v>1</v>
      </c>
    </row>
    <row r="1808" spans="1:21" x14ac:dyDescent="0.25">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0.82053610503282259</v>
      </c>
      <c r="P1808" s="72">
        <f t="shared" si="687"/>
        <v>0.125</v>
      </c>
      <c r="Q1808" s="72">
        <f t="shared" si="688"/>
        <v>0</v>
      </c>
      <c r="R1808" s="72">
        <f t="shared" si="689"/>
        <v>0</v>
      </c>
      <c r="S1808" s="72">
        <f t="shared" si="690"/>
        <v>0.96533659415626194</v>
      </c>
      <c r="T1808" s="72">
        <f t="shared" si="691"/>
        <v>0.96533659415626194</v>
      </c>
      <c r="U1808" s="72">
        <f t="shared" si="692"/>
        <v>1</v>
      </c>
    </row>
    <row r="1809" spans="1:21" x14ac:dyDescent="0.25">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0.82150437636761475</v>
      </c>
      <c r="P1809" s="72">
        <f t="shared" si="687"/>
        <v>0.20833333333333337</v>
      </c>
      <c r="Q1809" s="72">
        <f t="shared" si="688"/>
        <v>0</v>
      </c>
      <c r="R1809" s="72">
        <f t="shared" si="689"/>
        <v>0</v>
      </c>
      <c r="S1809" s="72">
        <f t="shared" si="690"/>
        <v>0.9664757369030762</v>
      </c>
      <c r="T1809" s="72">
        <f t="shared" si="691"/>
        <v>0.9664757369030762</v>
      </c>
      <c r="U1809" s="72">
        <f t="shared" si="692"/>
        <v>1</v>
      </c>
    </row>
    <row r="1810" spans="1:21" x14ac:dyDescent="0.25">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0.8225054704595185</v>
      </c>
      <c r="P1810" s="72">
        <f t="shared" si="687"/>
        <v>0.29166666666666663</v>
      </c>
      <c r="Q1810" s="72">
        <f t="shared" si="688"/>
        <v>0</v>
      </c>
      <c r="R1810" s="72">
        <f t="shared" si="689"/>
        <v>0</v>
      </c>
      <c r="S1810" s="72">
        <f t="shared" si="690"/>
        <v>0.96765349465825712</v>
      </c>
      <c r="T1810" s="72">
        <f t="shared" si="691"/>
        <v>0.96765349465825712</v>
      </c>
      <c r="U1810" s="72">
        <f t="shared" si="692"/>
        <v>1</v>
      </c>
    </row>
    <row r="1811" spans="1:21" x14ac:dyDescent="0.25">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0.82350656455142224</v>
      </c>
      <c r="P1811" s="72">
        <f t="shared" si="687"/>
        <v>0.375</v>
      </c>
      <c r="Q1811" s="72">
        <f t="shared" si="688"/>
        <v>0</v>
      </c>
      <c r="R1811" s="72">
        <f t="shared" si="689"/>
        <v>0</v>
      </c>
      <c r="S1811" s="72">
        <f t="shared" si="690"/>
        <v>0.96883125241343793</v>
      </c>
      <c r="T1811" s="72">
        <f t="shared" si="691"/>
        <v>0.96883125241343793</v>
      </c>
      <c r="U1811" s="72">
        <f t="shared" si="692"/>
        <v>1</v>
      </c>
    </row>
    <row r="1812" spans="1:21" x14ac:dyDescent="0.25">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0.82450765864332598</v>
      </c>
      <c r="P1812" s="72">
        <f t="shared" si="687"/>
        <v>0.45833333333333337</v>
      </c>
      <c r="Q1812" s="72">
        <f t="shared" si="688"/>
        <v>0</v>
      </c>
      <c r="R1812" s="72">
        <f t="shared" si="689"/>
        <v>0</v>
      </c>
      <c r="S1812" s="72">
        <f t="shared" si="690"/>
        <v>0.97000901016861885</v>
      </c>
      <c r="T1812" s="72">
        <f t="shared" si="691"/>
        <v>0.97000901016861885</v>
      </c>
      <c r="U1812" s="72">
        <f t="shared" si="692"/>
        <v>1</v>
      </c>
    </row>
    <row r="1813" spans="1:21" x14ac:dyDescent="0.25">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0.82550875273522961</v>
      </c>
      <c r="P1813" s="72">
        <f t="shared" si="687"/>
        <v>0.54166666666666674</v>
      </c>
      <c r="Q1813" s="72">
        <f t="shared" si="688"/>
        <v>0</v>
      </c>
      <c r="R1813" s="72">
        <f t="shared" si="689"/>
        <v>0</v>
      </c>
      <c r="S1813" s="72">
        <f t="shared" si="690"/>
        <v>0.97118676792379954</v>
      </c>
      <c r="T1813" s="72">
        <f t="shared" si="691"/>
        <v>0.97118676792379954</v>
      </c>
      <c r="U1813" s="72">
        <f t="shared" si="692"/>
        <v>1</v>
      </c>
    </row>
    <row r="1814" spans="1:21" x14ac:dyDescent="0.25">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0.82652625820568915</v>
      </c>
      <c r="P1814" s="72">
        <f t="shared" si="687"/>
        <v>0.625</v>
      </c>
      <c r="Q1814" s="72">
        <f t="shared" si="688"/>
        <v>0</v>
      </c>
      <c r="R1814" s="72">
        <f t="shared" si="689"/>
        <v>0</v>
      </c>
      <c r="S1814" s="72">
        <f t="shared" si="690"/>
        <v>0.97238383318316368</v>
      </c>
      <c r="T1814" s="72">
        <f t="shared" si="691"/>
        <v>0.97238383318316368</v>
      </c>
      <c r="U1814" s="72">
        <f t="shared" si="692"/>
        <v>1</v>
      </c>
    </row>
    <row r="1815" spans="1:21" x14ac:dyDescent="0.25">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0.82752735229759289</v>
      </c>
      <c r="P1815" s="72">
        <f t="shared" si="687"/>
        <v>0.70833333333333326</v>
      </c>
      <c r="Q1815" s="72">
        <f t="shared" si="688"/>
        <v>0</v>
      </c>
      <c r="R1815" s="72">
        <f t="shared" si="689"/>
        <v>0</v>
      </c>
      <c r="S1815" s="72">
        <f t="shared" si="690"/>
        <v>0.9735615909383446</v>
      </c>
      <c r="T1815" s="72">
        <f t="shared" si="691"/>
        <v>0.9735615909383446</v>
      </c>
      <c r="U1815" s="72">
        <f t="shared" si="692"/>
        <v>1</v>
      </c>
    </row>
    <row r="1816" spans="1:21" x14ac:dyDescent="0.25">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0.82852844638949663</v>
      </c>
      <c r="P1816" s="72">
        <f t="shared" si="687"/>
        <v>0.79166666666666663</v>
      </c>
      <c r="Q1816" s="72">
        <f t="shared" si="688"/>
        <v>0</v>
      </c>
      <c r="R1816" s="72">
        <f t="shared" si="689"/>
        <v>0</v>
      </c>
      <c r="S1816" s="72">
        <f t="shared" si="690"/>
        <v>0.97473934869352552</v>
      </c>
      <c r="T1816" s="72">
        <f t="shared" si="691"/>
        <v>0.97473934869352552</v>
      </c>
      <c r="U1816" s="72">
        <f t="shared" si="692"/>
        <v>1</v>
      </c>
    </row>
    <row r="1817" spans="1:21" x14ac:dyDescent="0.25">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0.82952954048140037</v>
      </c>
      <c r="P1817" s="72">
        <f t="shared" si="687"/>
        <v>0.875</v>
      </c>
      <c r="Q1817" s="72">
        <f t="shared" si="688"/>
        <v>0</v>
      </c>
      <c r="R1817" s="72">
        <f t="shared" si="689"/>
        <v>0</v>
      </c>
      <c r="S1817" s="72">
        <f t="shared" si="690"/>
        <v>0.97591710644870633</v>
      </c>
      <c r="T1817" s="72">
        <f t="shared" si="691"/>
        <v>0.97591710644870633</v>
      </c>
      <c r="U1817" s="72">
        <f t="shared" si="692"/>
        <v>1</v>
      </c>
    </row>
    <row r="1818" spans="1:21" x14ac:dyDescent="0.25">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0.83053063457330412</v>
      </c>
      <c r="P1818" s="72">
        <f t="shared" si="687"/>
        <v>0.95833333333333337</v>
      </c>
      <c r="Q1818" s="72">
        <f t="shared" si="688"/>
        <v>0</v>
      </c>
      <c r="R1818" s="72">
        <f t="shared" si="689"/>
        <v>0</v>
      </c>
      <c r="S1818" s="72">
        <f t="shared" si="690"/>
        <v>0.97709486420388725</v>
      </c>
      <c r="T1818" s="72">
        <f t="shared" si="691"/>
        <v>0.97709486420388725</v>
      </c>
      <c r="U1818" s="72">
        <f t="shared" si="692"/>
        <v>1</v>
      </c>
    </row>
    <row r="1819" spans="1:21" x14ac:dyDescent="0.25">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0.83154814004376365</v>
      </c>
      <c r="P1819" s="72">
        <f t="shared" si="687"/>
        <v>0.95833333333333337</v>
      </c>
      <c r="Q1819" s="72">
        <f t="shared" si="688"/>
        <v>4.166666666666663E-2</v>
      </c>
      <c r="R1819" s="72">
        <f t="shared" si="689"/>
        <v>0</v>
      </c>
      <c r="S1819" s="72">
        <f t="shared" si="690"/>
        <v>0.97829192946325139</v>
      </c>
      <c r="T1819" s="72">
        <f t="shared" si="691"/>
        <v>0.97829192946325139</v>
      </c>
      <c r="U1819" s="72">
        <f t="shared" si="692"/>
        <v>1</v>
      </c>
    </row>
    <row r="1820" spans="1:21" x14ac:dyDescent="0.25">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0.8325164113785557</v>
      </c>
      <c r="P1820" s="72">
        <f t="shared" si="687"/>
        <v>0.875</v>
      </c>
      <c r="Q1820" s="72">
        <f t="shared" si="688"/>
        <v>0.125</v>
      </c>
      <c r="R1820" s="72">
        <f t="shared" si="689"/>
        <v>0</v>
      </c>
      <c r="S1820" s="72">
        <f t="shared" si="690"/>
        <v>0.97943107221006553</v>
      </c>
      <c r="T1820" s="72">
        <f t="shared" si="691"/>
        <v>0.97943107221006553</v>
      </c>
      <c r="U1820" s="72">
        <f t="shared" si="692"/>
        <v>1</v>
      </c>
    </row>
    <row r="1821" spans="1:21" x14ac:dyDescent="0.25">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0.83348468271334786</v>
      </c>
      <c r="P1821" s="72">
        <f t="shared" si="687"/>
        <v>0.79166666666666663</v>
      </c>
      <c r="Q1821" s="72">
        <f t="shared" si="688"/>
        <v>0.20833333333333337</v>
      </c>
      <c r="R1821" s="72">
        <f t="shared" si="689"/>
        <v>0</v>
      </c>
      <c r="S1821" s="72">
        <f t="shared" si="690"/>
        <v>0.9805702149568799</v>
      </c>
      <c r="T1821" s="72">
        <f t="shared" si="691"/>
        <v>0.9805702149568799</v>
      </c>
      <c r="U1821" s="72">
        <f t="shared" si="692"/>
        <v>1</v>
      </c>
    </row>
    <row r="1822" spans="1:21" x14ac:dyDescent="0.25">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0.8344857768052516</v>
      </c>
      <c r="P1822" s="72">
        <f t="shared" si="687"/>
        <v>0.70833333333333337</v>
      </c>
      <c r="Q1822" s="72">
        <f t="shared" si="688"/>
        <v>0.29166666666666663</v>
      </c>
      <c r="R1822" s="72">
        <f t="shared" si="689"/>
        <v>0</v>
      </c>
      <c r="S1822" s="72">
        <f t="shared" si="690"/>
        <v>0.98174797271206071</v>
      </c>
      <c r="T1822" s="72">
        <f t="shared" si="691"/>
        <v>0.98174797271206071</v>
      </c>
      <c r="U1822" s="72">
        <f t="shared" si="692"/>
        <v>1</v>
      </c>
    </row>
    <row r="1823" spans="1:21" x14ac:dyDescent="0.25">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0.83548687089715534</v>
      </c>
      <c r="P1823" s="72">
        <f t="shared" si="687"/>
        <v>0.625</v>
      </c>
      <c r="Q1823" s="72">
        <f t="shared" si="688"/>
        <v>0.375</v>
      </c>
      <c r="R1823" s="72">
        <f t="shared" si="689"/>
        <v>0</v>
      </c>
      <c r="S1823" s="72">
        <f t="shared" si="690"/>
        <v>0.98292573046724163</v>
      </c>
      <c r="T1823" s="72">
        <f t="shared" si="691"/>
        <v>0.98292573046724163</v>
      </c>
      <c r="U1823" s="72">
        <f t="shared" si="692"/>
        <v>1</v>
      </c>
    </row>
    <row r="1824" spans="1:21" x14ac:dyDescent="0.25">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0.83648796498905909</v>
      </c>
      <c r="P1824" s="72">
        <f t="shared" si="687"/>
        <v>0.54166666666666663</v>
      </c>
      <c r="Q1824" s="72">
        <f t="shared" si="688"/>
        <v>0.45833333333333337</v>
      </c>
      <c r="R1824" s="72">
        <f t="shared" si="689"/>
        <v>0</v>
      </c>
      <c r="S1824" s="72">
        <f t="shared" si="690"/>
        <v>0.98410348822242244</v>
      </c>
      <c r="T1824" s="72">
        <f t="shared" si="691"/>
        <v>0.98410348822242244</v>
      </c>
      <c r="U1824" s="72">
        <f t="shared" si="692"/>
        <v>1</v>
      </c>
    </row>
    <row r="1825" spans="1:21" x14ac:dyDescent="0.25">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0.83748905908096272</v>
      </c>
      <c r="P1825" s="72">
        <f t="shared" si="687"/>
        <v>0.45833333333333331</v>
      </c>
      <c r="Q1825" s="72">
        <f t="shared" si="688"/>
        <v>0.54166666666666674</v>
      </c>
      <c r="R1825" s="72">
        <f t="shared" si="689"/>
        <v>0</v>
      </c>
      <c r="S1825" s="72">
        <f t="shared" si="690"/>
        <v>0.98528124597760325</v>
      </c>
      <c r="T1825" s="72">
        <f t="shared" si="691"/>
        <v>0.98528124597760325</v>
      </c>
      <c r="U1825" s="72">
        <f t="shared" si="692"/>
        <v>1</v>
      </c>
    </row>
    <row r="1826" spans="1:21" x14ac:dyDescent="0.25">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0.83850656455142225</v>
      </c>
      <c r="P1826" s="72">
        <f t="shared" si="687"/>
        <v>0.375</v>
      </c>
      <c r="Q1826" s="72">
        <f t="shared" si="688"/>
        <v>0.625</v>
      </c>
      <c r="R1826" s="72">
        <f t="shared" si="689"/>
        <v>0</v>
      </c>
      <c r="S1826" s="72">
        <f t="shared" si="690"/>
        <v>0.98647831123696739</v>
      </c>
      <c r="T1826" s="72">
        <f t="shared" si="691"/>
        <v>0.98647831123696739</v>
      </c>
      <c r="U1826" s="72">
        <f t="shared" si="692"/>
        <v>1</v>
      </c>
    </row>
    <row r="1827" spans="1:21" x14ac:dyDescent="0.25">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0.83950765864332599</v>
      </c>
      <c r="P1827" s="72">
        <f t="shared" si="687"/>
        <v>0.29166666666666669</v>
      </c>
      <c r="Q1827" s="72">
        <f t="shared" si="688"/>
        <v>0.70833333333333326</v>
      </c>
      <c r="R1827" s="72">
        <f t="shared" si="689"/>
        <v>0</v>
      </c>
      <c r="S1827" s="72">
        <f t="shared" si="690"/>
        <v>0.98765606899214831</v>
      </c>
      <c r="T1827" s="72">
        <f t="shared" si="691"/>
        <v>0.98765606899214831</v>
      </c>
      <c r="U1827" s="72">
        <f t="shared" si="692"/>
        <v>1</v>
      </c>
    </row>
    <row r="1828" spans="1:21" x14ac:dyDescent="0.25">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0.84050875273522974</v>
      </c>
      <c r="P1828" s="72">
        <f t="shared" si="687"/>
        <v>0.20833333333333334</v>
      </c>
      <c r="Q1828" s="72">
        <f t="shared" si="688"/>
        <v>0.79166666666666663</v>
      </c>
      <c r="R1828" s="72">
        <f t="shared" si="689"/>
        <v>0</v>
      </c>
      <c r="S1828" s="72">
        <f t="shared" si="690"/>
        <v>0.98883382674732911</v>
      </c>
      <c r="T1828" s="72">
        <f t="shared" si="691"/>
        <v>0.98883382674732911</v>
      </c>
      <c r="U1828" s="72">
        <f t="shared" si="692"/>
        <v>1</v>
      </c>
    </row>
    <row r="1829" spans="1:21" x14ac:dyDescent="0.25">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0.84150984682713348</v>
      </c>
      <c r="P1829" s="72">
        <f t="shared" si="687"/>
        <v>0.125</v>
      </c>
      <c r="Q1829" s="72">
        <f t="shared" si="688"/>
        <v>0.875</v>
      </c>
      <c r="R1829" s="72">
        <f t="shared" si="689"/>
        <v>0</v>
      </c>
      <c r="S1829" s="72">
        <f t="shared" si="690"/>
        <v>0.99001158450251003</v>
      </c>
      <c r="T1829" s="72">
        <f t="shared" si="691"/>
        <v>0.99001158450251003</v>
      </c>
      <c r="U1829" s="72">
        <f t="shared" si="692"/>
        <v>1</v>
      </c>
    </row>
    <row r="1830" spans="1:21" x14ac:dyDescent="0.25">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0.84251094091903722</v>
      </c>
      <c r="P1830" s="72">
        <f t="shared" si="687"/>
        <v>4.1666666666666664E-2</v>
      </c>
      <c r="Q1830" s="72">
        <f t="shared" si="688"/>
        <v>0.95833333333333337</v>
      </c>
      <c r="R1830" s="72">
        <f t="shared" si="689"/>
        <v>0</v>
      </c>
      <c r="S1830" s="72">
        <f t="shared" si="690"/>
        <v>0.99118934225769084</v>
      </c>
      <c r="T1830" s="72">
        <f t="shared" si="691"/>
        <v>0.99118934225769084</v>
      </c>
      <c r="U1830" s="72">
        <f t="shared" si="692"/>
        <v>1</v>
      </c>
    </row>
    <row r="1831" spans="1:21" x14ac:dyDescent="0.25">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0.84352844638949664</v>
      </c>
      <c r="P1831" s="72">
        <f t="shared" si="687"/>
        <v>0</v>
      </c>
      <c r="Q1831" s="72">
        <f t="shared" si="688"/>
        <v>0.95833333333333337</v>
      </c>
      <c r="R1831" s="72">
        <f t="shared" si="689"/>
        <v>4.166666666666663E-2</v>
      </c>
      <c r="S1831" s="72">
        <f t="shared" si="690"/>
        <v>0.99238640751705487</v>
      </c>
      <c r="T1831" s="72">
        <f t="shared" si="691"/>
        <v>0.97829192946325139</v>
      </c>
      <c r="U1831" s="72">
        <f t="shared" si="692"/>
        <v>1</v>
      </c>
    </row>
    <row r="1832" spans="1:21" x14ac:dyDescent="0.25">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0.8444967177242888</v>
      </c>
      <c r="P1832" s="72">
        <f t="shared" si="687"/>
        <v>0</v>
      </c>
      <c r="Q1832" s="72">
        <f t="shared" si="688"/>
        <v>0.875</v>
      </c>
      <c r="R1832" s="72">
        <f t="shared" si="689"/>
        <v>0.125</v>
      </c>
      <c r="S1832" s="72">
        <f t="shared" si="690"/>
        <v>0.99352555026386924</v>
      </c>
      <c r="T1832" s="72">
        <f t="shared" si="691"/>
        <v>0.97943107221006553</v>
      </c>
      <c r="U1832" s="72">
        <f t="shared" si="692"/>
        <v>1</v>
      </c>
    </row>
    <row r="1833" spans="1:21" x14ac:dyDescent="0.25">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0.84546498905908096</v>
      </c>
      <c r="P1833" s="72">
        <f t="shared" si="687"/>
        <v>0</v>
      </c>
      <c r="Q1833" s="72">
        <f t="shared" si="688"/>
        <v>0.79166666666666663</v>
      </c>
      <c r="R1833" s="72">
        <f t="shared" si="689"/>
        <v>0.20833333333333337</v>
      </c>
      <c r="S1833" s="72">
        <f t="shared" si="690"/>
        <v>0.9946646930106835</v>
      </c>
      <c r="T1833" s="72">
        <f t="shared" si="691"/>
        <v>0.9805702149568799</v>
      </c>
      <c r="U1833" s="72">
        <f t="shared" si="692"/>
        <v>1</v>
      </c>
    </row>
    <row r="1834" spans="1:21" x14ac:dyDescent="0.25">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0.8464660831509847</v>
      </c>
      <c r="P1834" s="72">
        <f t="shared" si="687"/>
        <v>0</v>
      </c>
      <c r="Q1834" s="72">
        <f t="shared" si="688"/>
        <v>0.70833333333333337</v>
      </c>
      <c r="R1834" s="72">
        <f t="shared" si="689"/>
        <v>0.29166666666666663</v>
      </c>
      <c r="S1834" s="72">
        <f t="shared" si="690"/>
        <v>0.99584245076586442</v>
      </c>
      <c r="T1834" s="72">
        <f t="shared" si="691"/>
        <v>0.98174797271206071</v>
      </c>
      <c r="U1834" s="72">
        <f t="shared" si="692"/>
        <v>1</v>
      </c>
    </row>
    <row r="1835" spans="1:21" x14ac:dyDescent="0.25">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0.84746717724288834</v>
      </c>
      <c r="P1835" s="72">
        <f t="shared" si="687"/>
        <v>0</v>
      </c>
      <c r="Q1835" s="72">
        <f t="shared" si="688"/>
        <v>0.625</v>
      </c>
      <c r="R1835" s="72">
        <f t="shared" si="689"/>
        <v>0.375</v>
      </c>
      <c r="S1835" s="72">
        <f t="shared" si="690"/>
        <v>0.99702020852104511</v>
      </c>
      <c r="T1835" s="72">
        <f t="shared" si="691"/>
        <v>0.98292573046724163</v>
      </c>
      <c r="U1835" s="72">
        <f t="shared" si="692"/>
        <v>1</v>
      </c>
    </row>
    <row r="1836" spans="1:21" x14ac:dyDescent="0.25">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0.84846827133479208</v>
      </c>
      <c r="P1836" s="72">
        <f t="shared" si="687"/>
        <v>0</v>
      </c>
      <c r="Q1836" s="72">
        <f t="shared" si="688"/>
        <v>0.54166666666666663</v>
      </c>
      <c r="R1836" s="72">
        <f t="shared" si="689"/>
        <v>0.45833333333333337</v>
      </c>
      <c r="S1836" s="72">
        <f t="shared" si="690"/>
        <v>0.99819796627622603</v>
      </c>
      <c r="T1836" s="72">
        <f t="shared" si="691"/>
        <v>0.98410348822242244</v>
      </c>
      <c r="U1836" s="72">
        <f t="shared" si="692"/>
        <v>1</v>
      </c>
    </row>
    <row r="1837" spans="1:21" x14ac:dyDescent="0.25">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0.84946936542669582</v>
      </c>
      <c r="P1837" s="72">
        <f t="shared" si="687"/>
        <v>0</v>
      </c>
      <c r="Q1837" s="72">
        <f t="shared" si="688"/>
        <v>0.45833333333333331</v>
      </c>
      <c r="R1837" s="72">
        <f t="shared" si="689"/>
        <v>0.54166666666666674</v>
      </c>
      <c r="S1837" s="72">
        <f t="shared" si="690"/>
        <v>0.99937572403140684</v>
      </c>
      <c r="T1837" s="72">
        <f t="shared" si="691"/>
        <v>0.98528124597760325</v>
      </c>
      <c r="U1837" s="72">
        <f t="shared" si="692"/>
        <v>1</v>
      </c>
    </row>
    <row r="1838" spans="1:21" x14ac:dyDescent="0.25">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0.85048687089715536</v>
      </c>
      <c r="P1838" s="72">
        <f t="shared" si="687"/>
        <v>0</v>
      </c>
      <c r="Q1838" s="72">
        <f t="shared" si="688"/>
        <v>0.375</v>
      </c>
      <c r="R1838" s="72">
        <f t="shared" si="689"/>
        <v>0.625</v>
      </c>
      <c r="S1838" s="72">
        <f t="shared" si="690"/>
        <v>1.000572789290771</v>
      </c>
      <c r="T1838" s="72">
        <f t="shared" si="691"/>
        <v>0.98647831123696739</v>
      </c>
      <c r="U1838" s="72">
        <f t="shared" si="692"/>
        <v>1</v>
      </c>
    </row>
    <row r="1839" spans="1:21" x14ac:dyDescent="0.25">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0.8514879649890591</v>
      </c>
      <c r="P1839" s="72">
        <f t="shared" si="687"/>
        <v>0</v>
      </c>
      <c r="Q1839" s="72">
        <f t="shared" si="688"/>
        <v>0.29166666666666669</v>
      </c>
      <c r="R1839" s="72">
        <f t="shared" si="689"/>
        <v>0.70833333333333326</v>
      </c>
      <c r="S1839" s="72">
        <f t="shared" si="690"/>
        <v>1.001750547045952</v>
      </c>
      <c r="T1839" s="72">
        <f t="shared" si="691"/>
        <v>0.98765606899214831</v>
      </c>
      <c r="U1839" s="72">
        <f t="shared" si="692"/>
        <v>1</v>
      </c>
    </row>
    <row r="1840" spans="1:21" x14ac:dyDescent="0.25">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0.85248905908096273</v>
      </c>
      <c r="P1840" s="72">
        <f t="shared" si="687"/>
        <v>0</v>
      </c>
      <c r="Q1840" s="72">
        <f t="shared" si="688"/>
        <v>0.20833333333333334</v>
      </c>
      <c r="R1840" s="72">
        <f t="shared" si="689"/>
        <v>0.79166666666666663</v>
      </c>
      <c r="S1840" s="72">
        <f t="shared" si="690"/>
        <v>1.0029283048011326</v>
      </c>
      <c r="T1840" s="72">
        <f t="shared" si="691"/>
        <v>0.98883382674732911</v>
      </c>
      <c r="U1840" s="72">
        <f t="shared" si="692"/>
        <v>1</v>
      </c>
    </row>
    <row r="1841" spans="1:21" x14ac:dyDescent="0.25">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0.85349015317286647</v>
      </c>
      <c r="P1841" s="72">
        <f t="shared" si="687"/>
        <v>0</v>
      </c>
      <c r="Q1841" s="72">
        <f t="shared" si="688"/>
        <v>0.125</v>
      </c>
      <c r="R1841" s="72">
        <f t="shared" si="689"/>
        <v>0.875</v>
      </c>
      <c r="S1841" s="72">
        <f t="shared" si="690"/>
        <v>1.0041060625563136</v>
      </c>
      <c r="T1841" s="72">
        <f t="shared" si="691"/>
        <v>0.99001158450251003</v>
      </c>
      <c r="U1841" s="72">
        <f t="shared" si="692"/>
        <v>1</v>
      </c>
    </row>
    <row r="1842" spans="1:21" x14ac:dyDescent="0.25">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0.85449124726477022</v>
      </c>
      <c r="P1842" s="72">
        <f t="shared" si="687"/>
        <v>0</v>
      </c>
      <c r="Q1842" s="72">
        <f t="shared" si="688"/>
        <v>4.1666666666666664E-2</v>
      </c>
      <c r="R1842" s="72">
        <f t="shared" si="689"/>
        <v>0.95833333333333337</v>
      </c>
      <c r="S1842" s="72">
        <f t="shared" si="690"/>
        <v>1.0052838203114944</v>
      </c>
      <c r="T1842" s="72">
        <f t="shared" si="691"/>
        <v>0.99118934225769084</v>
      </c>
      <c r="U1842" s="72">
        <f t="shared" si="692"/>
        <v>1</v>
      </c>
    </row>
    <row r="1843" spans="1:21" x14ac:dyDescent="0.25">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0.85499999999999998</v>
      </c>
      <c r="P1843" s="72">
        <f t="shared" si="687"/>
        <v>0</v>
      </c>
      <c r="Q1843" s="72">
        <f t="shared" si="688"/>
        <v>0</v>
      </c>
      <c r="R1843" s="72">
        <f t="shared" si="689"/>
        <v>0.95833333333333337</v>
      </c>
      <c r="S1843" s="72">
        <f t="shared" si="690"/>
        <v>1.0058823529411764</v>
      </c>
      <c r="T1843" s="72">
        <f t="shared" si="691"/>
        <v>0.97829192946325139</v>
      </c>
      <c r="U1843" s="72">
        <f t="shared" si="692"/>
        <v>1</v>
      </c>
    </row>
    <row r="1844" spans="1:21" x14ac:dyDescent="0.25">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0.85499999999999998</v>
      </c>
      <c r="P1844" s="72">
        <f t="shared" si="687"/>
        <v>0</v>
      </c>
      <c r="Q1844" s="72">
        <f t="shared" si="688"/>
        <v>0</v>
      </c>
      <c r="R1844" s="72">
        <f t="shared" si="689"/>
        <v>0.875</v>
      </c>
      <c r="S1844" s="72">
        <f t="shared" si="690"/>
        <v>1.0058823529411764</v>
      </c>
      <c r="T1844" s="72">
        <f t="shared" si="691"/>
        <v>0.97943107221006553</v>
      </c>
      <c r="U1844" s="72">
        <f t="shared" si="692"/>
        <v>1</v>
      </c>
    </row>
    <row r="1845" spans="1:21" x14ac:dyDescent="0.25">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0.85499999999999998</v>
      </c>
      <c r="P1845" s="72">
        <f t="shared" si="687"/>
        <v>0</v>
      </c>
      <c r="Q1845" s="72">
        <f t="shared" si="688"/>
        <v>0</v>
      </c>
      <c r="R1845" s="72">
        <f t="shared" si="689"/>
        <v>0.79166666666666663</v>
      </c>
      <c r="S1845" s="72">
        <f t="shared" si="690"/>
        <v>1.0058823529411764</v>
      </c>
      <c r="T1845" s="72">
        <f t="shared" si="691"/>
        <v>0.9805702149568799</v>
      </c>
      <c r="U1845" s="72">
        <f t="shared" si="692"/>
        <v>1</v>
      </c>
    </row>
    <row r="1846" spans="1:21" x14ac:dyDescent="0.25">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0.85499999999999998</v>
      </c>
      <c r="P1846" s="72">
        <f t="shared" si="687"/>
        <v>0</v>
      </c>
      <c r="Q1846" s="72">
        <f t="shared" si="688"/>
        <v>0</v>
      </c>
      <c r="R1846" s="72">
        <f t="shared" si="689"/>
        <v>0.70833333333333337</v>
      </c>
      <c r="S1846" s="72">
        <f t="shared" si="690"/>
        <v>1.0058823529411764</v>
      </c>
      <c r="T1846" s="72">
        <f t="shared" si="691"/>
        <v>0.98174797271206071</v>
      </c>
      <c r="U1846" s="72">
        <f t="shared" si="692"/>
        <v>1</v>
      </c>
    </row>
    <row r="1847" spans="1:21" x14ac:dyDescent="0.25">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0.85499999999999998</v>
      </c>
      <c r="P1847" s="72">
        <f t="shared" si="687"/>
        <v>0</v>
      </c>
      <c r="Q1847" s="72">
        <f t="shared" si="688"/>
        <v>0</v>
      </c>
      <c r="R1847" s="72">
        <f t="shared" si="689"/>
        <v>0.625</v>
      </c>
      <c r="S1847" s="72">
        <f t="shared" si="690"/>
        <v>1.0058823529411764</v>
      </c>
      <c r="T1847" s="72">
        <f t="shared" si="691"/>
        <v>0.98292573046724163</v>
      </c>
      <c r="U1847" s="72">
        <f t="shared" si="692"/>
        <v>1</v>
      </c>
    </row>
    <row r="1848" spans="1:21" x14ac:dyDescent="0.25">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0.85499999999999998</v>
      </c>
      <c r="P1848" s="72">
        <f t="shared" si="687"/>
        <v>0</v>
      </c>
      <c r="Q1848" s="72">
        <f t="shared" si="688"/>
        <v>0</v>
      </c>
      <c r="R1848" s="72">
        <f t="shared" si="689"/>
        <v>0.54166666666666663</v>
      </c>
      <c r="S1848" s="72">
        <f t="shared" si="690"/>
        <v>1.0058823529411764</v>
      </c>
      <c r="T1848" s="72">
        <f t="shared" si="691"/>
        <v>0.98410348822242244</v>
      </c>
      <c r="U1848" s="72">
        <f t="shared" si="692"/>
        <v>1</v>
      </c>
    </row>
    <row r="1849" spans="1:21" x14ac:dyDescent="0.25">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0.85499999999999998</v>
      </c>
      <c r="P1849" s="72">
        <f t="shared" si="687"/>
        <v>0</v>
      </c>
      <c r="Q1849" s="72">
        <f t="shared" si="688"/>
        <v>0</v>
      </c>
      <c r="R1849" s="72">
        <f t="shared" si="689"/>
        <v>0.45833333333333331</v>
      </c>
      <c r="S1849" s="72">
        <f t="shared" si="690"/>
        <v>1.0058823529411764</v>
      </c>
      <c r="T1849" s="72">
        <f t="shared" si="691"/>
        <v>0.98528124597760325</v>
      </c>
      <c r="U1849" s="72">
        <f t="shared" si="692"/>
        <v>1</v>
      </c>
    </row>
    <row r="1850" spans="1:21" x14ac:dyDescent="0.25">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0.85499999999999998</v>
      </c>
      <c r="P1850" s="72">
        <f t="shared" si="687"/>
        <v>0</v>
      </c>
      <c r="Q1850" s="72">
        <f t="shared" si="688"/>
        <v>0</v>
      </c>
      <c r="R1850" s="72">
        <f t="shared" si="689"/>
        <v>0.375</v>
      </c>
      <c r="S1850" s="72">
        <f t="shared" si="690"/>
        <v>1.0058823529411764</v>
      </c>
      <c r="T1850" s="72">
        <f t="shared" si="691"/>
        <v>0.98647831123696739</v>
      </c>
      <c r="U1850" s="72">
        <f t="shared" si="692"/>
        <v>1</v>
      </c>
    </row>
    <row r="1851" spans="1:21" x14ac:dyDescent="0.25">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0.85499999999999998</v>
      </c>
      <c r="P1851" s="72">
        <f t="shared" si="687"/>
        <v>0</v>
      </c>
      <c r="Q1851" s="72">
        <f t="shared" si="688"/>
        <v>0</v>
      </c>
      <c r="R1851" s="72">
        <f t="shared" si="689"/>
        <v>0.29166666666666669</v>
      </c>
      <c r="S1851" s="72">
        <f t="shared" si="690"/>
        <v>1.0058823529411764</v>
      </c>
      <c r="T1851" s="72">
        <f t="shared" si="691"/>
        <v>0.98765606899214831</v>
      </c>
      <c r="U1851" s="72">
        <f t="shared" si="692"/>
        <v>1</v>
      </c>
    </row>
    <row r="1852" spans="1:21" x14ac:dyDescent="0.25">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0.85499999999999998</v>
      </c>
      <c r="P1852" s="72">
        <f t="shared" si="687"/>
        <v>0</v>
      </c>
      <c r="Q1852" s="72">
        <f t="shared" si="688"/>
        <v>0</v>
      </c>
      <c r="R1852" s="72">
        <f t="shared" si="689"/>
        <v>0.20833333333333334</v>
      </c>
      <c r="S1852" s="72">
        <f t="shared" si="690"/>
        <v>1.0058823529411764</v>
      </c>
      <c r="T1852" s="72">
        <f t="shared" si="691"/>
        <v>0.98883382674732911</v>
      </c>
      <c r="U1852" s="72">
        <f t="shared" si="692"/>
        <v>1</v>
      </c>
    </row>
    <row r="1853" spans="1:21" x14ac:dyDescent="0.25">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0.85499999999999998</v>
      </c>
      <c r="P1853" s="72">
        <f t="shared" si="687"/>
        <v>0</v>
      </c>
      <c r="Q1853" s="72">
        <f t="shared" si="688"/>
        <v>0</v>
      </c>
      <c r="R1853" s="72">
        <f t="shared" si="689"/>
        <v>0.125</v>
      </c>
      <c r="S1853" s="72">
        <f t="shared" si="690"/>
        <v>1.0058823529411764</v>
      </c>
      <c r="T1853" s="72">
        <f t="shared" si="691"/>
        <v>0.99001158450251003</v>
      </c>
      <c r="U1853" s="72">
        <f t="shared" si="692"/>
        <v>1</v>
      </c>
    </row>
    <row r="1854" spans="1:21" x14ac:dyDescent="0.25">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0.85499999999999998</v>
      </c>
      <c r="P1854" s="72">
        <f t="shared" si="687"/>
        <v>0</v>
      </c>
      <c r="Q1854" s="72">
        <f t="shared" si="688"/>
        <v>0</v>
      </c>
      <c r="R1854" s="72">
        <f t="shared" si="689"/>
        <v>4.1666666666666664E-2</v>
      </c>
      <c r="S1854" s="72">
        <f t="shared" si="690"/>
        <v>1.0058823529411764</v>
      </c>
      <c r="T1854" s="72">
        <f t="shared" si="691"/>
        <v>0.99118934225769084</v>
      </c>
      <c r="U1854" s="72">
        <f t="shared" si="692"/>
        <v>1</v>
      </c>
    </row>
    <row r="1855" spans="1:21" x14ac:dyDescent="0.25">
      <c r="A1855" s="77" t="s">
        <v>1209</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0.84299370897155379</v>
      </c>
      <c r="G1855" s="169">
        <f>SUMPRODUCT($H$1807:$H$1854,$R$1807:$R$1854,$O$1807:$O$1854)/SUMPRODUCT($H$1807:$H$1854,$R$1807:$R$1854)</f>
        <v>0.85298453455506928</v>
      </c>
    </row>
    <row r="1858" spans="1:21" x14ac:dyDescent="0.25">
      <c r="A1858" s="77" t="str">
        <f>INDEX(lr_key,34)</f>
        <v>BU-B|MN</v>
      </c>
      <c r="B1858" s="77" t="str">
        <f>INDEX(lr_state,34)</f>
        <v>MN</v>
      </c>
      <c r="C1858" s="52">
        <f>nr_TermMonths</f>
        <v>12</v>
      </c>
      <c r="D1858" s="52">
        <f>IF(COUNTIF(se_state,$B1858)=0,0,MATCH($B1858,se_state,0))</f>
        <v>0</v>
      </c>
      <c r="E1858" s="54">
        <f>IF($D1858=0,0,INDEX(se_sum,$D1858))</f>
        <v>0</v>
      </c>
      <c r="F1858" s="169">
        <f>IF(N(INDEX(lr_mind,34))=0,1,INDEX(lr_mind,34))</f>
        <v>0.85</v>
      </c>
      <c r="G1858" s="169">
        <f>IF(N(INDEX(lr_m0,34))=0,1,INDEX(lr_m0,34))</f>
        <v>0.84</v>
      </c>
      <c r="H1858" s="51">
        <f>IF(N(INDEX(lr_m0asof,34))=0,DATE(nr_PlanYear-1,10,1),INDEX(lr_m0asof,34))</f>
        <v>46295</v>
      </c>
      <c r="I1858" s="169">
        <f>IF(N(INDEX(lr_m1,34))=0,1,INDEX(lr_m1,34))</f>
        <v>0.83499999999999996</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25">
      <c r="A1859" s="77">
        <f>EDATE($H$1858,-12)+1</f>
        <v>45931</v>
      </c>
      <c r="B1859" s="77">
        <f>$H$1858+1</f>
        <v>46296</v>
      </c>
      <c r="C1859" s="77">
        <f>DATE(nr_PlanYear,12,31)+1</f>
        <v>46753</v>
      </c>
      <c r="D1859" s="77">
        <f>DATE(nr_PlanYear+1,12,31)+1</f>
        <v>47119</v>
      </c>
      <c r="E1859" s="77">
        <f>IF(N($J$1858)=0,$F$1859-($G$1859-$F$1859)/($C$1859-$B$1859)*($B$1859-$A$1859),$J$1858)</f>
        <v>0.84399343544857763</v>
      </c>
      <c r="F1859" s="77">
        <f>$G$1858</f>
        <v>0.84</v>
      </c>
      <c r="G1859" s="77">
        <f>$I$1858</f>
        <v>0.83499999999999996</v>
      </c>
      <c r="H1859" s="77">
        <f>IF(N($K$1858)=0,$I$1858,$K$1858)</f>
        <v>0.83499999999999996</v>
      </c>
      <c r="I1859" s="77">
        <f>($F$1859-$E$1859)/($B$1859-$A$1859)</f>
        <v>-1.0940919037199081E-5</v>
      </c>
      <c r="J1859" s="77">
        <f>($G$1859-$F$1859)/($C$1859-$B$1859)</f>
        <v>-1.0940919037199135E-5</v>
      </c>
      <c r="K1859" s="77">
        <f>($H$1859-$G$1859)/($D$1859-$C$1859)</f>
        <v>0</v>
      </c>
    </row>
    <row r="1860" spans="1:21" ht="24" x14ac:dyDescent="0.25">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25">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0.84681072210065644</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0.99624790835371346</v>
      </c>
      <c r="T1861" s="72">
        <f t="shared" ref="T1861:T1908" si="711">IF($G1861&lt;nr_MStartP,$S1861,$T1849*(1+IF($G1861&lt;nr_MStartP1,$M$1858,$N$1858)))</f>
        <v>0.99624790835371346</v>
      </c>
      <c r="U1861" s="72">
        <f t="shared" ref="U1861:U1908" si="712">IF($L$1858,$T1861,$N1861)</f>
        <v>1</v>
      </c>
    </row>
    <row r="1862" spans="1:21" x14ac:dyDescent="0.25">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0.84648796498905898</v>
      </c>
      <c r="P1862" s="72">
        <f t="shared" si="707"/>
        <v>0.125</v>
      </c>
      <c r="Q1862" s="72">
        <f t="shared" si="708"/>
        <v>0</v>
      </c>
      <c r="R1862" s="72">
        <f t="shared" si="709"/>
        <v>0</v>
      </c>
      <c r="S1862" s="72">
        <f t="shared" si="710"/>
        <v>0.99586819410477534</v>
      </c>
      <c r="T1862" s="72">
        <f t="shared" si="711"/>
        <v>0.99586819410477534</v>
      </c>
      <c r="U1862" s="72">
        <f t="shared" si="712"/>
        <v>1</v>
      </c>
    </row>
    <row r="1863" spans="1:21" x14ac:dyDescent="0.25">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0.84616520787746163</v>
      </c>
      <c r="P1863" s="72">
        <f t="shared" si="707"/>
        <v>0.20833333333333337</v>
      </c>
      <c r="Q1863" s="72">
        <f t="shared" si="708"/>
        <v>0</v>
      </c>
      <c r="R1863" s="72">
        <f t="shared" si="709"/>
        <v>0</v>
      </c>
      <c r="S1863" s="72">
        <f t="shared" si="710"/>
        <v>0.99548847985583722</v>
      </c>
      <c r="T1863" s="72">
        <f t="shared" si="711"/>
        <v>0.99548847985583722</v>
      </c>
      <c r="U1863" s="72">
        <f t="shared" si="712"/>
        <v>1</v>
      </c>
    </row>
    <row r="1864" spans="1:21" x14ac:dyDescent="0.25">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0.84583150984682709</v>
      </c>
      <c r="P1864" s="72">
        <f t="shared" si="707"/>
        <v>0.29166666666666663</v>
      </c>
      <c r="Q1864" s="72">
        <f t="shared" si="708"/>
        <v>0</v>
      </c>
      <c r="R1864" s="72">
        <f t="shared" si="709"/>
        <v>0</v>
      </c>
      <c r="S1864" s="72">
        <f t="shared" si="710"/>
        <v>0.99509589393744369</v>
      </c>
      <c r="T1864" s="72">
        <f t="shared" si="711"/>
        <v>0.99509589393744369</v>
      </c>
      <c r="U1864" s="72">
        <f t="shared" si="712"/>
        <v>1</v>
      </c>
    </row>
    <row r="1865" spans="1:21" x14ac:dyDescent="0.25">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0.84549781181619255</v>
      </c>
      <c r="P1865" s="72">
        <f t="shared" si="707"/>
        <v>0.375</v>
      </c>
      <c r="Q1865" s="72">
        <f t="shared" si="708"/>
        <v>0</v>
      </c>
      <c r="R1865" s="72">
        <f t="shared" si="709"/>
        <v>0</v>
      </c>
      <c r="S1865" s="72">
        <f t="shared" si="710"/>
        <v>0.99470330801905005</v>
      </c>
      <c r="T1865" s="72">
        <f t="shared" si="711"/>
        <v>0.99470330801905005</v>
      </c>
      <c r="U1865" s="72">
        <f t="shared" si="712"/>
        <v>1</v>
      </c>
    </row>
    <row r="1866" spans="1:21" x14ac:dyDescent="0.25">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0.84516411378555789</v>
      </c>
      <c r="P1866" s="72">
        <f t="shared" si="707"/>
        <v>0.45833333333333337</v>
      </c>
      <c r="Q1866" s="72">
        <f t="shared" si="708"/>
        <v>0</v>
      </c>
      <c r="R1866" s="72">
        <f t="shared" si="709"/>
        <v>0</v>
      </c>
      <c r="S1866" s="72">
        <f t="shared" si="710"/>
        <v>0.99431072210065641</v>
      </c>
      <c r="T1866" s="72">
        <f t="shared" si="711"/>
        <v>0.99431072210065641</v>
      </c>
      <c r="U1866" s="72">
        <f t="shared" si="712"/>
        <v>1</v>
      </c>
    </row>
    <row r="1867" spans="1:21" x14ac:dyDescent="0.25">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0.84483041575492335</v>
      </c>
      <c r="P1867" s="72">
        <f t="shared" si="707"/>
        <v>0.54166666666666674</v>
      </c>
      <c r="Q1867" s="72">
        <f t="shared" si="708"/>
        <v>0</v>
      </c>
      <c r="R1867" s="72">
        <f t="shared" si="709"/>
        <v>0</v>
      </c>
      <c r="S1867" s="72">
        <f t="shared" si="710"/>
        <v>0.99391813618226277</v>
      </c>
      <c r="T1867" s="72">
        <f t="shared" si="711"/>
        <v>0.99391813618226277</v>
      </c>
      <c r="U1867" s="72">
        <f t="shared" si="712"/>
        <v>1</v>
      </c>
    </row>
    <row r="1868" spans="1:21" x14ac:dyDescent="0.25">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0.84449124726477021</v>
      </c>
      <c r="P1868" s="72">
        <f t="shared" si="707"/>
        <v>0.625</v>
      </c>
      <c r="Q1868" s="72">
        <f t="shared" si="708"/>
        <v>0</v>
      </c>
      <c r="R1868" s="72">
        <f t="shared" si="709"/>
        <v>0</v>
      </c>
      <c r="S1868" s="72">
        <f t="shared" si="710"/>
        <v>0.99351911442914143</v>
      </c>
      <c r="T1868" s="72">
        <f t="shared" si="711"/>
        <v>0.99351911442914143</v>
      </c>
      <c r="U1868" s="72">
        <f t="shared" si="712"/>
        <v>1</v>
      </c>
    </row>
    <row r="1869" spans="1:21" x14ac:dyDescent="0.25">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0.84415754923413566</v>
      </c>
      <c r="P1869" s="72">
        <f t="shared" si="707"/>
        <v>0.70833333333333326</v>
      </c>
      <c r="Q1869" s="72">
        <f t="shared" si="708"/>
        <v>0</v>
      </c>
      <c r="R1869" s="72">
        <f t="shared" si="709"/>
        <v>0</v>
      </c>
      <c r="S1869" s="72">
        <f t="shared" si="710"/>
        <v>0.9931265285107479</v>
      </c>
      <c r="T1869" s="72">
        <f t="shared" si="711"/>
        <v>0.9931265285107479</v>
      </c>
      <c r="U1869" s="72">
        <f t="shared" si="712"/>
        <v>1</v>
      </c>
    </row>
    <row r="1870" spans="1:21" x14ac:dyDescent="0.25">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0.84382385120350101</v>
      </c>
      <c r="P1870" s="72">
        <f t="shared" si="707"/>
        <v>0.79166666666666663</v>
      </c>
      <c r="Q1870" s="72">
        <f t="shared" si="708"/>
        <v>0</v>
      </c>
      <c r="R1870" s="72">
        <f t="shared" si="709"/>
        <v>0</v>
      </c>
      <c r="S1870" s="72">
        <f t="shared" si="710"/>
        <v>0.99273394259235415</v>
      </c>
      <c r="T1870" s="72">
        <f t="shared" si="711"/>
        <v>0.99273394259235415</v>
      </c>
      <c r="U1870" s="72">
        <f t="shared" si="712"/>
        <v>1</v>
      </c>
    </row>
    <row r="1871" spans="1:21" x14ac:dyDescent="0.25">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0.84349015317286646</v>
      </c>
      <c r="P1871" s="72">
        <f t="shared" si="707"/>
        <v>0.875</v>
      </c>
      <c r="Q1871" s="72">
        <f t="shared" si="708"/>
        <v>0</v>
      </c>
      <c r="R1871" s="72">
        <f t="shared" si="709"/>
        <v>0</v>
      </c>
      <c r="S1871" s="72">
        <f t="shared" si="710"/>
        <v>0.99234135667396062</v>
      </c>
      <c r="T1871" s="72">
        <f t="shared" si="711"/>
        <v>0.99234135667396062</v>
      </c>
      <c r="U1871" s="72">
        <f t="shared" si="712"/>
        <v>1</v>
      </c>
    </row>
    <row r="1872" spans="1:21" x14ac:dyDescent="0.25">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0.84315645514223192</v>
      </c>
      <c r="P1872" s="72">
        <f t="shared" si="707"/>
        <v>0.95833333333333337</v>
      </c>
      <c r="Q1872" s="72">
        <f t="shared" si="708"/>
        <v>0</v>
      </c>
      <c r="R1872" s="72">
        <f t="shared" si="709"/>
        <v>0</v>
      </c>
      <c r="S1872" s="72">
        <f t="shared" si="710"/>
        <v>0.99194877075556698</v>
      </c>
      <c r="T1872" s="72">
        <f t="shared" si="711"/>
        <v>0.99194877075556698</v>
      </c>
      <c r="U1872" s="72">
        <f t="shared" si="712"/>
        <v>1</v>
      </c>
    </row>
    <row r="1873" spans="1:21" x14ac:dyDescent="0.25">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0.84281728665207878</v>
      </c>
      <c r="P1873" s="72">
        <f t="shared" si="707"/>
        <v>0.95833333333333337</v>
      </c>
      <c r="Q1873" s="72">
        <f t="shared" si="708"/>
        <v>4.166666666666663E-2</v>
      </c>
      <c r="R1873" s="72">
        <f t="shared" si="709"/>
        <v>0</v>
      </c>
      <c r="S1873" s="72">
        <f t="shared" si="710"/>
        <v>0.99154974900244564</v>
      </c>
      <c r="T1873" s="72">
        <f t="shared" si="711"/>
        <v>0.99154974900244564</v>
      </c>
      <c r="U1873" s="72">
        <f t="shared" si="712"/>
        <v>1</v>
      </c>
    </row>
    <row r="1874" spans="1:21" x14ac:dyDescent="0.25">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0.84249452954048132</v>
      </c>
      <c r="P1874" s="72">
        <f t="shared" si="707"/>
        <v>0.875</v>
      </c>
      <c r="Q1874" s="72">
        <f t="shared" si="708"/>
        <v>0.125</v>
      </c>
      <c r="R1874" s="72">
        <f t="shared" si="709"/>
        <v>0</v>
      </c>
      <c r="S1874" s="72">
        <f t="shared" si="710"/>
        <v>0.99117003475350751</v>
      </c>
      <c r="T1874" s="72">
        <f t="shared" si="711"/>
        <v>0.99117003475350751</v>
      </c>
      <c r="U1874" s="72">
        <f t="shared" si="712"/>
        <v>1</v>
      </c>
    </row>
    <row r="1875" spans="1:21" x14ac:dyDescent="0.25">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0.84217177242888397</v>
      </c>
      <c r="P1875" s="72">
        <f t="shared" si="707"/>
        <v>0.79166666666666663</v>
      </c>
      <c r="Q1875" s="72">
        <f t="shared" si="708"/>
        <v>0.20833333333333337</v>
      </c>
      <c r="R1875" s="72">
        <f t="shared" si="709"/>
        <v>0</v>
      </c>
      <c r="S1875" s="72">
        <f t="shared" si="710"/>
        <v>0.99079032050456939</v>
      </c>
      <c r="T1875" s="72">
        <f t="shared" si="711"/>
        <v>0.99079032050456939</v>
      </c>
      <c r="U1875" s="72">
        <f t="shared" si="712"/>
        <v>1</v>
      </c>
    </row>
    <row r="1876" spans="1:21" x14ac:dyDescent="0.25">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0.84183807439824943</v>
      </c>
      <c r="P1876" s="72">
        <f t="shared" si="707"/>
        <v>0.70833333333333337</v>
      </c>
      <c r="Q1876" s="72">
        <f t="shared" si="708"/>
        <v>0.29166666666666663</v>
      </c>
      <c r="R1876" s="72">
        <f t="shared" si="709"/>
        <v>0</v>
      </c>
      <c r="S1876" s="72">
        <f t="shared" si="710"/>
        <v>0.99039773458617586</v>
      </c>
      <c r="T1876" s="72">
        <f t="shared" si="711"/>
        <v>0.99039773458617586</v>
      </c>
      <c r="U1876" s="72">
        <f t="shared" si="712"/>
        <v>1</v>
      </c>
    </row>
    <row r="1877" spans="1:21" x14ac:dyDescent="0.25">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0.84150437636761488</v>
      </c>
      <c r="P1877" s="72">
        <f t="shared" si="707"/>
        <v>0.625</v>
      </c>
      <c r="Q1877" s="72">
        <f t="shared" si="708"/>
        <v>0.375</v>
      </c>
      <c r="R1877" s="72">
        <f t="shared" si="709"/>
        <v>0</v>
      </c>
      <c r="S1877" s="72">
        <f t="shared" si="710"/>
        <v>0.99000514866778222</v>
      </c>
      <c r="T1877" s="72">
        <f t="shared" si="711"/>
        <v>0.99000514866778222</v>
      </c>
      <c r="U1877" s="72">
        <f t="shared" si="712"/>
        <v>1</v>
      </c>
    </row>
    <row r="1878" spans="1:21" x14ac:dyDescent="0.25">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0.84117067833698023</v>
      </c>
      <c r="P1878" s="72">
        <f t="shared" si="707"/>
        <v>0.54166666666666663</v>
      </c>
      <c r="Q1878" s="72">
        <f t="shared" si="708"/>
        <v>0.45833333333333337</v>
      </c>
      <c r="R1878" s="72">
        <f t="shared" si="709"/>
        <v>0</v>
      </c>
      <c r="S1878" s="72">
        <f t="shared" si="710"/>
        <v>0.98961256274938858</v>
      </c>
      <c r="T1878" s="72">
        <f t="shared" si="711"/>
        <v>0.98961256274938858</v>
      </c>
      <c r="U1878" s="72">
        <f t="shared" si="712"/>
        <v>1</v>
      </c>
    </row>
    <row r="1879" spans="1:21" x14ac:dyDescent="0.25">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0.84083698030634568</v>
      </c>
      <c r="P1879" s="72">
        <f t="shared" si="707"/>
        <v>0.45833333333333331</v>
      </c>
      <c r="Q1879" s="72">
        <f t="shared" si="708"/>
        <v>0.54166666666666674</v>
      </c>
      <c r="R1879" s="72">
        <f t="shared" si="709"/>
        <v>0</v>
      </c>
      <c r="S1879" s="72">
        <f t="shared" si="710"/>
        <v>0.98921997683099494</v>
      </c>
      <c r="T1879" s="72">
        <f t="shared" si="711"/>
        <v>0.98921997683099494</v>
      </c>
      <c r="U1879" s="72">
        <f t="shared" si="712"/>
        <v>1</v>
      </c>
    </row>
    <row r="1880" spans="1:21" x14ac:dyDescent="0.25">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0.84049781181619254</v>
      </c>
      <c r="P1880" s="72">
        <f t="shared" si="707"/>
        <v>0.375</v>
      </c>
      <c r="Q1880" s="72">
        <f t="shared" si="708"/>
        <v>0.625</v>
      </c>
      <c r="R1880" s="72">
        <f t="shared" si="709"/>
        <v>0</v>
      </c>
      <c r="S1880" s="72">
        <f t="shared" si="710"/>
        <v>0.9888209550778736</v>
      </c>
      <c r="T1880" s="72">
        <f t="shared" si="711"/>
        <v>0.9888209550778736</v>
      </c>
      <c r="U1880" s="72">
        <f t="shared" si="712"/>
        <v>1</v>
      </c>
    </row>
    <row r="1881" spans="1:21" x14ac:dyDescent="0.25">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0.840164113785558</v>
      </c>
      <c r="P1881" s="72">
        <f t="shared" si="707"/>
        <v>0.29166666666666669</v>
      </c>
      <c r="Q1881" s="72">
        <f t="shared" si="708"/>
        <v>0.70833333333333326</v>
      </c>
      <c r="R1881" s="72">
        <f t="shared" si="709"/>
        <v>0</v>
      </c>
      <c r="S1881" s="72">
        <f t="shared" si="710"/>
        <v>0.98842836915948007</v>
      </c>
      <c r="T1881" s="72">
        <f t="shared" si="711"/>
        <v>0.98842836915948007</v>
      </c>
      <c r="U1881" s="72">
        <f t="shared" si="712"/>
        <v>1</v>
      </c>
    </row>
    <row r="1882" spans="1:21" x14ac:dyDescent="0.25">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0.83983041575492334</v>
      </c>
      <c r="P1882" s="72">
        <f t="shared" si="707"/>
        <v>0.20833333333333334</v>
      </c>
      <c r="Q1882" s="72">
        <f t="shared" si="708"/>
        <v>0.79166666666666663</v>
      </c>
      <c r="R1882" s="72">
        <f t="shared" si="709"/>
        <v>0</v>
      </c>
      <c r="S1882" s="72">
        <f t="shared" si="710"/>
        <v>1.0374375724031406</v>
      </c>
      <c r="T1882" s="72">
        <f t="shared" si="711"/>
        <v>1.0374375724031406</v>
      </c>
      <c r="U1882" s="72">
        <f t="shared" si="712"/>
        <v>1.05</v>
      </c>
    </row>
    <row r="1883" spans="1:21" x14ac:dyDescent="0.25">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0.8394967177242888</v>
      </c>
      <c r="P1883" s="72">
        <f t="shared" si="707"/>
        <v>0.125</v>
      </c>
      <c r="Q1883" s="72">
        <f t="shared" si="708"/>
        <v>0.875</v>
      </c>
      <c r="R1883" s="72">
        <f t="shared" si="709"/>
        <v>0</v>
      </c>
      <c r="S1883" s="72">
        <f t="shared" si="710"/>
        <v>1.0370253571888273</v>
      </c>
      <c r="T1883" s="72">
        <f t="shared" si="711"/>
        <v>1.0370253571888273</v>
      </c>
      <c r="U1883" s="72">
        <f t="shared" si="712"/>
        <v>1.05</v>
      </c>
    </row>
    <row r="1884" spans="1:21" x14ac:dyDescent="0.25">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0.83916301969365426</v>
      </c>
      <c r="P1884" s="72">
        <f t="shared" si="707"/>
        <v>4.1666666666666664E-2</v>
      </c>
      <c r="Q1884" s="72">
        <f t="shared" si="708"/>
        <v>0.95833333333333337</v>
      </c>
      <c r="R1884" s="72">
        <f t="shared" si="709"/>
        <v>0</v>
      </c>
      <c r="S1884" s="72">
        <f t="shared" si="710"/>
        <v>1.0366131419745142</v>
      </c>
      <c r="T1884" s="72">
        <f t="shared" si="711"/>
        <v>1.0366131419745142</v>
      </c>
      <c r="U1884" s="72">
        <f t="shared" si="712"/>
        <v>1.05</v>
      </c>
    </row>
    <row r="1885" spans="1:21" x14ac:dyDescent="0.25">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0.83882385120350111</v>
      </c>
      <c r="P1885" s="72">
        <f t="shared" si="707"/>
        <v>0</v>
      </c>
      <c r="Q1885" s="72">
        <f t="shared" si="708"/>
        <v>0.95833333333333337</v>
      </c>
      <c r="R1885" s="72">
        <f t="shared" si="709"/>
        <v>4.166666666666663E-2</v>
      </c>
      <c r="S1885" s="72">
        <f t="shared" si="710"/>
        <v>1.0361941691337366</v>
      </c>
      <c r="T1885" s="72">
        <f t="shared" si="711"/>
        <v>0.99154974900244564</v>
      </c>
      <c r="U1885" s="72">
        <f t="shared" si="712"/>
        <v>1.05</v>
      </c>
    </row>
    <row r="1886" spans="1:21" x14ac:dyDescent="0.25">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0.83850109409190365</v>
      </c>
      <c r="P1886" s="72">
        <f t="shared" si="707"/>
        <v>0</v>
      </c>
      <c r="Q1886" s="72">
        <f t="shared" si="708"/>
        <v>0.875</v>
      </c>
      <c r="R1886" s="72">
        <f t="shared" si="709"/>
        <v>0.125</v>
      </c>
      <c r="S1886" s="72">
        <f t="shared" si="710"/>
        <v>1.0357954691723517</v>
      </c>
      <c r="T1886" s="72">
        <f t="shared" si="711"/>
        <v>0.99117003475350751</v>
      </c>
      <c r="U1886" s="72">
        <f t="shared" si="712"/>
        <v>1.05</v>
      </c>
    </row>
    <row r="1887" spans="1:21" x14ac:dyDescent="0.25">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0.8381783369803063</v>
      </c>
      <c r="P1887" s="72">
        <f t="shared" si="707"/>
        <v>0</v>
      </c>
      <c r="Q1887" s="72">
        <f t="shared" si="708"/>
        <v>0.79166666666666663</v>
      </c>
      <c r="R1887" s="72">
        <f t="shared" si="709"/>
        <v>0.20833333333333337</v>
      </c>
      <c r="S1887" s="72">
        <f t="shared" si="710"/>
        <v>1.0353967692109667</v>
      </c>
      <c r="T1887" s="72">
        <f t="shared" si="711"/>
        <v>0.99079032050456939</v>
      </c>
      <c r="U1887" s="72">
        <f t="shared" si="712"/>
        <v>1.05</v>
      </c>
    </row>
    <row r="1888" spans="1:21" x14ac:dyDescent="0.25">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0.83784463894967176</v>
      </c>
      <c r="P1888" s="72">
        <f t="shared" si="707"/>
        <v>0</v>
      </c>
      <c r="Q1888" s="72">
        <f t="shared" si="708"/>
        <v>0.70833333333333337</v>
      </c>
      <c r="R1888" s="72">
        <f t="shared" si="709"/>
        <v>0.29166666666666663</v>
      </c>
      <c r="S1888" s="72">
        <f t="shared" si="710"/>
        <v>1.0763839361565197</v>
      </c>
      <c r="T1888" s="72">
        <f t="shared" si="711"/>
        <v>0.99039773458617586</v>
      </c>
      <c r="U1888" s="72">
        <f t="shared" si="712"/>
        <v>1.0920000000000001</v>
      </c>
    </row>
    <row r="1889" spans="1:21" x14ac:dyDescent="0.25">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0.83751094091903722</v>
      </c>
      <c r="P1889" s="72">
        <f t="shared" si="707"/>
        <v>0</v>
      </c>
      <c r="Q1889" s="72">
        <f t="shared" si="708"/>
        <v>0.625</v>
      </c>
      <c r="R1889" s="72">
        <f t="shared" si="709"/>
        <v>0.375</v>
      </c>
      <c r="S1889" s="72">
        <f t="shared" si="710"/>
        <v>1.0759552323336339</v>
      </c>
      <c r="T1889" s="72">
        <f t="shared" si="711"/>
        <v>0.99000514866778222</v>
      </c>
      <c r="U1889" s="72">
        <f t="shared" si="712"/>
        <v>1.0920000000000001</v>
      </c>
    </row>
    <row r="1890" spans="1:21" x14ac:dyDescent="0.25">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0.83717724288840256</v>
      </c>
      <c r="P1890" s="72">
        <f t="shared" si="707"/>
        <v>0</v>
      </c>
      <c r="Q1890" s="72">
        <f t="shared" si="708"/>
        <v>0.54166666666666663</v>
      </c>
      <c r="R1890" s="72">
        <f t="shared" si="709"/>
        <v>0.45833333333333337</v>
      </c>
      <c r="S1890" s="72">
        <f t="shared" si="710"/>
        <v>1.0755265285107478</v>
      </c>
      <c r="T1890" s="72">
        <f t="shared" si="711"/>
        <v>0.98961256274938858</v>
      </c>
      <c r="U1890" s="72">
        <f t="shared" si="712"/>
        <v>1.0920000000000001</v>
      </c>
    </row>
    <row r="1891" spans="1:21" x14ac:dyDescent="0.25">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0.83684354485776802</v>
      </c>
      <c r="P1891" s="72">
        <f t="shared" si="707"/>
        <v>0</v>
      </c>
      <c r="Q1891" s="72">
        <f t="shared" si="708"/>
        <v>0.45833333333333331</v>
      </c>
      <c r="R1891" s="72">
        <f t="shared" si="709"/>
        <v>0.54166666666666674</v>
      </c>
      <c r="S1891" s="72">
        <f t="shared" si="710"/>
        <v>1.0750978246878622</v>
      </c>
      <c r="T1891" s="72">
        <f t="shared" si="711"/>
        <v>0.98921997683099494</v>
      </c>
      <c r="U1891" s="72">
        <f t="shared" si="712"/>
        <v>1.0920000000000001</v>
      </c>
    </row>
    <row r="1892" spans="1:21" x14ac:dyDescent="0.25">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0.83650437636761488</v>
      </c>
      <c r="P1892" s="72">
        <f t="shared" si="707"/>
        <v>0</v>
      </c>
      <c r="Q1892" s="72">
        <f t="shared" si="708"/>
        <v>0.375</v>
      </c>
      <c r="R1892" s="72">
        <f t="shared" si="709"/>
        <v>0.625</v>
      </c>
      <c r="S1892" s="72">
        <f t="shared" si="710"/>
        <v>1.0746620929334536</v>
      </c>
      <c r="T1892" s="72">
        <f t="shared" si="711"/>
        <v>0.9888209550778736</v>
      </c>
      <c r="U1892" s="72">
        <f t="shared" si="712"/>
        <v>1.0920000000000001</v>
      </c>
    </row>
    <row r="1893" spans="1:21" x14ac:dyDescent="0.25">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0.83617067833698022</v>
      </c>
      <c r="P1893" s="72">
        <f t="shared" si="707"/>
        <v>0</v>
      </c>
      <c r="Q1893" s="72">
        <f t="shared" si="708"/>
        <v>0.29166666666666669</v>
      </c>
      <c r="R1893" s="72">
        <f t="shared" si="709"/>
        <v>0.70833333333333326</v>
      </c>
      <c r="S1893" s="72">
        <f t="shared" si="710"/>
        <v>1.0742333891105675</v>
      </c>
      <c r="T1893" s="72">
        <f t="shared" si="711"/>
        <v>0.98842836915948007</v>
      </c>
      <c r="U1893" s="72">
        <f t="shared" si="712"/>
        <v>1.0920000000000001</v>
      </c>
    </row>
    <row r="1894" spans="1:21" x14ac:dyDescent="0.25">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0.83583698030634568</v>
      </c>
      <c r="P1894" s="72">
        <f t="shared" si="707"/>
        <v>0</v>
      </c>
      <c r="Q1894" s="72">
        <f t="shared" si="708"/>
        <v>0.20833333333333334</v>
      </c>
      <c r="R1894" s="72">
        <f t="shared" si="709"/>
        <v>0.79166666666666663</v>
      </c>
      <c r="S1894" s="72">
        <f t="shared" si="710"/>
        <v>1.0738046852876819</v>
      </c>
      <c r="T1894" s="72">
        <f t="shared" si="711"/>
        <v>1.0374375724031406</v>
      </c>
      <c r="U1894" s="72">
        <f t="shared" si="712"/>
        <v>1.0920000000000001</v>
      </c>
    </row>
    <row r="1895" spans="1:21" x14ac:dyDescent="0.25">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0.83550328227571113</v>
      </c>
      <c r="P1895" s="72">
        <f t="shared" si="707"/>
        <v>0</v>
      </c>
      <c r="Q1895" s="72">
        <f t="shared" si="708"/>
        <v>0.125</v>
      </c>
      <c r="R1895" s="72">
        <f t="shared" si="709"/>
        <v>0.875</v>
      </c>
      <c r="S1895" s="72">
        <f t="shared" si="710"/>
        <v>1.0733759814647961</v>
      </c>
      <c r="T1895" s="72">
        <f t="shared" si="711"/>
        <v>1.0370253571888273</v>
      </c>
      <c r="U1895" s="72">
        <f t="shared" si="712"/>
        <v>1.0920000000000001</v>
      </c>
    </row>
    <row r="1896" spans="1:21" x14ac:dyDescent="0.25">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0.83516958424507659</v>
      </c>
      <c r="P1896" s="72">
        <f t="shared" si="707"/>
        <v>0</v>
      </c>
      <c r="Q1896" s="72">
        <f t="shared" si="708"/>
        <v>4.1666666666666664E-2</v>
      </c>
      <c r="R1896" s="72">
        <f t="shared" si="709"/>
        <v>0.95833333333333337</v>
      </c>
      <c r="S1896" s="72">
        <f t="shared" si="710"/>
        <v>1.0729472776419102</v>
      </c>
      <c r="T1896" s="72">
        <f t="shared" si="711"/>
        <v>1.0366131419745142</v>
      </c>
      <c r="U1896" s="72">
        <f t="shared" si="712"/>
        <v>1.0920000000000001</v>
      </c>
    </row>
    <row r="1897" spans="1:21" x14ac:dyDescent="0.25">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0.83499999999999996</v>
      </c>
      <c r="P1897" s="72">
        <f t="shared" si="707"/>
        <v>0</v>
      </c>
      <c r="Q1897" s="72">
        <f t="shared" si="708"/>
        <v>0</v>
      </c>
      <c r="R1897" s="72">
        <f t="shared" si="709"/>
        <v>0.95833333333333337</v>
      </c>
      <c r="S1897" s="72">
        <f t="shared" si="710"/>
        <v>1.0727294117647059</v>
      </c>
      <c r="T1897" s="72">
        <f t="shared" si="711"/>
        <v>0.99154974900244564</v>
      </c>
      <c r="U1897" s="72">
        <f t="shared" si="712"/>
        <v>1.0920000000000001</v>
      </c>
    </row>
    <row r="1898" spans="1:21" x14ac:dyDescent="0.25">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0.83499999999999996</v>
      </c>
      <c r="P1898" s="72">
        <f t="shared" si="707"/>
        <v>0</v>
      </c>
      <c r="Q1898" s="72">
        <f t="shared" si="708"/>
        <v>0</v>
      </c>
      <c r="R1898" s="72">
        <f t="shared" si="709"/>
        <v>0.875</v>
      </c>
      <c r="S1898" s="72">
        <f t="shared" si="710"/>
        <v>1.0727294117647059</v>
      </c>
      <c r="T1898" s="72">
        <f t="shared" si="711"/>
        <v>0.99117003475350751</v>
      </c>
      <c r="U1898" s="72">
        <f t="shared" si="712"/>
        <v>1.0920000000000001</v>
      </c>
    </row>
    <row r="1899" spans="1:21" x14ac:dyDescent="0.25">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0.83499999999999996</v>
      </c>
      <c r="P1899" s="72">
        <f t="shared" si="707"/>
        <v>0</v>
      </c>
      <c r="Q1899" s="72">
        <f t="shared" si="708"/>
        <v>0</v>
      </c>
      <c r="R1899" s="72">
        <f t="shared" si="709"/>
        <v>0.79166666666666663</v>
      </c>
      <c r="S1899" s="72">
        <f t="shared" si="710"/>
        <v>1.0727294117647059</v>
      </c>
      <c r="T1899" s="72">
        <f t="shared" si="711"/>
        <v>0.99079032050456939</v>
      </c>
      <c r="U1899" s="72">
        <f t="shared" si="712"/>
        <v>1.0920000000000001</v>
      </c>
    </row>
    <row r="1900" spans="1:21" x14ac:dyDescent="0.25">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0.83499999999999996</v>
      </c>
      <c r="P1900" s="72">
        <f t="shared" si="707"/>
        <v>0</v>
      </c>
      <c r="Q1900" s="72">
        <f t="shared" si="708"/>
        <v>0</v>
      </c>
      <c r="R1900" s="72">
        <f t="shared" si="709"/>
        <v>0.70833333333333337</v>
      </c>
      <c r="S1900" s="72">
        <f t="shared" si="710"/>
        <v>1.0727294117647059</v>
      </c>
      <c r="T1900" s="72">
        <f t="shared" si="711"/>
        <v>0.99039773458617586</v>
      </c>
      <c r="U1900" s="72">
        <f t="shared" si="712"/>
        <v>1.0920000000000001</v>
      </c>
    </row>
    <row r="1901" spans="1:21" x14ac:dyDescent="0.25">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0.83499999999999996</v>
      </c>
      <c r="P1901" s="72">
        <f t="shared" si="707"/>
        <v>0</v>
      </c>
      <c r="Q1901" s="72">
        <f t="shared" si="708"/>
        <v>0</v>
      </c>
      <c r="R1901" s="72">
        <f t="shared" si="709"/>
        <v>0.625</v>
      </c>
      <c r="S1901" s="72">
        <f t="shared" si="710"/>
        <v>1.0727294117647059</v>
      </c>
      <c r="T1901" s="72">
        <f t="shared" si="711"/>
        <v>0.99000514866778222</v>
      </c>
      <c r="U1901" s="72">
        <f t="shared" si="712"/>
        <v>1.0920000000000001</v>
      </c>
    </row>
    <row r="1902" spans="1:21" x14ac:dyDescent="0.25">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0.83499999999999996</v>
      </c>
      <c r="P1902" s="72">
        <f t="shared" si="707"/>
        <v>0</v>
      </c>
      <c r="Q1902" s="72">
        <f t="shared" si="708"/>
        <v>0</v>
      </c>
      <c r="R1902" s="72">
        <f t="shared" si="709"/>
        <v>0.54166666666666663</v>
      </c>
      <c r="S1902" s="72">
        <f t="shared" si="710"/>
        <v>1.0727294117647059</v>
      </c>
      <c r="T1902" s="72">
        <f t="shared" si="711"/>
        <v>0.98961256274938858</v>
      </c>
      <c r="U1902" s="72">
        <f t="shared" si="712"/>
        <v>1.0920000000000001</v>
      </c>
    </row>
    <row r="1903" spans="1:21" x14ac:dyDescent="0.25">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0.83499999999999996</v>
      </c>
      <c r="P1903" s="72">
        <f t="shared" si="707"/>
        <v>0</v>
      </c>
      <c r="Q1903" s="72">
        <f t="shared" si="708"/>
        <v>0</v>
      </c>
      <c r="R1903" s="72">
        <f t="shared" si="709"/>
        <v>0.45833333333333331</v>
      </c>
      <c r="S1903" s="72">
        <f t="shared" si="710"/>
        <v>1.0727294117647059</v>
      </c>
      <c r="T1903" s="72">
        <f t="shared" si="711"/>
        <v>0.98921997683099494</v>
      </c>
      <c r="U1903" s="72">
        <f t="shared" si="712"/>
        <v>1.0920000000000001</v>
      </c>
    </row>
    <row r="1904" spans="1:21" x14ac:dyDescent="0.25">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0.83499999999999996</v>
      </c>
      <c r="P1904" s="72">
        <f t="shared" si="707"/>
        <v>0</v>
      </c>
      <c r="Q1904" s="72">
        <f t="shared" si="708"/>
        <v>0</v>
      </c>
      <c r="R1904" s="72">
        <f t="shared" si="709"/>
        <v>0.375</v>
      </c>
      <c r="S1904" s="72">
        <f t="shared" si="710"/>
        <v>1.0727294117647059</v>
      </c>
      <c r="T1904" s="72">
        <f t="shared" si="711"/>
        <v>0.9888209550778736</v>
      </c>
      <c r="U1904" s="72">
        <f t="shared" si="712"/>
        <v>1.0920000000000001</v>
      </c>
    </row>
    <row r="1905" spans="1:21" x14ac:dyDescent="0.25">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0.83499999999999996</v>
      </c>
      <c r="P1905" s="72">
        <f t="shared" si="707"/>
        <v>0</v>
      </c>
      <c r="Q1905" s="72">
        <f t="shared" si="708"/>
        <v>0</v>
      </c>
      <c r="R1905" s="72">
        <f t="shared" si="709"/>
        <v>0.29166666666666669</v>
      </c>
      <c r="S1905" s="72">
        <f t="shared" si="710"/>
        <v>1.0727294117647059</v>
      </c>
      <c r="T1905" s="72">
        <f t="shared" si="711"/>
        <v>0.98842836915948007</v>
      </c>
      <c r="U1905" s="72">
        <f t="shared" si="712"/>
        <v>1.0920000000000001</v>
      </c>
    </row>
    <row r="1906" spans="1:21" x14ac:dyDescent="0.25">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0.83499999999999996</v>
      </c>
      <c r="P1906" s="72">
        <f t="shared" si="707"/>
        <v>0</v>
      </c>
      <c r="Q1906" s="72">
        <f t="shared" si="708"/>
        <v>0</v>
      </c>
      <c r="R1906" s="72">
        <f t="shared" si="709"/>
        <v>0.20833333333333334</v>
      </c>
      <c r="S1906" s="72">
        <f t="shared" si="710"/>
        <v>1.0727294117647059</v>
      </c>
      <c r="T1906" s="72">
        <f t="shared" si="711"/>
        <v>1.0374375724031406</v>
      </c>
      <c r="U1906" s="72">
        <f t="shared" si="712"/>
        <v>1.0920000000000001</v>
      </c>
    </row>
    <row r="1907" spans="1:21" x14ac:dyDescent="0.25">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0.83499999999999996</v>
      </c>
      <c r="P1907" s="72">
        <f t="shared" si="707"/>
        <v>0</v>
      </c>
      <c r="Q1907" s="72">
        <f t="shared" si="708"/>
        <v>0</v>
      </c>
      <c r="R1907" s="72">
        <f t="shared" si="709"/>
        <v>0.125</v>
      </c>
      <c r="S1907" s="72">
        <f t="shared" si="710"/>
        <v>1.0727294117647059</v>
      </c>
      <c r="T1907" s="72">
        <f t="shared" si="711"/>
        <v>1.0370253571888273</v>
      </c>
      <c r="U1907" s="72">
        <f t="shared" si="712"/>
        <v>1.0920000000000001</v>
      </c>
    </row>
    <row r="1908" spans="1:21" x14ac:dyDescent="0.25">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0.83499999999999996</v>
      </c>
      <c r="P1908" s="72">
        <f t="shared" si="707"/>
        <v>0</v>
      </c>
      <c r="Q1908" s="72">
        <f t="shared" si="708"/>
        <v>0</v>
      </c>
      <c r="R1908" s="72">
        <f t="shared" si="709"/>
        <v>4.1666666666666664E-2</v>
      </c>
      <c r="S1908" s="72">
        <f t="shared" si="710"/>
        <v>1.0727294117647059</v>
      </c>
      <c r="T1908" s="72">
        <f t="shared" si="711"/>
        <v>1.0366131419745142</v>
      </c>
      <c r="U1908" s="72">
        <f t="shared" si="712"/>
        <v>1.0920000000000001</v>
      </c>
    </row>
    <row r="1909" spans="1:21" x14ac:dyDescent="0.25">
      <c r="A1909" s="77" t="s">
        <v>1209</v>
      </c>
      <c r="B1909" s="50">
        <f>EXP(SUMPRODUCT((rl_key=$A$1858)*(rl_cons="Y")*rl_ln1p))</f>
        <v>1.05</v>
      </c>
      <c r="C1909" s="50">
        <f>SUMPRODUCT($H$1861:$H$1908,$P$1861:$P$1908,$U$1861:$U$1908)/SUMPRODUCT($H$1861:$H$1908,$P$1861:$P$1908)</f>
        <v>1.0015624999999999</v>
      </c>
      <c r="D1909" s="50">
        <f>SUMPRODUCT($H$1861:$H$1908,$Q$1861:$Q$1908,$U$1861:$U$1908)/SUMPRODUCT($H$1861:$H$1908,$Q$1861:$Q$1908)</f>
        <v>1.04775</v>
      </c>
      <c r="E1909" s="50">
        <f>SUMPRODUCT($H$1861:$H$1908,$R$1861:$R$1908,$U$1861:$U$1908)/SUMPRODUCT($H$1861:$H$1908,$R$1861:$R$1908)</f>
        <v>1.0906875</v>
      </c>
      <c r="F1909" s="169">
        <f>SUMPRODUCT($H$1861:$H$1908,$Q$1861:$Q$1908,$O$1861:$O$1908)/SUMPRODUCT($H$1861:$H$1908,$Q$1861:$Q$1908)</f>
        <v>0.83900209700948214</v>
      </c>
      <c r="G1909" s="169">
        <f>SUMPRODUCT($H$1861:$H$1908,$R$1861:$R$1908,$O$1861:$O$1908)/SUMPRODUCT($H$1861:$H$1908,$R$1861:$R$1908)</f>
        <v>0.8356718218149769</v>
      </c>
    </row>
    <row r="1912" spans="1:21" x14ac:dyDescent="0.25">
      <c r="A1912" s="77" t="str">
        <f>INDEX(lr_key,35)</f>
        <v>BU-B|MO</v>
      </c>
      <c r="B1912" s="77" t="str">
        <f>INDEX(lr_state,35)</f>
        <v>MO</v>
      </c>
      <c r="C1912" s="52">
        <f>nr_TermMonths</f>
        <v>12</v>
      </c>
      <c r="D1912" s="52">
        <f>IF(COUNTIF(se_state,$B1912)=0,0,MATCH($B1912,se_state,0))</f>
        <v>0</v>
      </c>
      <c r="E1912" s="54">
        <f>IF($D1912=0,0,INDEX(se_sum,$D1912))</f>
        <v>0</v>
      </c>
      <c r="F1912" s="169">
        <f>IF(N(INDEX(lr_mind,35))=0,1,INDEX(lr_mind,35))</f>
        <v>0.85</v>
      </c>
      <c r="G1912" s="169">
        <f>IF(N(INDEX(lr_m0,35))=0,1,INDEX(lr_m0,35))</f>
        <v>0.84</v>
      </c>
      <c r="H1912" s="51">
        <f>IF(N(INDEX(lr_m0asof,35))=0,DATE(nr_PlanYear-1,10,1),INDEX(lr_m0asof,35))</f>
        <v>46295</v>
      </c>
      <c r="I1912" s="169">
        <f>IF(N(INDEX(lr_m1,35))=0,1,INDEX(lr_m1,35))</f>
        <v>0.85</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25">
      <c r="A1913" s="77">
        <f>EDATE($H$1912,-12)+1</f>
        <v>45931</v>
      </c>
      <c r="B1913" s="77">
        <f>$H$1912+1</f>
        <v>46296</v>
      </c>
      <c r="C1913" s="77">
        <f>DATE(nr_PlanYear,12,31)+1</f>
        <v>46753</v>
      </c>
      <c r="D1913" s="77">
        <f>DATE(nr_PlanYear+1,12,31)+1</f>
        <v>47119</v>
      </c>
      <c r="E1913" s="77">
        <f>IF(N($J$1912)=0,$F$1913-($G$1913-$F$1913)/($C$1913-$B$1913)*($B$1913-$A$1913),$J$1912)</f>
        <v>0.83201312910284464</v>
      </c>
      <c r="F1913" s="77">
        <f>$G$1912</f>
        <v>0.84</v>
      </c>
      <c r="G1913" s="77">
        <f>$I$1912</f>
        <v>0.85</v>
      </c>
      <c r="H1913" s="77">
        <f>IF(N($K$1912)=0,$I$1912,$K$1912)</f>
        <v>0.85</v>
      </c>
      <c r="I1913" s="77">
        <f>($F$1913-$E$1913)/($B$1913-$A$1913)</f>
        <v>2.1881838074398162E-5</v>
      </c>
      <c r="J1913" s="77">
        <f>($G$1913-$F$1913)/($C$1913-$B$1913)</f>
        <v>2.188183807439827E-5</v>
      </c>
      <c r="K1913" s="77">
        <f>($H$1913-$G$1913)/($D$1913-$C$1913)</f>
        <v>0</v>
      </c>
    </row>
    <row r="1914" spans="1:21" ht="24" x14ac:dyDescent="0.25">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25">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0.82637855579868713</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0.97221006564551427</v>
      </c>
      <c r="T1915" s="72">
        <f t="shared" ref="T1915:T1962" si="731">IF($G1915&lt;nr_MStartP,$S1915,$T1903*(1+IF($G1915&lt;nr_MStartP1,$M$1912,$N$1912)))</f>
        <v>0.97221006564551427</v>
      </c>
      <c r="U1915" s="72">
        <f t="shared" ref="U1915:U1962" si="732">IF($L$1912,$T1915,$N1915)</f>
        <v>1</v>
      </c>
    </row>
    <row r="1916" spans="1:21" x14ac:dyDescent="0.25">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0.82702407002188183</v>
      </c>
      <c r="P1916" s="72">
        <f t="shared" si="727"/>
        <v>0.125</v>
      </c>
      <c r="Q1916" s="72">
        <f t="shared" si="728"/>
        <v>0</v>
      </c>
      <c r="R1916" s="72">
        <f t="shared" si="729"/>
        <v>0</v>
      </c>
      <c r="S1916" s="72">
        <f t="shared" si="730"/>
        <v>0.9729694941433904</v>
      </c>
      <c r="T1916" s="72">
        <f t="shared" si="731"/>
        <v>0.9729694941433904</v>
      </c>
      <c r="U1916" s="72">
        <f t="shared" si="732"/>
        <v>1</v>
      </c>
    </row>
    <row r="1917" spans="1:21" x14ac:dyDescent="0.25">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0.82766958424507664</v>
      </c>
      <c r="P1917" s="72">
        <f t="shared" si="727"/>
        <v>0.20833333333333337</v>
      </c>
      <c r="Q1917" s="72">
        <f t="shared" si="728"/>
        <v>0</v>
      </c>
      <c r="R1917" s="72">
        <f t="shared" si="729"/>
        <v>0</v>
      </c>
      <c r="S1917" s="72">
        <f t="shared" si="730"/>
        <v>0.97372892264126665</v>
      </c>
      <c r="T1917" s="72">
        <f t="shared" si="731"/>
        <v>0.97372892264126665</v>
      </c>
      <c r="U1917" s="72">
        <f t="shared" si="732"/>
        <v>1</v>
      </c>
    </row>
    <row r="1918" spans="1:21" x14ac:dyDescent="0.25">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0.82833698030634573</v>
      </c>
      <c r="P1918" s="72">
        <f t="shared" si="727"/>
        <v>0.29166666666666663</v>
      </c>
      <c r="Q1918" s="72">
        <f t="shared" si="728"/>
        <v>0</v>
      </c>
      <c r="R1918" s="72">
        <f t="shared" si="729"/>
        <v>0</v>
      </c>
      <c r="S1918" s="72">
        <f t="shared" si="730"/>
        <v>0.97451409447805382</v>
      </c>
      <c r="T1918" s="72">
        <f t="shared" si="731"/>
        <v>0.97451409447805382</v>
      </c>
      <c r="U1918" s="72">
        <f t="shared" si="732"/>
        <v>1</v>
      </c>
    </row>
    <row r="1919" spans="1:21" x14ac:dyDescent="0.25">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0.82900437636761493</v>
      </c>
      <c r="P1919" s="72">
        <f t="shared" si="727"/>
        <v>0.375</v>
      </c>
      <c r="Q1919" s="72">
        <f t="shared" si="728"/>
        <v>0</v>
      </c>
      <c r="R1919" s="72">
        <f t="shared" si="729"/>
        <v>0</v>
      </c>
      <c r="S1919" s="72">
        <f t="shared" si="730"/>
        <v>0.9752992663148411</v>
      </c>
      <c r="T1919" s="72">
        <f t="shared" si="731"/>
        <v>0.9752992663148411</v>
      </c>
      <c r="U1919" s="72">
        <f t="shared" si="732"/>
        <v>1</v>
      </c>
    </row>
    <row r="1920" spans="1:21" x14ac:dyDescent="0.25">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0.82967177242888401</v>
      </c>
      <c r="P1920" s="72">
        <f t="shared" si="727"/>
        <v>0.45833333333333337</v>
      </c>
      <c r="Q1920" s="72">
        <f t="shared" si="728"/>
        <v>0</v>
      </c>
      <c r="R1920" s="72">
        <f t="shared" si="729"/>
        <v>0</v>
      </c>
      <c r="S1920" s="72">
        <f t="shared" si="730"/>
        <v>0.97608443815162826</v>
      </c>
      <c r="T1920" s="72">
        <f t="shared" si="731"/>
        <v>0.97608443815162826</v>
      </c>
      <c r="U1920" s="72">
        <f t="shared" si="732"/>
        <v>1</v>
      </c>
    </row>
    <row r="1921" spans="1:21" x14ac:dyDescent="0.25">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0.83033916849015321</v>
      </c>
      <c r="P1921" s="72">
        <f t="shared" si="727"/>
        <v>0.54166666666666674</v>
      </c>
      <c r="Q1921" s="72">
        <f t="shared" si="728"/>
        <v>0</v>
      </c>
      <c r="R1921" s="72">
        <f t="shared" si="729"/>
        <v>0</v>
      </c>
      <c r="S1921" s="72">
        <f t="shared" si="730"/>
        <v>0.97686960998841554</v>
      </c>
      <c r="T1921" s="72">
        <f t="shared" si="731"/>
        <v>0.97686960998841554</v>
      </c>
      <c r="U1921" s="72">
        <f t="shared" si="732"/>
        <v>1</v>
      </c>
    </row>
    <row r="1922" spans="1:21" x14ac:dyDescent="0.25">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0.83101750547045949</v>
      </c>
      <c r="P1922" s="72">
        <f t="shared" si="727"/>
        <v>0.625</v>
      </c>
      <c r="Q1922" s="72">
        <f t="shared" si="728"/>
        <v>0</v>
      </c>
      <c r="R1922" s="72">
        <f t="shared" si="729"/>
        <v>0</v>
      </c>
      <c r="S1922" s="72">
        <f t="shared" si="730"/>
        <v>0.97766765349465823</v>
      </c>
      <c r="T1922" s="72">
        <f t="shared" si="731"/>
        <v>0.97766765349465823</v>
      </c>
      <c r="U1922" s="72">
        <f t="shared" si="732"/>
        <v>1</v>
      </c>
    </row>
    <row r="1923" spans="1:21" x14ac:dyDescent="0.25">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0.83168490153172869</v>
      </c>
      <c r="P1923" s="72">
        <f t="shared" si="727"/>
        <v>0.70833333333333326</v>
      </c>
      <c r="Q1923" s="72">
        <f t="shared" si="728"/>
        <v>0</v>
      </c>
      <c r="R1923" s="72">
        <f t="shared" si="729"/>
        <v>0</v>
      </c>
      <c r="S1923" s="72">
        <f t="shared" si="730"/>
        <v>0.97845282533144551</v>
      </c>
      <c r="T1923" s="72">
        <f t="shared" si="731"/>
        <v>0.97845282533144551</v>
      </c>
      <c r="U1923" s="72">
        <f t="shared" si="732"/>
        <v>1</v>
      </c>
    </row>
    <row r="1924" spans="1:21" x14ac:dyDescent="0.25">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0.83235229759299778</v>
      </c>
      <c r="P1924" s="72">
        <f t="shared" si="727"/>
        <v>0.79166666666666663</v>
      </c>
      <c r="Q1924" s="72">
        <f t="shared" si="728"/>
        <v>0</v>
      </c>
      <c r="R1924" s="72">
        <f t="shared" si="729"/>
        <v>0</v>
      </c>
      <c r="S1924" s="72">
        <f t="shared" si="730"/>
        <v>0.97923799716823268</v>
      </c>
      <c r="T1924" s="72">
        <f t="shared" si="731"/>
        <v>0.97923799716823268</v>
      </c>
      <c r="U1924" s="72">
        <f t="shared" si="732"/>
        <v>1</v>
      </c>
    </row>
    <row r="1925" spans="1:21" x14ac:dyDescent="0.25">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0.83301969365426698</v>
      </c>
      <c r="P1925" s="72">
        <f t="shared" si="727"/>
        <v>0.875</v>
      </c>
      <c r="Q1925" s="72">
        <f t="shared" si="728"/>
        <v>0</v>
      </c>
      <c r="R1925" s="72">
        <f t="shared" si="729"/>
        <v>0</v>
      </c>
      <c r="S1925" s="72">
        <f t="shared" si="730"/>
        <v>0.98002316900501996</v>
      </c>
      <c r="T1925" s="72">
        <f t="shared" si="731"/>
        <v>0.98002316900501996</v>
      </c>
      <c r="U1925" s="72">
        <f t="shared" si="732"/>
        <v>1</v>
      </c>
    </row>
    <row r="1926" spans="1:21" x14ac:dyDescent="0.25">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0.83368708971553607</v>
      </c>
      <c r="P1926" s="72">
        <f t="shared" si="727"/>
        <v>0.95833333333333337</v>
      </c>
      <c r="Q1926" s="72">
        <f t="shared" si="728"/>
        <v>0</v>
      </c>
      <c r="R1926" s="72">
        <f t="shared" si="729"/>
        <v>0</v>
      </c>
      <c r="S1926" s="72">
        <f t="shared" si="730"/>
        <v>0.98080834084180712</v>
      </c>
      <c r="T1926" s="72">
        <f t="shared" si="731"/>
        <v>0.98080834084180712</v>
      </c>
      <c r="U1926" s="72">
        <f t="shared" si="732"/>
        <v>1</v>
      </c>
    </row>
    <row r="1927" spans="1:21" x14ac:dyDescent="0.25">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0.83436542669584246</v>
      </c>
      <c r="P1927" s="72">
        <f t="shared" si="727"/>
        <v>0.95833333333333337</v>
      </c>
      <c r="Q1927" s="72">
        <f t="shared" si="728"/>
        <v>4.166666666666663E-2</v>
      </c>
      <c r="R1927" s="72">
        <f t="shared" si="729"/>
        <v>0</v>
      </c>
      <c r="S1927" s="72">
        <f t="shared" si="730"/>
        <v>0.98160638434805003</v>
      </c>
      <c r="T1927" s="72">
        <f t="shared" si="731"/>
        <v>0.98160638434805003</v>
      </c>
      <c r="U1927" s="72">
        <f t="shared" si="732"/>
        <v>1</v>
      </c>
    </row>
    <row r="1928" spans="1:21" x14ac:dyDescent="0.25">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0.83501094091903716</v>
      </c>
      <c r="P1928" s="72">
        <f t="shared" si="727"/>
        <v>0.875</v>
      </c>
      <c r="Q1928" s="72">
        <f t="shared" si="728"/>
        <v>0.125</v>
      </c>
      <c r="R1928" s="72">
        <f t="shared" si="729"/>
        <v>0</v>
      </c>
      <c r="S1928" s="72">
        <f t="shared" si="730"/>
        <v>0.98236581284592606</v>
      </c>
      <c r="T1928" s="72">
        <f t="shared" si="731"/>
        <v>0.98236581284592606</v>
      </c>
      <c r="U1928" s="72">
        <f t="shared" si="732"/>
        <v>1</v>
      </c>
    </row>
    <row r="1929" spans="1:21" x14ac:dyDescent="0.25">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0.83565645514223197</v>
      </c>
      <c r="P1929" s="72">
        <f t="shared" si="727"/>
        <v>0.79166666666666663</v>
      </c>
      <c r="Q1929" s="72">
        <f t="shared" si="728"/>
        <v>0.20833333333333337</v>
      </c>
      <c r="R1929" s="72">
        <f t="shared" si="729"/>
        <v>0</v>
      </c>
      <c r="S1929" s="72">
        <f t="shared" si="730"/>
        <v>0.9831252413438023</v>
      </c>
      <c r="T1929" s="72">
        <f t="shared" si="731"/>
        <v>0.9831252413438023</v>
      </c>
      <c r="U1929" s="72">
        <f t="shared" si="732"/>
        <v>1</v>
      </c>
    </row>
    <row r="1930" spans="1:21" x14ac:dyDescent="0.25">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0.83632385120350106</v>
      </c>
      <c r="P1930" s="72">
        <f t="shared" si="727"/>
        <v>0.70833333333333337</v>
      </c>
      <c r="Q1930" s="72">
        <f t="shared" si="728"/>
        <v>0.29166666666666663</v>
      </c>
      <c r="R1930" s="72">
        <f t="shared" si="729"/>
        <v>0</v>
      </c>
      <c r="S1930" s="72">
        <f t="shared" si="730"/>
        <v>0.98391041318058947</v>
      </c>
      <c r="T1930" s="72">
        <f t="shared" si="731"/>
        <v>0.98391041318058947</v>
      </c>
      <c r="U1930" s="72">
        <f t="shared" si="732"/>
        <v>1</v>
      </c>
    </row>
    <row r="1931" spans="1:21" x14ac:dyDescent="0.25">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0.83699124726477026</v>
      </c>
      <c r="P1931" s="72">
        <f t="shared" si="727"/>
        <v>0.625</v>
      </c>
      <c r="Q1931" s="72">
        <f t="shared" si="728"/>
        <v>0.375</v>
      </c>
      <c r="R1931" s="72">
        <f t="shared" si="729"/>
        <v>0</v>
      </c>
      <c r="S1931" s="72">
        <f t="shared" si="730"/>
        <v>0.98469558501737675</v>
      </c>
      <c r="T1931" s="72">
        <f t="shared" si="731"/>
        <v>0.98469558501737675</v>
      </c>
      <c r="U1931" s="72">
        <f t="shared" si="732"/>
        <v>1</v>
      </c>
    </row>
    <row r="1932" spans="1:21" x14ac:dyDescent="0.25">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0.83765864332603934</v>
      </c>
      <c r="P1932" s="72">
        <f t="shared" si="727"/>
        <v>0.54166666666666663</v>
      </c>
      <c r="Q1932" s="72">
        <f t="shared" si="728"/>
        <v>0.45833333333333337</v>
      </c>
      <c r="R1932" s="72">
        <f t="shared" si="729"/>
        <v>0</v>
      </c>
      <c r="S1932" s="72">
        <f t="shared" si="730"/>
        <v>0.98548075685416392</v>
      </c>
      <c r="T1932" s="72">
        <f t="shared" si="731"/>
        <v>0.98548075685416392</v>
      </c>
      <c r="U1932" s="72">
        <f t="shared" si="732"/>
        <v>1</v>
      </c>
    </row>
    <row r="1933" spans="1:21" x14ac:dyDescent="0.25">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0.83832603938730854</v>
      </c>
      <c r="P1933" s="72">
        <f t="shared" si="727"/>
        <v>0.45833333333333331</v>
      </c>
      <c r="Q1933" s="72">
        <f t="shared" si="728"/>
        <v>0.54166666666666674</v>
      </c>
      <c r="R1933" s="72">
        <f t="shared" si="729"/>
        <v>0</v>
      </c>
      <c r="S1933" s="72">
        <f t="shared" si="730"/>
        <v>0.9862659286909512</v>
      </c>
      <c r="T1933" s="72">
        <f t="shared" si="731"/>
        <v>0.9862659286909512</v>
      </c>
      <c r="U1933" s="72">
        <f t="shared" si="732"/>
        <v>1</v>
      </c>
    </row>
    <row r="1934" spans="1:21" x14ac:dyDescent="0.25">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0.83900437636761482</v>
      </c>
      <c r="P1934" s="72">
        <f t="shared" si="727"/>
        <v>0.375</v>
      </c>
      <c r="Q1934" s="72">
        <f t="shared" si="728"/>
        <v>0.625</v>
      </c>
      <c r="R1934" s="72">
        <f t="shared" si="729"/>
        <v>0</v>
      </c>
      <c r="S1934" s="72">
        <f t="shared" si="730"/>
        <v>0.98706397219719388</v>
      </c>
      <c r="T1934" s="72">
        <f t="shared" si="731"/>
        <v>0.98706397219719388</v>
      </c>
      <c r="U1934" s="72">
        <f t="shared" si="732"/>
        <v>1</v>
      </c>
    </row>
    <row r="1935" spans="1:21" x14ac:dyDescent="0.25">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0.83967177242888402</v>
      </c>
      <c r="P1935" s="72">
        <f t="shared" si="727"/>
        <v>0.29166666666666669</v>
      </c>
      <c r="Q1935" s="72">
        <f t="shared" si="728"/>
        <v>0.70833333333333326</v>
      </c>
      <c r="R1935" s="72">
        <f t="shared" si="729"/>
        <v>0</v>
      </c>
      <c r="S1935" s="72">
        <f t="shared" si="730"/>
        <v>0.98784914403398127</v>
      </c>
      <c r="T1935" s="72">
        <f t="shared" si="731"/>
        <v>0.98784914403398127</v>
      </c>
      <c r="U1935" s="72">
        <f t="shared" si="732"/>
        <v>1</v>
      </c>
    </row>
    <row r="1936" spans="1:21" x14ac:dyDescent="0.25">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0.84033916849015311</v>
      </c>
      <c r="P1936" s="72">
        <f t="shared" si="727"/>
        <v>0.20833333333333334</v>
      </c>
      <c r="Q1936" s="72">
        <f t="shared" si="728"/>
        <v>0.79166666666666663</v>
      </c>
      <c r="R1936" s="72">
        <f t="shared" si="729"/>
        <v>0</v>
      </c>
      <c r="S1936" s="72">
        <f t="shared" si="730"/>
        <v>0.98863431587076844</v>
      </c>
      <c r="T1936" s="72">
        <f t="shared" si="731"/>
        <v>0.98863431587076844</v>
      </c>
      <c r="U1936" s="72">
        <f t="shared" si="732"/>
        <v>1</v>
      </c>
    </row>
    <row r="1937" spans="1:21" x14ac:dyDescent="0.25">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0.84100656455142231</v>
      </c>
      <c r="P1937" s="72">
        <f t="shared" si="727"/>
        <v>0.125</v>
      </c>
      <c r="Q1937" s="72">
        <f t="shared" si="728"/>
        <v>0.875</v>
      </c>
      <c r="R1937" s="72">
        <f t="shared" si="729"/>
        <v>0</v>
      </c>
      <c r="S1937" s="72">
        <f t="shared" si="730"/>
        <v>1.0487846569700092</v>
      </c>
      <c r="T1937" s="72">
        <f t="shared" si="731"/>
        <v>1.0487846569700092</v>
      </c>
      <c r="U1937" s="72">
        <f t="shared" si="732"/>
        <v>1.06</v>
      </c>
    </row>
    <row r="1938" spans="1:21" x14ac:dyDescent="0.25">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0.8416739606126914</v>
      </c>
      <c r="P1938" s="72">
        <f t="shared" si="727"/>
        <v>4.1666666666666664E-2</v>
      </c>
      <c r="Q1938" s="72">
        <f t="shared" si="728"/>
        <v>0.95833333333333337</v>
      </c>
      <c r="R1938" s="72">
        <f t="shared" si="729"/>
        <v>0</v>
      </c>
      <c r="S1938" s="72">
        <f t="shared" si="730"/>
        <v>1.0496169391170036</v>
      </c>
      <c r="T1938" s="72">
        <f t="shared" si="731"/>
        <v>1.0496169391170036</v>
      </c>
      <c r="U1938" s="72">
        <f t="shared" si="732"/>
        <v>1.06</v>
      </c>
    </row>
    <row r="1939" spans="1:21" x14ac:dyDescent="0.25">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0.84235229759299779</v>
      </c>
      <c r="P1939" s="72">
        <f t="shared" si="727"/>
        <v>0</v>
      </c>
      <c r="Q1939" s="72">
        <f t="shared" si="728"/>
        <v>0.95833333333333337</v>
      </c>
      <c r="R1939" s="72">
        <f t="shared" si="729"/>
        <v>4.166666666666663E-2</v>
      </c>
      <c r="S1939" s="72">
        <f t="shared" si="730"/>
        <v>1.050462865233621</v>
      </c>
      <c r="T1939" s="72">
        <f t="shared" si="731"/>
        <v>0.98160638434805003</v>
      </c>
      <c r="U1939" s="72">
        <f t="shared" si="732"/>
        <v>1.06</v>
      </c>
    </row>
    <row r="1940" spans="1:21" x14ac:dyDescent="0.25">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0.84299781181619249</v>
      </c>
      <c r="P1940" s="72">
        <f t="shared" si="727"/>
        <v>0</v>
      </c>
      <c r="Q1940" s="72">
        <f t="shared" si="728"/>
        <v>0.875</v>
      </c>
      <c r="R1940" s="72">
        <f t="shared" si="729"/>
        <v>0.125</v>
      </c>
      <c r="S1940" s="72">
        <f t="shared" si="730"/>
        <v>1.0512678594413696</v>
      </c>
      <c r="T1940" s="72">
        <f t="shared" si="731"/>
        <v>0.98236581284592606</v>
      </c>
      <c r="U1940" s="72">
        <f t="shared" si="732"/>
        <v>1.06</v>
      </c>
    </row>
    <row r="1941" spans="1:21" x14ac:dyDescent="0.25">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0.8436433260393873</v>
      </c>
      <c r="P1941" s="72">
        <f t="shared" si="727"/>
        <v>0</v>
      </c>
      <c r="Q1941" s="72">
        <f t="shared" si="728"/>
        <v>0.79166666666666663</v>
      </c>
      <c r="R1941" s="72">
        <f t="shared" si="729"/>
        <v>0.20833333333333337</v>
      </c>
      <c r="S1941" s="72">
        <f t="shared" si="730"/>
        <v>1.0520728536491184</v>
      </c>
      <c r="T1941" s="72">
        <f t="shared" si="731"/>
        <v>0.9831252413438023</v>
      </c>
      <c r="U1941" s="72">
        <f t="shared" si="732"/>
        <v>1.06</v>
      </c>
    </row>
    <row r="1942" spans="1:21" x14ac:dyDescent="0.25">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0.84431072210065639</v>
      </c>
      <c r="P1942" s="72">
        <f t="shared" si="727"/>
        <v>0</v>
      </c>
      <c r="Q1942" s="72">
        <f t="shared" si="728"/>
        <v>0.70833333333333337</v>
      </c>
      <c r="R1942" s="72">
        <f t="shared" si="729"/>
        <v>0.29166666666666663</v>
      </c>
      <c r="S1942" s="72">
        <f t="shared" si="730"/>
        <v>1.0529051357961128</v>
      </c>
      <c r="T1942" s="72">
        <f t="shared" si="731"/>
        <v>0.98391041318058947</v>
      </c>
      <c r="U1942" s="72">
        <f t="shared" si="732"/>
        <v>1.06</v>
      </c>
    </row>
    <row r="1943" spans="1:21" x14ac:dyDescent="0.25">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0.84497811816192558</v>
      </c>
      <c r="P1943" s="72">
        <f t="shared" si="727"/>
        <v>0</v>
      </c>
      <c r="Q1943" s="72">
        <f t="shared" si="728"/>
        <v>0.625</v>
      </c>
      <c r="R1943" s="72">
        <f t="shared" si="729"/>
        <v>0.375</v>
      </c>
      <c r="S1943" s="72">
        <f t="shared" si="730"/>
        <v>1.0537374179431074</v>
      </c>
      <c r="T1943" s="72">
        <f t="shared" si="731"/>
        <v>0.98469558501737675</v>
      </c>
      <c r="U1943" s="72">
        <f t="shared" si="732"/>
        <v>1.06</v>
      </c>
    </row>
    <row r="1944" spans="1:21" x14ac:dyDescent="0.25">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0.84564551422319467</v>
      </c>
      <c r="P1944" s="72">
        <f t="shared" si="727"/>
        <v>0</v>
      </c>
      <c r="Q1944" s="72">
        <f t="shared" si="728"/>
        <v>0.54166666666666663</v>
      </c>
      <c r="R1944" s="72">
        <f t="shared" si="729"/>
        <v>0.45833333333333337</v>
      </c>
      <c r="S1944" s="72">
        <f t="shared" si="730"/>
        <v>1.0545697000901018</v>
      </c>
      <c r="T1944" s="72">
        <f t="shared" si="731"/>
        <v>0.98548075685416392</v>
      </c>
      <c r="U1944" s="72">
        <f t="shared" si="732"/>
        <v>1.06</v>
      </c>
    </row>
    <row r="1945" spans="1:21" x14ac:dyDescent="0.25">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0.84631291028446387</v>
      </c>
      <c r="P1945" s="72">
        <f t="shared" si="727"/>
        <v>0</v>
      </c>
      <c r="Q1945" s="72">
        <f t="shared" si="728"/>
        <v>0.45833333333333331</v>
      </c>
      <c r="R1945" s="72">
        <f t="shared" si="729"/>
        <v>0.54166666666666674</v>
      </c>
      <c r="S1945" s="72">
        <f t="shared" si="730"/>
        <v>1.0554019822370961</v>
      </c>
      <c r="T1945" s="72">
        <f t="shared" si="731"/>
        <v>0.9862659286909512</v>
      </c>
      <c r="U1945" s="72">
        <f t="shared" si="732"/>
        <v>1.06</v>
      </c>
    </row>
    <row r="1946" spans="1:21" x14ac:dyDescent="0.25">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0.84699124726477026</v>
      </c>
      <c r="P1946" s="72">
        <f t="shared" si="727"/>
        <v>0</v>
      </c>
      <c r="Q1946" s="72">
        <f t="shared" si="728"/>
        <v>0.375</v>
      </c>
      <c r="R1946" s="72">
        <f t="shared" si="729"/>
        <v>0.625</v>
      </c>
      <c r="S1946" s="72">
        <f t="shared" si="730"/>
        <v>1.0562479083537135</v>
      </c>
      <c r="T1946" s="72">
        <f t="shared" si="731"/>
        <v>0.98706397219719388</v>
      </c>
      <c r="U1946" s="72">
        <f t="shared" si="732"/>
        <v>1.06</v>
      </c>
    </row>
    <row r="1947" spans="1:21" x14ac:dyDescent="0.25">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0.84765864332603935</v>
      </c>
      <c r="P1947" s="72">
        <f t="shared" si="727"/>
        <v>0</v>
      </c>
      <c r="Q1947" s="72">
        <f t="shared" si="728"/>
        <v>0.29166666666666669</v>
      </c>
      <c r="R1947" s="72">
        <f t="shared" si="729"/>
        <v>0.70833333333333326</v>
      </c>
      <c r="S1947" s="72">
        <f t="shared" si="730"/>
        <v>1.0570801905007079</v>
      </c>
      <c r="T1947" s="72">
        <f t="shared" si="731"/>
        <v>0.98784914403398127</v>
      </c>
      <c r="U1947" s="72">
        <f t="shared" si="732"/>
        <v>1.06</v>
      </c>
    </row>
    <row r="1948" spans="1:21" x14ac:dyDescent="0.25">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0.84832603938730855</v>
      </c>
      <c r="P1948" s="72">
        <f t="shared" si="727"/>
        <v>0</v>
      </c>
      <c r="Q1948" s="72">
        <f t="shared" si="728"/>
        <v>0.20833333333333334</v>
      </c>
      <c r="R1948" s="72">
        <f t="shared" si="729"/>
        <v>0.79166666666666663</v>
      </c>
      <c r="S1948" s="72">
        <f t="shared" si="730"/>
        <v>1.0579124726477025</v>
      </c>
      <c r="T1948" s="72">
        <f t="shared" si="731"/>
        <v>0.98863431587076844</v>
      </c>
      <c r="U1948" s="72">
        <f t="shared" si="732"/>
        <v>1.06</v>
      </c>
    </row>
    <row r="1949" spans="1:21" x14ac:dyDescent="0.25">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0.84899343544857764</v>
      </c>
      <c r="P1949" s="72">
        <f t="shared" si="727"/>
        <v>0</v>
      </c>
      <c r="Q1949" s="72">
        <f t="shared" si="728"/>
        <v>0.125</v>
      </c>
      <c r="R1949" s="72">
        <f t="shared" si="729"/>
        <v>0.875</v>
      </c>
      <c r="S1949" s="72">
        <f t="shared" si="730"/>
        <v>1.0587447547946969</v>
      </c>
      <c r="T1949" s="72">
        <f t="shared" si="731"/>
        <v>1.0487846569700092</v>
      </c>
      <c r="U1949" s="72">
        <f t="shared" si="732"/>
        <v>1.06</v>
      </c>
    </row>
    <row r="1950" spans="1:21" x14ac:dyDescent="0.25">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0.84966083150984684</v>
      </c>
      <c r="P1950" s="72">
        <f t="shared" si="727"/>
        <v>0</v>
      </c>
      <c r="Q1950" s="72">
        <f t="shared" si="728"/>
        <v>4.1666666666666664E-2</v>
      </c>
      <c r="R1950" s="72">
        <f t="shared" si="729"/>
        <v>0.95833333333333337</v>
      </c>
      <c r="S1950" s="72">
        <f t="shared" si="730"/>
        <v>1.0595770369416915</v>
      </c>
      <c r="T1950" s="72">
        <f t="shared" si="731"/>
        <v>1.0496169391170036</v>
      </c>
      <c r="U1950" s="72">
        <f t="shared" si="732"/>
        <v>1.06</v>
      </c>
    </row>
    <row r="1951" spans="1:21" x14ac:dyDescent="0.25">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0.85</v>
      </c>
      <c r="P1951" s="72">
        <f t="shared" si="727"/>
        <v>0</v>
      </c>
      <c r="Q1951" s="72">
        <f t="shared" si="728"/>
        <v>0</v>
      </c>
      <c r="R1951" s="72">
        <f t="shared" si="729"/>
        <v>0.95833333333333337</v>
      </c>
      <c r="S1951" s="72">
        <f t="shared" si="730"/>
        <v>1.06</v>
      </c>
      <c r="T1951" s="72">
        <f t="shared" si="731"/>
        <v>0.98160638434805003</v>
      </c>
      <c r="U1951" s="72">
        <f t="shared" si="732"/>
        <v>1.06</v>
      </c>
    </row>
    <row r="1952" spans="1:21" x14ac:dyDescent="0.25">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0.85</v>
      </c>
      <c r="P1952" s="72">
        <f t="shared" si="727"/>
        <v>0</v>
      </c>
      <c r="Q1952" s="72">
        <f t="shared" si="728"/>
        <v>0</v>
      </c>
      <c r="R1952" s="72">
        <f t="shared" si="729"/>
        <v>0.875</v>
      </c>
      <c r="S1952" s="72">
        <f t="shared" si="730"/>
        <v>1.06</v>
      </c>
      <c r="T1952" s="72">
        <f t="shared" si="731"/>
        <v>0.98236581284592606</v>
      </c>
      <c r="U1952" s="72">
        <f t="shared" si="732"/>
        <v>1.06</v>
      </c>
    </row>
    <row r="1953" spans="1:21" x14ac:dyDescent="0.25">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0.85</v>
      </c>
      <c r="P1953" s="72">
        <f t="shared" si="727"/>
        <v>0</v>
      </c>
      <c r="Q1953" s="72">
        <f t="shared" si="728"/>
        <v>0</v>
      </c>
      <c r="R1953" s="72">
        <f t="shared" si="729"/>
        <v>0.79166666666666663</v>
      </c>
      <c r="S1953" s="72">
        <f t="shared" si="730"/>
        <v>1.06</v>
      </c>
      <c r="T1953" s="72">
        <f t="shared" si="731"/>
        <v>0.9831252413438023</v>
      </c>
      <c r="U1953" s="72">
        <f t="shared" si="732"/>
        <v>1.06</v>
      </c>
    </row>
    <row r="1954" spans="1:21" x14ac:dyDescent="0.25">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0.85</v>
      </c>
      <c r="P1954" s="72">
        <f t="shared" si="727"/>
        <v>0</v>
      </c>
      <c r="Q1954" s="72">
        <f t="shared" si="728"/>
        <v>0</v>
      </c>
      <c r="R1954" s="72">
        <f t="shared" si="729"/>
        <v>0.70833333333333337</v>
      </c>
      <c r="S1954" s="72">
        <f t="shared" si="730"/>
        <v>1.06</v>
      </c>
      <c r="T1954" s="72">
        <f t="shared" si="731"/>
        <v>0.98391041318058947</v>
      </c>
      <c r="U1954" s="72">
        <f t="shared" si="732"/>
        <v>1.06</v>
      </c>
    </row>
    <row r="1955" spans="1:21" x14ac:dyDescent="0.25">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0.85</v>
      </c>
      <c r="P1955" s="72">
        <f t="shared" si="727"/>
        <v>0</v>
      </c>
      <c r="Q1955" s="72">
        <f t="shared" si="728"/>
        <v>0</v>
      </c>
      <c r="R1955" s="72">
        <f t="shared" si="729"/>
        <v>0.625</v>
      </c>
      <c r="S1955" s="72">
        <f t="shared" si="730"/>
        <v>1.06</v>
      </c>
      <c r="T1955" s="72">
        <f t="shared" si="731"/>
        <v>0.98469558501737675</v>
      </c>
      <c r="U1955" s="72">
        <f t="shared" si="732"/>
        <v>1.06</v>
      </c>
    </row>
    <row r="1956" spans="1:21" x14ac:dyDescent="0.25">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0.85</v>
      </c>
      <c r="P1956" s="72">
        <f t="shared" si="727"/>
        <v>0</v>
      </c>
      <c r="Q1956" s="72">
        <f t="shared" si="728"/>
        <v>0</v>
      </c>
      <c r="R1956" s="72">
        <f t="shared" si="729"/>
        <v>0.54166666666666663</v>
      </c>
      <c r="S1956" s="72">
        <f t="shared" si="730"/>
        <v>1.06</v>
      </c>
      <c r="T1956" s="72">
        <f t="shared" si="731"/>
        <v>0.98548075685416392</v>
      </c>
      <c r="U1956" s="72">
        <f t="shared" si="732"/>
        <v>1.06</v>
      </c>
    </row>
    <row r="1957" spans="1:21" x14ac:dyDescent="0.25">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0.85</v>
      </c>
      <c r="P1957" s="72">
        <f t="shared" si="727"/>
        <v>0</v>
      </c>
      <c r="Q1957" s="72">
        <f t="shared" si="728"/>
        <v>0</v>
      </c>
      <c r="R1957" s="72">
        <f t="shared" si="729"/>
        <v>0.45833333333333331</v>
      </c>
      <c r="S1957" s="72">
        <f t="shared" si="730"/>
        <v>1.06</v>
      </c>
      <c r="T1957" s="72">
        <f t="shared" si="731"/>
        <v>0.9862659286909512</v>
      </c>
      <c r="U1957" s="72">
        <f t="shared" si="732"/>
        <v>1.06</v>
      </c>
    </row>
    <row r="1958" spans="1:21" x14ac:dyDescent="0.25">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0.85</v>
      </c>
      <c r="P1958" s="72">
        <f t="shared" si="727"/>
        <v>0</v>
      </c>
      <c r="Q1958" s="72">
        <f t="shared" si="728"/>
        <v>0</v>
      </c>
      <c r="R1958" s="72">
        <f t="shared" si="729"/>
        <v>0.375</v>
      </c>
      <c r="S1958" s="72">
        <f t="shared" si="730"/>
        <v>1.06</v>
      </c>
      <c r="T1958" s="72">
        <f t="shared" si="731"/>
        <v>0.98706397219719388</v>
      </c>
      <c r="U1958" s="72">
        <f t="shared" si="732"/>
        <v>1.06</v>
      </c>
    </row>
    <row r="1959" spans="1:21" x14ac:dyDescent="0.25">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0.85</v>
      </c>
      <c r="P1959" s="72">
        <f t="shared" si="727"/>
        <v>0</v>
      </c>
      <c r="Q1959" s="72">
        <f t="shared" si="728"/>
        <v>0</v>
      </c>
      <c r="R1959" s="72">
        <f t="shared" si="729"/>
        <v>0.29166666666666669</v>
      </c>
      <c r="S1959" s="72">
        <f t="shared" si="730"/>
        <v>1.06</v>
      </c>
      <c r="T1959" s="72">
        <f t="shared" si="731"/>
        <v>0.98784914403398127</v>
      </c>
      <c r="U1959" s="72">
        <f t="shared" si="732"/>
        <v>1.06</v>
      </c>
    </row>
    <row r="1960" spans="1:21" x14ac:dyDescent="0.25">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0.85</v>
      </c>
      <c r="P1960" s="72">
        <f t="shared" si="727"/>
        <v>0</v>
      </c>
      <c r="Q1960" s="72">
        <f t="shared" si="728"/>
        <v>0</v>
      </c>
      <c r="R1960" s="72">
        <f t="shared" si="729"/>
        <v>0.20833333333333334</v>
      </c>
      <c r="S1960" s="72">
        <f t="shared" si="730"/>
        <v>1.06</v>
      </c>
      <c r="T1960" s="72">
        <f t="shared" si="731"/>
        <v>0.98863431587076844</v>
      </c>
      <c r="U1960" s="72">
        <f t="shared" si="732"/>
        <v>1.06</v>
      </c>
    </row>
    <row r="1961" spans="1:21" x14ac:dyDescent="0.25">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0.85</v>
      </c>
      <c r="P1961" s="72">
        <f t="shared" si="727"/>
        <v>0</v>
      </c>
      <c r="Q1961" s="72">
        <f t="shared" si="728"/>
        <v>0</v>
      </c>
      <c r="R1961" s="72">
        <f t="shared" si="729"/>
        <v>0.125</v>
      </c>
      <c r="S1961" s="72">
        <f t="shared" si="730"/>
        <v>1.06</v>
      </c>
      <c r="T1961" s="72">
        <f t="shared" si="731"/>
        <v>1.0487846569700092</v>
      </c>
      <c r="U1961" s="72">
        <f t="shared" si="732"/>
        <v>1.06</v>
      </c>
    </row>
    <row r="1962" spans="1:21" x14ac:dyDescent="0.25">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0.85</v>
      </c>
      <c r="P1962" s="72">
        <f t="shared" si="727"/>
        <v>0</v>
      </c>
      <c r="Q1962" s="72">
        <f t="shared" si="728"/>
        <v>0</v>
      </c>
      <c r="R1962" s="72">
        <f t="shared" si="729"/>
        <v>4.1666666666666664E-2</v>
      </c>
      <c r="S1962" s="72">
        <f t="shared" si="730"/>
        <v>1.06</v>
      </c>
      <c r="T1962" s="72">
        <f t="shared" si="731"/>
        <v>1.0496169391170036</v>
      </c>
      <c r="U1962" s="72">
        <f t="shared" si="732"/>
        <v>1.06</v>
      </c>
    </row>
    <row r="1963" spans="1:21" x14ac:dyDescent="0.25">
      <c r="A1963" s="77" t="s">
        <v>1209</v>
      </c>
      <c r="B1963" s="50">
        <f>EXP(SUMPRODUCT((rl_key=$A$1912)*(rl_cons="Y")*rl_ln1p))</f>
        <v>1.06</v>
      </c>
      <c r="C1963" s="50">
        <f>SUMPRODUCT($H$1915:$H$1962,$P$1915:$P$1962,$U$1915:$U$1962)/SUMPRODUCT($H$1915:$H$1962,$P$1915:$P$1962)</f>
        <v>1.0008333333333335</v>
      </c>
      <c r="D1963" s="50">
        <f>SUMPRODUCT($H$1915:$H$1962,$Q$1915:$Q$1962,$U$1915:$U$1962)/SUMPRODUCT($H$1915:$H$1962,$Q$1915:$Q$1962)</f>
        <v>1.0391666666666668</v>
      </c>
      <c r="E1963" s="50">
        <f>SUMPRODUCT($H$1915:$H$1962,$R$1915:$R$1962,$U$1915:$U$1962)/SUMPRODUCT($H$1915:$H$1962,$R$1915:$R$1962)</f>
        <v>1.0600000000000003</v>
      </c>
      <c r="F1963" s="169">
        <f>SUMPRODUCT($H$1915:$H$1962,$Q$1915:$Q$1962,$O$1915:$O$1962)/SUMPRODUCT($H$1915:$H$1962,$Q$1915:$Q$1962)</f>
        <v>0.84199580598103541</v>
      </c>
      <c r="G1963" s="169">
        <f>SUMPRODUCT($H$1915:$H$1962,$R$1915:$R$1962,$O$1915:$O$1962)/SUMPRODUCT($H$1915:$H$1962,$R$1915:$R$1962)</f>
        <v>0.84865635637004611</v>
      </c>
    </row>
    <row r="1966" spans="1:21" x14ac:dyDescent="0.25">
      <c r="A1966" s="77" t="str">
        <f>INDEX(lr_key,36)</f>
        <v>BU-B|NC</v>
      </c>
      <c r="B1966" s="77" t="str">
        <f>INDEX(lr_state,36)</f>
        <v>NC</v>
      </c>
      <c r="C1966" s="52">
        <f>nr_TermMonths</f>
        <v>12</v>
      </c>
      <c r="D1966" s="52">
        <f>IF(COUNTIF(se_state,$B1966)=0,0,MATCH($B1966,se_state,0))</f>
        <v>0</v>
      </c>
      <c r="E1966" s="54">
        <f>IF($D1966=0,0,INDEX(se_sum,$D1966))</f>
        <v>0</v>
      </c>
      <c r="F1966" s="169">
        <f>IF(N(INDEX(lr_mind,36))=0,1,INDEX(lr_mind,36))</f>
        <v>0.85</v>
      </c>
      <c r="G1966" s="169">
        <f>IF(N(INDEX(lr_m0,36))=0,1,INDEX(lr_m0,36))</f>
        <v>0.84</v>
      </c>
      <c r="H1966" s="51">
        <f>IF(N(INDEX(lr_m0asof,36))=0,DATE(nr_PlanYear-1,10,1),INDEX(lr_m0asof,36))</f>
        <v>46295</v>
      </c>
      <c r="I1966" s="169">
        <f>IF(N(INDEX(lr_m1,36))=0,1,INDEX(lr_m1,36))</f>
        <v>0.83</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25">
      <c r="A1967" s="77">
        <f>EDATE($H$1966,-12)+1</f>
        <v>45931</v>
      </c>
      <c r="B1967" s="77">
        <f>$H$1966+1</f>
        <v>46296</v>
      </c>
      <c r="C1967" s="77">
        <f>DATE(nr_PlanYear,12,31)+1</f>
        <v>46753</v>
      </c>
      <c r="D1967" s="77">
        <f>DATE(nr_PlanYear+1,12,31)+1</f>
        <v>47119</v>
      </c>
      <c r="E1967" s="77">
        <f>IF(N($J$1966)=0,$F$1967-($G$1967-$F$1967)/($C$1967-$B$1967)*($B$1967-$A$1967),$J$1966)</f>
        <v>0.8479868708971553</v>
      </c>
      <c r="F1967" s="77">
        <f>$G$1966</f>
        <v>0.84</v>
      </c>
      <c r="G1967" s="77">
        <f>$I$1966</f>
        <v>0.83</v>
      </c>
      <c r="H1967" s="77">
        <f>IF(N($K$1966)=0,$I$1966,$K$1966)</f>
        <v>0.83</v>
      </c>
      <c r="I1967" s="77">
        <f>($F$1967-$E$1967)/($B$1967-$A$1967)</f>
        <v>-2.1881838074398162E-5</v>
      </c>
      <c r="J1967" s="77">
        <f>($G$1967-$F$1967)/($C$1967-$B$1967)</f>
        <v>-2.188183807439827E-5</v>
      </c>
      <c r="K1967" s="77">
        <f>($H$1967-$G$1967)/($D$1967-$C$1967)</f>
        <v>0</v>
      </c>
    </row>
    <row r="1968" spans="1:21" ht="24" x14ac:dyDescent="0.25">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25">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0.85362144420131281</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1.0042605225897798</v>
      </c>
      <c r="T1969" s="72">
        <f t="shared" ref="T1969:T2016" si="751">IF($G1969&lt;nr_MStartP,$S1969,$T1957*(1+IF($G1969&lt;nr_MStartP1,$M$1966,$N$1966)))</f>
        <v>1.0042605225897798</v>
      </c>
      <c r="U1969" s="72">
        <f t="shared" ref="U1969:U2016" si="752">IF($L$1966,$T1969,$N1969)</f>
        <v>1</v>
      </c>
    </row>
    <row r="1970" spans="1:21" x14ac:dyDescent="0.25">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0.85297592997811811</v>
      </c>
      <c r="P1970" s="72">
        <f t="shared" si="747"/>
        <v>0.125</v>
      </c>
      <c r="Q1970" s="72">
        <f t="shared" si="748"/>
        <v>0</v>
      </c>
      <c r="R1970" s="72">
        <f t="shared" si="749"/>
        <v>0</v>
      </c>
      <c r="S1970" s="72">
        <f t="shared" si="750"/>
        <v>1.0035010940919036</v>
      </c>
      <c r="T1970" s="72">
        <f t="shared" si="751"/>
        <v>1.0035010940919036</v>
      </c>
      <c r="U1970" s="72">
        <f t="shared" si="752"/>
        <v>1</v>
      </c>
    </row>
    <row r="1971" spans="1:21" x14ac:dyDescent="0.25">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0.8523304157549233</v>
      </c>
      <c r="P1971" s="72">
        <f t="shared" si="747"/>
        <v>0.20833333333333337</v>
      </c>
      <c r="Q1971" s="72">
        <f t="shared" si="748"/>
        <v>0</v>
      </c>
      <c r="R1971" s="72">
        <f t="shared" si="749"/>
        <v>0</v>
      </c>
      <c r="S1971" s="72">
        <f t="shared" si="750"/>
        <v>1.0027416655940273</v>
      </c>
      <c r="T1971" s="72">
        <f t="shared" si="751"/>
        <v>1.0027416655940273</v>
      </c>
      <c r="U1971" s="72">
        <f t="shared" si="752"/>
        <v>1</v>
      </c>
    </row>
    <row r="1972" spans="1:21" x14ac:dyDescent="0.25">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0.85166301969365421</v>
      </c>
      <c r="P1972" s="72">
        <f t="shared" si="747"/>
        <v>0.29166666666666663</v>
      </c>
      <c r="Q1972" s="72">
        <f t="shared" si="748"/>
        <v>0</v>
      </c>
      <c r="R1972" s="72">
        <f t="shared" si="749"/>
        <v>0</v>
      </c>
      <c r="S1972" s="72">
        <f t="shared" si="750"/>
        <v>1.0019564937572403</v>
      </c>
      <c r="T1972" s="72">
        <f t="shared" si="751"/>
        <v>1.0019564937572403</v>
      </c>
      <c r="U1972" s="72">
        <f t="shared" si="752"/>
        <v>1</v>
      </c>
    </row>
    <row r="1973" spans="1:21" x14ac:dyDescent="0.25">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0.85099562363238501</v>
      </c>
      <c r="P1973" s="72">
        <f t="shared" si="747"/>
        <v>0.375</v>
      </c>
      <c r="Q1973" s="72">
        <f t="shared" si="748"/>
        <v>0</v>
      </c>
      <c r="R1973" s="72">
        <f t="shared" si="749"/>
        <v>0</v>
      </c>
      <c r="S1973" s="72">
        <f t="shared" si="750"/>
        <v>1.001171321920453</v>
      </c>
      <c r="T1973" s="72">
        <f t="shared" si="751"/>
        <v>1.001171321920453</v>
      </c>
      <c r="U1973" s="72">
        <f t="shared" si="752"/>
        <v>1</v>
      </c>
    </row>
    <row r="1974" spans="1:21" x14ac:dyDescent="0.25">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0.85032822757111592</v>
      </c>
      <c r="P1974" s="72">
        <f t="shared" si="747"/>
        <v>0.45833333333333337</v>
      </c>
      <c r="Q1974" s="72">
        <f t="shared" si="748"/>
        <v>0</v>
      </c>
      <c r="R1974" s="72">
        <f t="shared" si="749"/>
        <v>0</v>
      </c>
      <c r="S1974" s="72">
        <f t="shared" si="750"/>
        <v>1.0003861500836657</v>
      </c>
      <c r="T1974" s="72">
        <f t="shared" si="751"/>
        <v>1.0003861500836657</v>
      </c>
      <c r="U1974" s="72">
        <f t="shared" si="752"/>
        <v>1</v>
      </c>
    </row>
    <row r="1975" spans="1:21" x14ac:dyDescent="0.25">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0.84966083150984673</v>
      </c>
      <c r="P1975" s="72">
        <f t="shared" si="747"/>
        <v>0.54166666666666674</v>
      </c>
      <c r="Q1975" s="72">
        <f t="shared" si="748"/>
        <v>0</v>
      </c>
      <c r="R1975" s="72">
        <f t="shared" si="749"/>
        <v>0</v>
      </c>
      <c r="S1975" s="72">
        <f t="shared" si="750"/>
        <v>0.99960097824687855</v>
      </c>
      <c r="T1975" s="72">
        <f t="shared" si="751"/>
        <v>0.99960097824687855</v>
      </c>
      <c r="U1975" s="72">
        <f t="shared" si="752"/>
        <v>1</v>
      </c>
    </row>
    <row r="1976" spans="1:21" x14ac:dyDescent="0.25">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0.84898249452954044</v>
      </c>
      <c r="P1976" s="72">
        <f t="shared" si="747"/>
        <v>0.625</v>
      </c>
      <c r="Q1976" s="72">
        <f t="shared" si="748"/>
        <v>0</v>
      </c>
      <c r="R1976" s="72">
        <f t="shared" si="749"/>
        <v>0</v>
      </c>
      <c r="S1976" s="72">
        <f t="shared" si="750"/>
        <v>0.99880293474063586</v>
      </c>
      <c r="T1976" s="72">
        <f t="shared" si="751"/>
        <v>0.99880293474063586</v>
      </c>
      <c r="U1976" s="72">
        <f t="shared" si="752"/>
        <v>1</v>
      </c>
    </row>
    <row r="1977" spans="1:21" x14ac:dyDescent="0.25">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0.84831509846827124</v>
      </c>
      <c r="P1977" s="72">
        <f t="shared" si="747"/>
        <v>0.70833333333333326</v>
      </c>
      <c r="Q1977" s="72">
        <f t="shared" si="748"/>
        <v>0</v>
      </c>
      <c r="R1977" s="72">
        <f t="shared" si="749"/>
        <v>0</v>
      </c>
      <c r="S1977" s="72">
        <f t="shared" si="750"/>
        <v>0.99801776290384858</v>
      </c>
      <c r="T1977" s="72">
        <f t="shared" si="751"/>
        <v>0.99801776290384858</v>
      </c>
      <c r="U1977" s="72">
        <f t="shared" si="752"/>
        <v>1</v>
      </c>
    </row>
    <row r="1978" spans="1:21" x14ac:dyDescent="0.25">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0.84764770240700216</v>
      </c>
      <c r="P1978" s="72">
        <f t="shared" si="747"/>
        <v>0.79166666666666663</v>
      </c>
      <c r="Q1978" s="72">
        <f t="shared" si="748"/>
        <v>0</v>
      </c>
      <c r="R1978" s="72">
        <f t="shared" si="749"/>
        <v>0</v>
      </c>
      <c r="S1978" s="72">
        <f t="shared" si="750"/>
        <v>0.99723259106706141</v>
      </c>
      <c r="T1978" s="72">
        <f t="shared" si="751"/>
        <v>0.99723259106706141</v>
      </c>
      <c r="U1978" s="72">
        <f t="shared" si="752"/>
        <v>1</v>
      </c>
    </row>
    <row r="1979" spans="1:21" x14ac:dyDescent="0.25">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0.84698030634573296</v>
      </c>
      <c r="P1979" s="72">
        <f t="shared" si="747"/>
        <v>0.875</v>
      </c>
      <c r="Q1979" s="72">
        <f t="shared" si="748"/>
        <v>0</v>
      </c>
      <c r="R1979" s="72">
        <f t="shared" si="749"/>
        <v>0</v>
      </c>
      <c r="S1979" s="72">
        <f t="shared" si="750"/>
        <v>0.99644741923027413</v>
      </c>
      <c r="T1979" s="72">
        <f t="shared" si="751"/>
        <v>0.99644741923027413</v>
      </c>
      <c r="U1979" s="72">
        <f t="shared" si="752"/>
        <v>1</v>
      </c>
    </row>
    <row r="1980" spans="1:21" x14ac:dyDescent="0.25">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0.84631291028446387</v>
      </c>
      <c r="P1980" s="72">
        <f t="shared" si="747"/>
        <v>0.95833333333333337</v>
      </c>
      <c r="Q1980" s="72">
        <f t="shared" si="748"/>
        <v>0</v>
      </c>
      <c r="R1980" s="72">
        <f t="shared" si="749"/>
        <v>0</v>
      </c>
      <c r="S1980" s="72">
        <f t="shared" si="750"/>
        <v>0.99566224739348697</v>
      </c>
      <c r="T1980" s="72">
        <f t="shared" si="751"/>
        <v>0.99566224739348697</v>
      </c>
      <c r="U1980" s="72">
        <f t="shared" si="752"/>
        <v>1</v>
      </c>
    </row>
    <row r="1981" spans="1:21" x14ac:dyDescent="0.25">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0.84563457330415748</v>
      </c>
      <c r="P1981" s="72">
        <f t="shared" si="747"/>
        <v>0.95833333333333337</v>
      </c>
      <c r="Q1981" s="72">
        <f t="shared" si="748"/>
        <v>4.166666666666663E-2</v>
      </c>
      <c r="R1981" s="72">
        <f t="shared" si="749"/>
        <v>0</v>
      </c>
      <c r="S1981" s="72">
        <f t="shared" si="750"/>
        <v>0.99486420388724417</v>
      </c>
      <c r="T1981" s="72">
        <f t="shared" si="751"/>
        <v>0.99486420388724417</v>
      </c>
      <c r="U1981" s="72">
        <f t="shared" si="752"/>
        <v>1</v>
      </c>
    </row>
    <row r="1982" spans="1:21" x14ac:dyDescent="0.25">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0.84498905908096278</v>
      </c>
      <c r="P1982" s="72">
        <f t="shared" si="747"/>
        <v>0.875</v>
      </c>
      <c r="Q1982" s="72">
        <f t="shared" si="748"/>
        <v>0.125</v>
      </c>
      <c r="R1982" s="72">
        <f t="shared" si="749"/>
        <v>0</v>
      </c>
      <c r="S1982" s="72">
        <f t="shared" si="750"/>
        <v>0.99410477538936803</v>
      </c>
      <c r="T1982" s="72">
        <f t="shared" si="751"/>
        <v>0.99410477538936803</v>
      </c>
      <c r="U1982" s="72">
        <f t="shared" si="752"/>
        <v>1</v>
      </c>
    </row>
    <row r="1983" spans="1:21" x14ac:dyDescent="0.25">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0.84434354485776797</v>
      </c>
      <c r="P1983" s="72">
        <f t="shared" si="747"/>
        <v>0.79166666666666663</v>
      </c>
      <c r="Q1983" s="72">
        <f t="shared" si="748"/>
        <v>0.20833333333333337</v>
      </c>
      <c r="R1983" s="72">
        <f t="shared" si="749"/>
        <v>0</v>
      </c>
      <c r="S1983" s="72">
        <f t="shared" si="750"/>
        <v>0.99334534689149179</v>
      </c>
      <c r="T1983" s="72">
        <f t="shared" si="751"/>
        <v>0.99334534689149179</v>
      </c>
      <c r="U1983" s="72">
        <f t="shared" si="752"/>
        <v>1</v>
      </c>
    </row>
    <row r="1984" spans="1:21" x14ac:dyDescent="0.25">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0.84367614879649888</v>
      </c>
      <c r="P1984" s="72">
        <f t="shared" si="747"/>
        <v>0.70833333333333337</v>
      </c>
      <c r="Q1984" s="72">
        <f t="shared" si="748"/>
        <v>0.29166666666666663</v>
      </c>
      <c r="R1984" s="72">
        <f t="shared" si="749"/>
        <v>0</v>
      </c>
      <c r="S1984" s="72">
        <f t="shared" si="750"/>
        <v>0.99256017505470462</v>
      </c>
      <c r="T1984" s="72">
        <f t="shared" si="751"/>
        <v>0.99256017505470462</v>
      </c>
      <c r="U1984" s="72">
        <f t="shared" si="752"/>
        <v>1</v>
      </c>
    </row>
    <row r="1985" spans="1:21" x14ac:dyDescent="0.25">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0.84300875273522968</v>
      </c>
      <c r="P1985" s="72">
        <f t="shared" si="747"/>
        <v>0.625</v>
      </c>
      <c r="Q1985" s="72">
        <f t="shared" si="748"/>
        <v>0.375</v>
      </c>
      <c r="R1985" s="72">
        <f t="shared" si="749"/>
        <v>0</v>
      </c>
      <c r="S1985" s="72">
        <f t="shared" si="750"/>
        <v>0.99177500321791734</v>
      </c>
      <c r="T1985" s="72">
        <f t="shared" si="751"/>
        <v>0.99177500321791734</v>
      </c>
      <c r="U1985" s="72">
        <f t="shared" si="752"/>
        <v>1</v>
      </c>
    </row>
    <row r="1986" spans="1:21" x14ac:dyDescent="0.25">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0.8423413566739606</v>
      </c>
      <c r="P1986" s="72">
        <f t="shared" si="747"/>
        <v>0.54166666666666663</v>
      </c>
      <c r="Q1986" s="72">
        <f t="shared" si="748"/>
        <v>0.45833333333333337</v>
      </c>
      <c r="R1986" s="72">
        <f t="shared" si="749"/>
        <v>0</v>
      </c>
      <c r="S1986" s="72">
        <f t="shared" si="750"/>
        <v>0.99098983138113017</v>
      </c>
      <c r="T1986" s="72">
        <f t="shared" si="751"/>
        <v>0.99098983138113017</v>
      </c>
      <c r="U1986" s="72">
        <f t="shared" si="752"/>
        <v>1</v>
      </c>
    </row>
    <row r="1987" spans="1:21" x14ac:dyDescent="0.25">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0.8416739606126914</v>
      </c>
      <c r="P1987" s="72">
        <f t="shared" si="747"/>
        <v>0.45833333333333331</v>
      </c>
      <c r="Q1987" s="72">
        <f t="shared" si="748"/>
        <v>0.54166666666666674</v>
      </c>
      <c r="R1987" s="72">
        <f t="shared" si="749"/>
        <v>0</v>
      </c>
      <c r="S1987" s="72">
        <f t="shared" si="750"/>
        <v>0.99020465954434289</v>
      </c>
      <c r="T1987" s="72">
        <f t="shared" si="751"/>
        <v>0.99020465954434289</v>
      </c>
      <c r="U1987" s="72">
        <f t="shared" si="752"/>
        <v>1</v>
      </c>
    </row>
    <row r="1988" spans="1:21" x14ac:dyDescent="0.25">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0.84099562363238511</v>
      </c>
      <c r="P1988" s="72">
        <f t="shared" si="747"/>
        <v>0.375</v>
      </c>
      <c r="Q1988" s="72">
        <f t="shared" si="748"/>
        <v>0.625</v>
      </c>
      <c r="R1988" s="72">
        <f t="shared" si="749"/>
        <v>0</v>
      </c>
      <c r="S1988" s="72">
        <f t="shared" si="750"/>
        <v>0.98940661603810021</v>
      </c>
      <c r="T1988" s="72">
        <f t="shared" si="751"/>
        <v>0.98940661603810021</v>
      </c>
      <c r="U1988" s="72">
        <f t="shared" si="752"/>
        <v>1</v>
      </c>
    </row>
    <row r="1989" spans="1:21" x14ac:dyDescent="0.25">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0.84032822757111592</v>
      </c>
      <c r="P1989" s="72">
        <f t="shared" si="747"/>
        <v>0.29166666666666669</v>
      </c>
      <c r="Q1989" s="72">
        <f t="shared" si="748"/>
        <v>0.70833333333333326</v>
      </c>
      <c r="R1989" s="72">
        <f t="shared" si="749"/>
        <v>0</v>
      </c>
      <c r="S1989" s="72">
        <f t="shared" si="750"/>
        <v>0.98862144420131282</v>
      </c>
      <c r="T1989" s="72">
        <f t="shared" si="751"/>
        <v>0.98862144420131282</v>
      </c>
      <c r="U1989" s="72">
        <f t="shared" si="752"/>
        <v>1</v>
      </c>
    </row>
    <row r="1990" spans="1:21" x14ac:dyDescent="0.25">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0.83966083150984683</v>
      </c>
      <c r="P1990" s="72">
        <f t="shared" si="747"/>
        <v>0.20833333333333334</v>
      </c>
      <c r="Q1990" s="72">
        <f t="shared" si="748"/>
        <v>0.79166666666666663</v>
      </c>
      <c r="R1990" s="72">
        <f t="shared" si="749"/>
        <v>0</v>
      </c>
      <c r="S1990" s="72">
        <f t="shared" si="750"/>
        <v>0.98783627236452576</v>
      </c>
      <c r="T1990" s="72">
        <f t="shared" si="751"/>
        <v>0.98783627236452576</v>
      </c>
      <c r="U1990" s="72">
        <f t="shared" si="752"/>
        <v>1</v>
      </c>
    </row>
    <row r="1991" spans="1:21" x14ac:dyDescent="0.25">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0.83899343544857763</v>
      </c>
      <c r="P1991" s="72">
        <f t="shared" si="747"/>
        <v>0.125</v>
      </c>
      <c r="Q1991" s="72">
        <f t="shared" si="748"/>
        <v>0.875</v>
      </c>
      <c r="R1991" s="72">
        <f t="shared" si="749"/>
        <v>0</v>
      </c>
      <c r="S1991" s="72">
        <f t="shared" si="750"/>
        <v>0.98705110052773837</v>
      </c>
      <c r="T1991" s="72">
        <f t="shared" si="751"/>
        <v>0.98705110052773837</v>
      </c>
      <c r="U1991" s="72">
        <f t="shared" si="752"/>
        <v>1</v>
      </c>
    </row>
    <row r="1992" spans="1:21" x14ac:dyDescent="0.25">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0.83832603938730854</v>
      </c>
      <c r="P1992" s="72">
        <f t="shared" si="747"/>
        <v>4.1666666666666664E-2</v>
      </c>
      <c r="Q1992" s="72">
        <f t="shared" si="748"/>
        <v>0.95833333333333337</v>
      </c>
      <c r="R1992" s="72">
        <f t="shared" si="749"/>
        <v>0</v>
      </c>
      <c r="S1992" s="72">
        <f t="shared" si="750"/>
        <v>0.9862659286909512</v>
      </c>
      <c r="T1992" s="72">
        <f t="shared" si="751"/>
        <v>0.9862659286909512</v>
      </c>
      <c r="U1992" s="72">
        <f t="shared" si="752"/>
        <v>1</v>
      </c>
    </row>
    <row r="1993" spans="1:21" x14ac:dyDescent="0.25">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0.83764770240700215</v>
      </c>
      <c r="P1993" s="72">
        <f t="shared" si="747"/>
        <v>0</v>
      </c>
      <c r="Q1993" s="72">
        <f t="shared" si="748"/>
        <v>0.95833333333333337</v>
      </c>
      <c r="R1993" s="72">
        <f t="shared" si="749"/>
        <v>4.166666666666663E-2</v>
      </c>
      <c r="S1993" s="72">
        <f t="shared" si="750"/>
        <v>0.9854678851847084</v>
      </c>
      <c r="T1993" s="72">
        <f t="shared" si="751"/>
        <v>0.99486420388724417</v>
      </c>
      <c r="U1993" s="72">
        <f t="shared" si="752"/>
        <v>1</v>
      </c>
    </row>
    <row r="1994" spans="1:21" x14ac:dyDescent="0.25">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0.83700218818380745</v>
      </c>
      <c r="P1994" s="72">
        <f t="shared" si="747"/>
        <v>0</v>
      </c>
      <c r="Q1994" s="72">
        <f t="shared" si="748"/>
        <v>0.875</v>
      </c>
      <c r="R1994" s="72">
        <f t="shared" si="749"/>
        <v>0.125</v>
      </c>
      <c r="S1994" s="72">
        <f t="shared" si="750"/>
        <v>0.98470845668683227</v>
      </c>
      <c r="T1994" s="72">
        <f t="shared" si="751"/>
        <v>0.99410477538936803</v>
      </c>
      <c r="U1994" s="72">
        <f t="shared" si="752"/>
        <v>1</v>
      </c>
    </row>
    <row r="1995" spans="1:21" x14ac:dyDescent="0.25">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0.83635667396061264</v>
      </c>
      <c r="P1995" s="72">
        <f t="shared" si="747"/>
        <v>0</v>
      </c>
      <c r="Q1995" s="72">
        <f t="shared" si="748"/>
        <v>0.79166666666666663</v>
      </c>
      <c r="R1995" s="72">
        <f t="shared" si="749"/>
        <v>0.20833333333333337</v>
      </c>
      <c r="S1995" s="72">
        <f t="shared" si="750"/>
        <v>0.98394902818895602</v>
      </c>
      <c r="T1995" s="72">
        <f t="shared" si="751"/>
        <v>0.99334534689149179</v>
      </c>
      <c r="U1995" s="72">
        <f t="shared" si="752"/>
        <v>1</v>
      </c>
    </row>
    <row r="1996" spans="1:21" x14ac:dyDescent="0.25">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0.83568927789934355</v>
      </c>
      <c r="P1996" s="72">
        <f t="shared" si="747"/>
        <v>0</v>
      </c>
      <c r="Q1996" s="72">
        <f t="shared" si="748"/>
        <v>0.70833333333333337</v>
      </c>
      <c r="R1996" s="72">
        <f t="shared" si="749"/>
        <v>0.29166666666666663</v>
      </c>
      <c r="S1996" s="72">
        <f t="shared" si="750"/>
        <v>0.98316385635216896</v>
      </c>
      <c r="T1996" s="72">
        <f t="shared" si="751"/>
        <v>0.99256017505470462</v>
      </c>
      <c r="U1996" s="72">
        <f t="shared" si="752"/>
        <v>1</v>
      </c>
    </row>
    <row r="1997" spans="1:21" x14ac:dyDescent="0.25">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0.83502188183807435</v>
      </c>
      <c r="P1997" s="72">
        <f t="shared" si="747"/>
        <v>0</v>
      </c>
      <c r="Q1997" s="72">
        <f t="shared" si="748"/>
        <v>0.625</v>
      </c>
      <c r="R1997" s="72">
        <f t="shared" si="749"/>
        <v>0.375</v>
      </c>
      <c r="S1997" s="72">
        <f t="shared" si="750"/>
        <v>0.98237868451538157</v>
      </c>
      <c r="T1997" s="72">
        <f t="shared" si="751"/>
        <v>0.99177500321791734</v>
      </c>
      <c r="U1997" s="72">
        <f t="shared" si="752"/>
        <v>1</v>
      </c>
    </row>
    <row r="1998" spans="1:21" x14ac:dyDescent="0.25">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0.83435448577680527</v>
      </c>
      <c r="P1998" s="72">
        <f t="shared" si="747"/>
        <v>0</v>
      </c>
      <c r="Q1998" s="72">
        <f t="shared" si="748"/>
        <v>0.54166666666666663</v>
      </c>
      <c r="R1998" s="72">
        <f t="shared" si="749"/>
        <v>0.45833333333333337</v>
      </c>
      <c r="S1998" s="72">
        <f t="shared" si="750"/>
        <v>0.9815935126785944</v>
      </c>
      <c r="T1998" s="72">
        <f t="shared" si="751"/>
        <v>0.99098983138113017</v>
      </c>
      <c r="U1998" s="72">
        <f t="shared" si="752"/>
        <v>1</v>
      </c>
    </row>
    <row r="1999" spans="1:21" x14ac:dyDescent="0.25">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0.83368708971553607</v>
      </c>
      <c r="P1999" s="72">
        <f t="shared" si="747"/>
        <v>0</v>
      </c>
      <c r="Q1999" s="72">
        <f t="shared" si="748"/>
        <v>0.45833333333333331</v>
      </c>
      <c r="R1999" s="72">
        <f t="shared" si="749"/>
        <v>0.54166666666666674</v>
      </c>
      <c r="S1999" s="72">
        <f t="shared" si="750"/>
        <v>0.98080834084180712</v>
      </c>
      <c r="T1999" s="72">
        <f t="shared" si="751"/>
        <v>0.99020465954434289</v>
      </c>
      <c r="U1999" s="72">
        <f t="shared" si="752"/>
        <v>1</v>
      </c>
    </row>
    <row r="2000" spans="1:21" x14ac:dyDescent="0.25">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0.83300875273522967</v>
      </c>
      <c r="P2000" s="72">
        <f t="shared" si="747"/>
        <v>0</v>
      </c>
      <c r="Q2000" s="72">
        <f t="shared" si="748"/>
        <v>0.375</v>
      </c>
      <c r="R2000" s="72">
        <f t="shared" si="749"/>
        <v>0.625</v>
      </c>
      <c r="S2000" s="72">
        <f t="shared" si="750"/>
        <v>0.98001029733556433</v>
      </c>
      <c r="T2000" s="72">
        <f t="shared" si="751"/>
        <v>0.98940661603810021</v>
      </c>
      <c r="U2000" s="72">
        <f t="shared" si="752"/>
        <v>1</v>
      </c>
    </row>
    <row r="2001" spans="1:21" x14ac:dyDescent="0.25">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0.83234135667396059</v>
      </c>
      <c r="P2001" s="72">
        <f t="shared" si="747"/>
        <v>0</v>
      </c>
      <c r="Q2001" s="72">
        <f t="shared" si="748"/>
        <v>0.29166666666666669</v>
      </c>
      <c r="R2001" s="72">
        <f t="shared" si="749"/>
        <v>0.70833333333333326</v>
      </c>
      <c r="S2001" s="72">
        <f t="shared" si="750"/>
        <v>0.97922512549877716</v>
      </c>
      <c r="T2001" s="72">
        <f t="shared" si="751"/>
        <v>0.98862144420131282</v>
      </c>
      <c r="U2001" s="72">
        <f t="shared" si="752"/>
        <v>1</v>
      </c>
    </row>
    <row r="2002" spans="1:21" x14ac:dyDescent="0.25">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0.83167396061269139</v>
      </c>
      <c r="P2002" s="72">
        <f t="shared" si="747"/>
        <v>0</v>
      </c>
      <c r="Q2002" s="72">
        <f t="shared" si="748"/>
        <v>0.20833333333333334</v>
      </c>
      <c r="R2002" s="72">
        <f t="shared" si="749"/>
        <v>0.79166666666666663</v>
      </c>
      <c r="S2002" s="72">
        <f t="shared" si="750"/>
        <v>0.97843995366198988</v>
      </c>
      <c r="T2002" s="72">
        <f t="shared" si="751"/>
        <v>0.98783627236452576</v>
      </c>
      <c r="U2002" s="72">
        <f t="shared" si="752"/>
        <v>1</v>
      </c>
    </row>
    <row r="2003" spans="1:21" x14ac:dyDescent="0.25">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0.8310065645514223</v>
      </c>
      <c r="P2003" s="72">
        <f t="shared" si="747"/>
        <v>0</v>
      </c>
      <c r="Q2003" s="72">
        <f t="shared" si="748"/>
        <v>0.125</v>
      </c>
      <c r="R2003" s="72">
        <f t="shared" si="749"/>
        <v>0.875</v>
      </c>
      <c r="S2003" s="72">
        <f t="shared" si="750"/>
        <v>0.97765478182520271</v>
      </c>
      <c r="T2003" s="72">
        <f t="shared" si="751"/>
        <v>0.98705110052773837</v>
      </c>
      <c r="U2003" s="72">
        <f t="shared" si="752"/>
        <v>1</v>
      </c>
    </row>
    <row r="2004" spans="1:21" x14ac:dyDescent="0.25">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0.8303391684901531</v>
      </c>
      <c r="P2004" s="72">
        <f t="shared" si="747"/>
        <v>0</v>
      </c>
      <c r="Q2004" s="72">
        <f t="shared" si="748"/>
        <v>4.1666666666666664E-2</v>
      </c>
      <c r="R2004" s="72">
        <f t="shared" si="749"/>
        <v>0.95833333333333337</v>
      </c>
      <c r="S2004" s="72">
        <f t="shared" si="750"/>
        <v>0.97686960998841543</v>
      </c>
      <c r="T2004" s="72">
        <f t="shared" si="751"/>
        <v>0.9862659286909512</v>
      </c>
      <c r="U2004" s="72">
        <f t="shared" si="752"/>
        <v>1</v>
      </c>
    </row>
    <row r="2005" spans="1:21" x14ac:dyDescent="0.25">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0.83</v>
      </c>
      <c r="P2005" s="72">
        <f t="shared" si="747"/>
        <v>0</v>
      </c>
      <c r="Q2005" s="72">
        <f t="shared" si="748"/>
        <v>0</v>
      </c>
      <c r="R2005" s="72">
        <f t="shared" si="749"/>
        <v>0.95833333333333337</v>
      </c>
      <c r="S2005" s="72">
        <f t="shared" si="750"/>
        <v>0.97647058823529409</v>
      </c>
      <c r="T2005" s="72">
        <f t="shared" si="751"/>
        <v>0.99486420388724417</v>
      </c>
      <c r="U2005" s="72">
        <f t="shared" si="752"/>
        <v>1</v>
      </c>
    </row>
    <row r="2006" spans="1:21" x14ac:dyDescent="0.25">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0.83</v>
      </c>
      <c r="P2006" s="72">
        <f t="shared" si="747"/>
        <v>0</v>
      </c>
      <c r="Q2006" s="72">
        <f t="shared" si="748"/>
        <v>0</v>
      </c>
      <c r="R2006" s="72">
        <f t="shared" si="749"/>
        <v>0.875</v>
      </c>
      <c r="S2006" s="72">
        <f t="shared" si="750"/>
        <v>0.97647058823529409</v>
      </c>
      <c r="T2006" s="72">
        <f t="shared" si="751"/>
        <v>0.99410477538936803</v>
      </c>
      <c r="U2006" s="72">
        <f t="shared" si="752"/>
        <v>1</v>
      </c>
    </row>
    <row r="2007" spans="1:21" x14ac:dyDescent="0.25">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0.83</v>
      </c>
      <c r="P2007" s="72">
        <f t="shared" si="747"/>
        <v>0</v>
      </c>
      <c r="Q2007" s="72">
        <f t="shared" si="748"/>
        <v>0</v>
      </c>
      <c r="R2007" s="72">
        <f t="shared" si="749"/>
        <v>0.79166666666666663</v>
      </c>
      <c r="S2007" s="72">
        <f t="shared" si="750"/>
        <v>0.97647058823529409</v>
      </c>
      <c r="T2007" s="72">
        <f t="shared" si="751"/>
        <v>0.99334534689149179</v>
      </c>
      <c r="U2007" s="72">
        <f t="shared" si="752"/>
        <v>1</v>
      </c>
    </row>
    <row r="2008" spans="1:21" x14ac:dyDescent="0.25">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0.83</v>
      </c>
      <c r="P2008" s="72">
        <f t="shared" si="747"/>
        <v>0</v>
      </c>
      <c r="Q2008" s="72">
        <f t="shared" si="748"/>
        <v>0</v>
      </c>
      <c r="R2008" s="72">
        <f t="shared" si="749"/>
        <v>0.70833333333333337</v>
      </c>
      <c r="S2008" s="72">
        <f t="shared" si="750"/>
        <v>0.97647058823529409</v>
      </c>
      <c r="T2008" s="72">
        <f t="shared" si="751"/>
        <v>0.99256017505470462</v>
      </c>
      <c r="U2008" s="72">
        <f t="shared" si="752"/>
        <v>1</v>
      </c>
    </row>
    <row r="2009" spans="1:21" x14ac:dyDescent="0.25">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0.83</v>
      </c>
      <c r="P2009" s="72">
        <f t="shared" si="747"/>
        <v>0</v>
      </c>
      <c r="Q2009" s="72">
        <f t="shared" si="748"/>
        <v>0</v>
      </c>
      <c r="R2009" s="72">
        <f t="shared" si="749"/>
        <v>0.625</v>
      </c>
      <c r="S2009" s="72">
        <f t="shared" si="750"/>
        <v>0.97647058823529409</v>
      </c>
      <c r="T2009" s="72">
        <f t="shared" si="751"/>
        <v>0.99177500321791734</v>
      </c>
      <c r="U2009" s="72">
        <f t="shared" si="752"/>
        <v>1</v>
      </c>
    </row>
    <row r="2010" spans="1:21" x14ac:dyDescent="0.25">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0.83</v>
      </c>
      <c r="P2010" s="72">
        <f t="shared" si="747"/>
        <v>0</v>
      </c>
      <c r="Q2010" s="72">
        <f t="shared" si="748"/>
        <v>0</v>
      </c>
      <c r="R2010" s="72">
        <f t="shared" si="749"/>
        <v>0.54166666666666663</v>
      </c>
      <c r="S2010" s="72">
        <f t="shared" si="750"/>
        <v>0.97647058823529409</v>
      </c>
      <c r="T2010" s="72">
        <f t="shared" si="751"/>
        <v>0.99098983138113017</v>
      </c>
      <c r="U2010" s="72">
        <f t="shared" si="752"/>
        <v>1</v>
      </c>
    </row>
    <row r="2011" spans="1:21" x14ac:dyDescent="0.25">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0.83</v>
      </c>
      <c r="P2011" s="72">
        <f t="shared" si="747"/>
        <v>0</v>
      </c>
      <c r="Q2011" s="72">
        <f t="shared" si="748"/>
        <v>0</v>
      </c>
      <c r="R2011" s="72">
        <f t="shared" si="749"/>
        <v>0.45833333333333331</v>
      </c>
      <c r="S2011" s="72">
        <f t="shared" si="750"/>
        <v>0.97647058823529409</v>
      </c>
      <c r="T2011" s="72">
        <f t="shared" si="751"/>
        <v>0.99020465954434289</v>
      </c>
      <c r="U2011" s="72">
        <f t="shared" si="752"/>
        <v>1</v>
      </c>
    </row>
    <row r="2012" spans="1:21" x14ac:dyDescent="0.25">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0.83</v>
      </c>
      <c r="P2012" s="72">
        <f t="shared" si="747"/>
        <v>0</v>
      </c>
      <c r="Q2012" s="72">
        <f t="shared" si="748"/>
        <v>0</v>
      </c>
      <c r="R2012" s="72">
        <f t="shared" si="749"/>
        <v>0.375</v>
      </c>
      <c r="S2012" s="72">
        <f t="shared" si="750"/>
        <v>0.97647058823529409</v>
      </c>
      <c r="T2012" s="72">
        <f t="shared" si="751"/>
        <v>0.98940661603810021</v>
      </c>
      <c r="U2012" s="72">
        <f t="shared" si="752"/>
        <v>1</v>
      </c>
    </row>
    <row r="2013" spans="1:21" x14ac:dyDescent="0.25">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0.83</v>
      </c>
      <c r="P2013" s="72">
        <f t="shared" si="747"/>
        <v>0</v>
      </c>
      <c r="Q2013" s="72">
        <f t="shared" si="748"/>
        <v>0</v>
      </c>
      <c r="R2013" s="72">
        <f t="shared" si="749"/>
        <v>0.29166666666666669</v>
      </c>
      <c r="S2013" s="72">
        <f t="shared" si="750"/>
        <v>0.97647058823529409</v>
      </c>
      <c r="T2013" s="72">
        <f t="shared" si="751"/>
        <v>0.98862144420131282</v>
      </c>
      <c r="U2013" s="72">
        <f t="shared" si="752"/>
        <v>1</v>
      </c>
    </row>
    <row r="2014" spans="1:21" x14ac:dyDescent="0.25">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0.83</v>
      </c>
      <c r="P2014" s="72">
        <f t="shared" si="747"/>
        <v>0</v>
      </c>
      <c r="Q2014" s="72">
        <f t="shared" si="748"/>
        <v>0</v>
      </c>
      <c r="R2014" s="72">
        <f t="shared" si="749"/>
        <v>0.20833333333333334</v>
      </c>
      <c r="S2014" s="72">
        <f t="shared" si="750"/>
        <v>0.97647058823529409</v>
      </c>
      <c r="T2014" s="72">
        <f t="shared" si="751"/>
        <v>0.98783627236452576</v>
      </c>
      <c r="U2014" s="72">
        <f t="shared" si="752"/>
        <v>1</v>
      </c>
    </row>
    <row r="2015" spans="1:21" x14ac:dyDescent="0.25">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0.83</v>
      </c>
      <c r="P2015" s="72">
        <f t="shared" si="747"/>
        <v>0</v>
      </c>
      <c r="Q2015" s="72">
        <f t="shared" si="748"/>
        <v>0</v>
      </c>
      <c r="R2015" s="72">
        <f t="shared" si="749"/>
        <v>0.125</v>
      </c>
      <c r="S2015" s="72">
        <f t="shared" si="750"/>
        <v>0.97647058823529409</v>
      </c>
      <c r="T2015" s="72">
        <f t="shared" si="751"/>
        <v>0.98705110052773837</v>
      </c>
      <c r="U2015" s="72">
        <f t="shared" si="752"/>
        <v>1</v>
      </c>
    </row>
    <row r="2016" spans="1:21" x14ac:dyDescent="0.25">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0.83</v>
      </c>
      <c r="P2016" s="72">
        <f t="shared" si="747"/>
        <v>0</v>
      </c>
      <c r="Q2016" s="72">
        <f t="shared" si="748"/>
        <v>0</v>
      </c>
      <c r="R2016" s="72">
        <f t="shared" si="749"/>
        <v>4.1666666666666664E-2</v>
      </c>
      <c r="S2016" s="72">
        <f t="shared" si="750"/>
        <v>0.97647058823529409</v>
      </c>
      <c r="T2016" s="72">
        <f t="shared" si="751"/>
        <v>0.9862659286909512</v>
      </c>
      <c r="U2016" s="72">
        <f t="shared" si="752"/>
        <v>1</v>
      </c>
    </row>
    <row r="2017" spans="1:21" x14ac:dyDescent="0.25">
      <c r="A2017" s="77" t="s">
        <v>1209</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0.8380041940189642</v>
      </c>
      <c r="G2017" s="169">
        <f>SUMPRODUCT($H$1969:$H$2016,$R$1969:$R$2016,$O$1969:$O$2016)/SUMPRODUCT($H$1969:$H$2016,$R$1969:$R$2016)</f>
        <v>0.83134364362995383</v>
      </c>
    </row>
    <row r="2020" spans="1:21" x14ac:dyDescent="0.25">
      <c r="A2020" s="77" t="str">
        <f>INDEX(lr_key,37)</f>
        <v>BU-B|NJ</v>
      </c>
      <c r="B2020" s="77" t="str">
        <f>INDEX(lr_state,37)</f>
        <v>NJ</v>
      </c>
      <c r="C2020" s="52">
        <f>nr_TermMonths</f>
        <v>12</v>
      </c>
      <c r="D2020" s="52">
        <f>IF(COUNTIF(se_state,$B2020)=0,0,MATCH($B2020,se_state,0))</f>
        <v>0</v>
      </c>
      <c r="E2020" s="54">
        <f>IF($D2020=0,0,INDEX(se_sum,$D2020))</f>
        <v>0</v>
      </c>
      <c r="F2020" s="169">
        <f>IF(N(INDEX(lr_mind,37))=0,1,INDEX(lr_mind,37))</f>
        <v>0.85</v>
      </c>
      <c r="G2020" s="169">
        <f>IF(N(INDEX(lr_m0,37))=0,1,INDEX(lr_m0,37))</f>
        <v>0.84</v>
      </c>
      <c r="H2020" s="51">
        <f>IF(N(INDEX(lr_m0asof,37))=0,DATE(nr_PlanYear-1,10,1),INDEX(lr_m0asof,37))</f>
        <v>46295</v>
      </c>
      <c r="I2020" s="169">
        <f>IF(N(INDEX(lr_m1,37))=0,1,INDEX(lr_m1,37))</f>
        <v>0.84499999999999997</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25">
      <c r="A2021" s="77">
        <f>EDATE($H$2020,-12)+1</f>
        <v>45931</v>
      </c>
      <c r="B2021" s="77">
        <f>$H$2020+1</f>
        <v>46296</v>
      </c>
      <c r="C2021" s="77">
        <f>DATE(nr_PlanYear,12,31)+1</f>
        <v>46753</v>
      </c>
      <c r="D2021" s="77">
        <f>DATE(nr_PlanYear+1,12,31)+1</f>
        <v>47119</v>
      </c>
      <c r="E2021" s="77">
        <f>IF(N($J$2020)=0,$F$2021-($G$2021-$F$2021)/($C$2021-$B$2021)*($B$2021-$A$2021),$J$2020)</f>
        <v>0.8360065645514223</v>
      </c>
      <c r="F2021" s="77">
        <f>$G$2020</f>
        <v>0.84</v>
      </c>
      <c r="G2021" s="77">
        <f>$I$2020</f>
        <v>0.84499999999999997</v>
      </c>
      <c r="H2021" s="77">
        <f>IF(N($K$2020)=0,$I$2020,$K$2020)</f>
        <v>0.84499999999999997</v>
      </c>
      <c r="I2021" s="77">
        <f>($F$2021-$E$2021)/($B$2021-$A$2021)</f>
        <v>1.0940919037199081E-5</v>
      </c>
      <c r="J2021" s="77">
        <f>($G$2021-$F$2021)/($C$2021-$B$2021)</f>
        <v>1.0940919037199135E-5</v>
      </c>
      <c r="K2021" s="77">
        <f>($H$2021-$G$2021)/($D$2021-$C$2021)</f>
        <v>0</v>
      </c>
    </row>
    <row r="2022" spans="1:21" ht="24" x14ac:dyDescent="0.25">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25">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0.83318927789934349</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0.98022267988158063</v>
      </c>
      <c r="T2023" s="72">
        <f t="shared" ref="T2023:T2070" si="771">IF($G2023&lt;nr_MStartP,$S2023,$T2011*(1+IF($G2023&lt;nr_MStartP1,$M$2020,$N$2020)))</f>
        <v>0.98022267988158063</v>
      </c>
      <c r="U2023" s="72">
        <f t="shared" ref="U2023:U2070" si="772">IF($L$2020,$T2023,$N2023)</f>
        <v>1</v>
      </c>
    </row>
    <row r="2024" spans="1:21" x14ac:dyDescent="0.25">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0.83351203501094095</v>
      </c>
      <c r="P2024" s="72">
        <f t="shared" si="767"/>
        <v>0.125</v>
      </c>
      <c r="Q2024" s="72">
        <f t="shared" si="768"/>
        <v>0</v>
      </c>
      <c r="R2024" s="72">
        <f t="shared" si="769"/>
        <v>0</v>
      </c>
      <c r="S2024" s="72">
        <f t="shared" si="770"/>
        <v>0.98060239413051875</v>
      </c>
      <c r="T2024" s="72">
        <f t="shared" si="771"/>
        <v>0.98060239413051875</v>
      </c>
      <c r="U2024" s="72">
        <f t="shared" si="772"/>
        <v>1</v>
      </c>
    </row>
    <row r="2025" spans="1:21" x14ac:dyDescent="0.25">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0.8338347921225383</v>
      </c>
      <c r="P2025" s="72">
        <f t="shared" si="767"/>
        <v>0.20833333333333337</v>
      </c>
      <c r="Q2025" s="72">
        <f t="shared" si="768"/>
        <v>0</v>
      </c>
      <c r="R2025" s="72">
        <f t="shared" si="769"/>
        <v>0</v>
      </c>
      <c r="S2025" s="72">
        <f t="shared" si="770"/>
        <v>0.98098210837945687</v>
      </c>
      <c r="T2025" s="72">
        <f t="shared" si="771"/>
        <v>0.98098210837945687</v>
      </c>
      <c r="U2025" s="72">
        <f t="shared" si="772"/>
        <v>1</v>
      </c>
    </row>
    <row r="2026" spans="1:21" x14ac:dyDescent="0.25">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0.83416849015317285</v>
      </c>
      <c r="P2026" s="72">
        <f t="shared" si="767"/>
        <v>0.29166666666666663</v>
      </c>
      <c r="Q2026" s="72">
        <f t="shared" si="768"/>
        <v>0</v>
      </c>
      <c r="R2026" s="72">
        <f t="shared" si="769"/>
        <v>0</v>
      </c>
      <c r="S2026" s="72">
        <f t="shared" si="770"/>
        <v>0.9813746942978504</v>
      </c>
      <c r="T2026" s="72">
        <f t="shared" si="771"/>
        <v>0.9813746942978504</v>
      </c>
      <c r="U2026" s="72">
        <f t="shared" si="772"/>
        <v>1</v>
      </c>
    </row>
    <row r="2027" spans="1:21" x14ac:dyDescent="0.25">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0.83450218818380739</v>
      </c>
      <c r="P2027" s="72">
        <f t="shared" si="767"/>
        <v>0.375</v>
      </c>
      <c r="Q2027" s="72">
        <f t="shared" si="768"/>
        <v>0</v>
      </c>
      <c r="R2027" s="72">
        <f t="shared" si="769"/>
        <v>0</v>
      </c>
      <c r="S2027" s="72">
        <f t="shared" si="770"/>
        <v>0.98176728021624404</v>
      </c>
      <c r="T2027" s="72">
        <f t="shared" si="771"/>
        <v>0.98176728021624404</v>
      </c>
      <c r="U2027" s="72">
        <f t="shared" si="772"/>
        <v>1</v>
      </c>
    </row>
    <row r="2028" spans="1:21" x14ac:dyDescent="0.25">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0.83483588621444205</v>
      </c>
      <c r="P2028" s="72">
        <f t="shared" si="767"/>
        <v>0.45833333333333337</v>
      </c>
      <c r="Q2028" s="72">
        <f t="shared" si="768"/>
        <v>0</v>
      </c>
      <c r="R2028" s="72">
        <f t="shared" si="769"/>
        <v>0</v>
      </c>
      <c r="S2028" s="72">
        <f t="shared" si="770"/>
        <v>0.98215986613463768</v>
      </c>
      <c r="T2028" s="72">
        <f t="shared" si="771"/>
        <v>0.98215986613463768</v>
      </c>
      <c r="U2028" s="72">
        <f t="shared" si="772"/>
        <v>1</v>
      </c>
    </row>
    <row r="2029" spans="1:21" x14ac:dyDescent="0.25">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0.83516958424507659</v>
      </c>
      <c r="P2029" s="72">
        <f t="shared" si="767"/>
        <v>0.54166666666666674</v>
      </c>
      <c r="Q2029" s="72">
        <f t="shared" si="768"/>
        <v>0</v>
      </c>
      <c r="R2029" s="72">
        <f t="shared" si="769"/>
        <v>0</v>
      </c>
      <c r="S2029" s="72">
        <f t="shared" si="770"/>
        <v>0.98255245205303132</v>
      </c>
      <c r="T2029" s="72">
        <f t="shared" si="771"/>
        <v>0.98255245205303132</v>
      </c>
      <c r="U2029" s="72">
        <f t="shared" si="772"/>
        <v>1</v>
      </c>
    </row>
    <row r="2030" spans="1:21" x14ac:dyDescent="0.25">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0.83550875273522973</v>
      </c>
      <c r="P2030" s="72">
        <f t="shared" si="767"/>
        <v>0.625</v>
      </c>
      <c r="Q2030" s="72">
        <f t="shared" si="768"/>
        <v>0</v>
      </c>
      <c r="R2030" s="72">
        <f t="shared" si="769"/>
        <v>0</v>
      </c>
      <c r="S2030" s="72">
        <f t="shared" si="770"/>
        <v>0.98295147380615266</v>
      </c>
      <c r="T2030" s="72">
        <f t="shared" si="771"/>
        <v>0.98295147380615266</v>
      </c>
      <c r="U2030" s="72">
        <f t="shared" si="772"/>
        <v>1</v>
      </c>
    </row>
    <row r="2031" spans="1:21" x14ac:dyDescent="0.25">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0.83584245076586428</v>
      </c>
      <c r="P2031" s="72">
        <f t="shared" si="767"/>
        <v>0.70833333333333326</v>
      </c>
      <c r="Q2031" s="72">
        <f t="shared" si="768"/>
        <v>0</v>
      </c>
      <c r="R2031" s="72">
        <f t="shared" si="769"/>
        <v>0</v>
      </c>
      <c r="S2031" s="72">
        <f t="shared" si="770"/>
        <v>0.98334405972454619</v>
      </c>
      <c r="T2031" s="72">
        <f t="shared" si="771"/>
        <v>0.98334405972454619</v>
      </c>
      <c r="U2031" s="72">
        <f t="shared" si="772"/>
        <v>1</v>
      </c>
    </row>
    <row r="2032" spans="1:21" x14ac:dyDescent="0.25">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0.83617614879649893</v>
      </c>
      <c r="P2032" s="72">
        <f t="shared" si="767"/>
        <v>0.79166666666666663</v>
      </c>
      <c r="Q2032" s="72">
        <f t="shared" si="768"/>
        <v>0</v>
      </c>
      <c r="R2032" s="72">
        <f t="shared" si="769"/>
        <v>0</v>
      </c>
      <c r="S2032" s="72">
        <f t="shared" si="770"/>
        <v>0.98373664564293994</v>
      </c>
      <c r="T2032" s="72">
        <f t="shared" si="771"/>
        <v>0.98373664564293994</v>
      </c>
      <c r="U2032" s="72">
        <f t="shared" si="772"/>
        <v>1</v>
      </c>
    </row>
    <row r="2033" spans="1:21" x14ac:dyDescent="0.25">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0.83650984682713347</v>
      </c>
      <c r="P2033" s="72">
        <f t="shared" si="767"/>
        <v>0.875</v>
      </c>
      <c r="Q2033" s="72">
        <f t="shared" si="768"/>
        <v>0</v>
      </c>
      <c r="R2033" s="72">
        <f t="shared" si="769"/>
        <v>0</v>
      </c>
      <c r="S2033" s="72">
        <f t="shared" si="770"/>
        <v>0.98412923156133347</v>
      </c>
      <c r="T2033" s="72">
        <f t="shared" si="771"/>
        <v>0.98412923156133347</v>
      </c>
      <c r="U2033" s="72">
        <f t="shared" si="772"/>
        <v>1</v>
      </c>
    </row>
    <row r="2034" spans="1:21" x14ac:dyDescent="0.25">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0.83684354485776802</v>
      </c>
      <c r="P2034" s="72">
        <f t="shared" si="767"/>
        <v>0.95833333333333337</v>
      </c>
      <c r="Q2034" s="72">
        <f t="shared" si="768"/>
        <v>0</v>
      </c>
      <c r="R2034" s="72">
        <f t="shared" si="769"/>
        <v>0</v>
      </c>
      <c r="S2034" s="72">
        <f t="shared" si="770"/>
        <v>0.98452181747972711</v>
      </c>
      <c r="T2034" s="72">
        <f t="shared" si="771"/>
        <v>0.98452181747972711</v>
      </c>
      <c r="U2034" s="72">
        <f t="shared" si="772"/>
        <v>1</v>
      </c>
    </row>
    <row r="2035" spans="1:21" x14ac:dyDescent="0.25">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0.83718271334792116</v>
      </c>
      <c r="P2035" s="72">
        <f t="shared" si="767"/>
        <v>0.95833333333333337</v>
      </c>
      <c r="Q2035" s="72">
        <f t="shared" si="768"/>
        <v>4.166666666666663E-2</v>
      </c>
      <c r="R2035" s="72">
        <f t="shared" si="769"/>
        <v>0</v>
      </c>
      <c r="S2035" s="72">
        <f t="shared" si="770"/>
        <v>1.0144684644098338</v>
      </c>
      <c r="T2035" s="72">
        <f t="shared" si="771"/>
        <v>1.0144684644098338</v>
      </c>
      <c r="U2035" s="72">
        <f t="shared" si="772"/>
        <v>1.03</v>
      </c>
    </row>
    <row r="2036" spans="1:21" x14ac:dyDescent="0.25">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0.83750547045951862</v>
      </c>
      <c r="P2036" s="72">
        <f t="shared" si="767"/>
        <v>0.875</v>
      </c>
      <c r="Q2036" s="72">
        <f t="shared" si="768"/>
        <v>0.125</v>
      </c>
      <c r="R2036" s="72">
        <f t="shared" si="769"/>
        <v>0</v>
      </c>
      <c r="S2036" s="72">
        <f t="shared" si="770"/>
        <v>1.0148595700862404</v>
      </c>
      <c r="T2036" s="72">
        <f t="shared" si="771"/>
        <v>1.0148595700862404</v>
      </c>
      <c r="U2036" s="72">
        <f t="shared" si="772"/>
        <v>1.03</v>
      </c>
    </row>
    <row r="2037" spans="1:21" x14ac:dyDescent="0.25">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0.83782822757111597</v>
      </c>
      <c r="P2037" s="72">
        <f t="shared" si="767"/>
        <v>0.79166666666666663</v>
      </c>
      <c r="Q2037" s="72">
        <f t="shared" si="768"/>
        <v>0.20833333333333337</v>
      </c>
      <c r="R2037" s="72">
        <f t="shared" si="769"/>
        <v>0</v>
      </c>
      <c r="S2037" s="72">
        <f t="shared" si="770"/>
        <v>1.0152506757626465</v>
      </c>
      <c r="T2037" s="72">
        <f t="shared" si="771"/>
        <v>1.0152506757626465</v>
      </c>
      <c r="U2037" s="72">
        <f t="shared" si="772"/>
        <v>1.03</v>
      </c>
    </row>
    <row r="2038" spans="1:21" x14ac:dyDescent="0.25">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0.83816192560175051</v>
      </c>
      <c r="P2038" s="72">
        <f t="shared" si="767"/>
        <v>0.70833333333333337</v>
      </c>
      <c r="Q2038" s="72">
        <f t="shared" si="768"/>
        <v>0.29166666666666663</v>
      </c>
      <c r="R2038" s="72">
        <f t="shared" si="769"/>
        <v>0</v>
      </c>
      <c r="S2038" s="72">
        <f t="shared" si="770"/>
        <v>1.0156550392585919</v>
      </c>
      <c r="T2038" s="72">
        <f t="shared" si="771"/>
        <v>1.0156550392585919</v>
      </c>
      <c r="U2038" s="72">
        <f t="shared" si="772"/>
        <v>1.03</v>
      </c>
    </row>
    <row r="2039" spans="1:21" x14ac:dyDescent="0.25">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0.83849562363238506</v>
      </c>
      <c r="P2039" s="72">
        <f t="shared" si="767"/>
        <v>0.625</v>
      </c>
      <c r="Q2039" s="72">
        <f t="shared" si="768"/>
        <v>0.375</v>
      </c>
      <c r="R2039" s="72">
        <f t="shared" si="769"/>
        <v>0</v>
      </c>
      <c r="S2039" s="72">
        <f t="shared" si="770"/>
        <v>1.0160594027545373</v>
      </c>
      <c r="T2039" s="72">
        <f t="shared" si="771"/>
        <v>1.0160594027545373</v>
      </c>
      <c r="U2039" s="72">
        <f t="shared" si="772"/>
        <v>1.03</v>
      </c>
    </row>
    <row r="2040" spans="1:21" x14ac:dyDescent="0.25">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0.83882932166301971</v>
      </c>
      <c r="P2040" s="72">
        <f t="shared" si="767"/>
        <v>0.54166666666666663</v>
      </c>
      <c r="Q2040" s="72">
        <f t="shared" si="768"/>
        <v>0.45833333333333337</v>
      </c>
      <c r="R2040" s="72">
        <f t="shared" si="769"/>
        <v>0</v>
      </c>
      <c r="S2040" s="72">
        <f t="shared" si="770"/>
        <v>1.0164637662504827</v>
      </c>
      <c r="T2040" s="72">
        <f t="shared" si="771"/>
        <v>1.0164637662504827</v>
      </c>
      <c r="U2040" s="72">
        <f t="shared" si="772"/>
        <v>1.03</v>
      </c>
    </row>
    <row r="2041" spans="1:21" x14ac:dyDescent="0.25">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0.83916301969365426</v>
      </c>
      <c r="P2041" s="72">
        <f t="shared" si="767"/>
        <v>0.45833333333333331</v>
      </c>
      <c r="Q2041" s="72">
        <f t="shared" si="768"/>
        <v>0.54166666666666674</v>
      </c>
      <c r="R2041" s="72">
        <f t="shared" si="769"/>
        <v>0</v>
      </c>
      <c r="S2041" s="72">
        <f t="shared" si="770"/>
        <v>1.0168681297464282</v>
      </c>
      <c r="T2041" s="72">
        <f t="shared" si="771"/>
        <v>1.0168681297464282</v>
      </c>
      <c r="U2041" s="72">
        <f t="shared" si="772"/>
        <v>1.03</v>
      </c>
    </row>
    <row r="2042" spans="1:21" x14ac:dyDescent="0.25">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0.8395021881838074</v>
      </c>
      <c r="P2042" s="72">
        <f t="shared" si="767"/>
        <v>0.375</v>
      </c>
      <c r="Q2042" s="72">
        <f t="shared" si="768"/>
        <v>0.625</v>
      </c>
      <c r="R2042" s="72">
        <f t="shared" si="769"/>
        <v>0</v>
      </c>
      <c r="S2042" s="72">
        <f t="shared" si="770"/>
        <v>1.0172791221521431</v>
      </c>
      <c r="T2042" s="72">
        <f t="shared" si="771"/>
        <v>1.0172791221521431</v>
      </c>
      <c r="U2042" s="72">
        <f t="shared" si="772"/>
        <v>1.03</v>
      </c>
    </row>
    <row r="2043" spans="1:21" x14ac:dyDescent="0.25">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0.83983588621444194</v>
      </c>
      <c r="P2043" s="72">
        <f t="shared" si="767"/>
        <v>0.29166666666666669</v>
      </c>
      <c r="Q2043" s="72">
        <f t="shared" si="768"/>
        <v>0.70833333333333326</v>
      </c>
      <c r="R2043" s="72">
        <f t="shared" si="769"/>
        <v>0</v>
      </c>
      <c r="S2043" s="72">
        <f t="shared" si="770"/>
        <v>1.0176834856480885</v>
      </c>
      <c r="T2043" s="72">
        <f t="shared" si="771"/>
        <v>1.0176834856480885</v>
      </c>
      <c r="U2043" s="72">
        <f t="shared" si="772"/>
        <v>1.03</v>
      </c>
    </row>
    <row r="2044" spans="1:21" x14ac:dyDescent="0.25">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0.84016958424507659</v>
      </c>
      <c r="P2044" s="72">
        <f t="shared" si="767"/>
        <v>0.20833333333333334</v>
      </c>
      <c r="Q2044" s="72">
        <f t="shared" si="768"/>
        <v>0.79166666666666663</v>
      </c>
      <c r="R2044" s="72">
        <f t="shared" si="769"/>
        <v>0</v>
      </c>
      <c r="S2044" s="72">
        <f t="shared" si="770"/>
        <v>1.0180878491440339</v>
      </c>
      <c r="T2044" s="72">
        <f t="shared" si="771"/>
        <v>1.0180878491440339</v>
      </c>
      <c r="U2044" s="72">
        <f t="shared" si="772"/>
        <v>1.03</v>
      </c>
    </row>
    <row r="2045" spans="1:21" x14ac:dyDescent="0.25">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0.84050328227571114</v>
      </c>
      <c r="P2045" s="72">
        <f t="shared" si="767"/>
        <v>0.125</v>
      </c>
      <c r="Q2045" s="72">
        <f t="shared" si="768"/>
        <v>0.875</v>
      </c>
      <c r="R2045" s="72">
        <f t="shared" si="769"/>
        <v>0</v>
      </c>
      <c r="S2045" s="72">
        <f t="shared" si="770"/>
        <v>1.0184922126399796</v>
      </c>
      <c r="T2045" s="72">
        <f t="shared" si="771"/>
        <v>1.0184922126399796</v>
      </c>
      <c r="U2045" s="72">
        <f t="shared" si="772"/>
        <v>1.03</v>
      </c>
    </row>
    <row r="2046" spans="1:21" x14ac:dyDescent="0.25">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0.84083698030634568</v>
      </c>
      <c r="P2046" s="72">
        <f t="shared" si="767"/>
        <v>4.1666666666666664E-2</v>
      </c>
      <c r="Q2046" s="72">
        <f t="shared" si="768"/>
        <v>0.95833333333333337</v>
      </c>
      <c r="R2046" s="72">
        <f t="shared" si="769"/>
        <v>0</v>
      </c>
      <c r="S2046" s="72">
        <f t="shared" si="770"/>
        <v>1.0188965761359248</v>
      </c>
      <c r="T2046" s="72">
        <f t="shared" si="771"/>
        <v>1.0188965761359248</v>
      </c>
      <c r="U2046" s="72">
        <f t="shared" si="772"/>
        <v>1.03</v>
      </c>
    </row>
    <row r="2047" spans="1:21" x14ac:dyDescent="0.25">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0.84117614879649882</v>
      </c>
      <c r="P2047" s="72">
        <f t="shared" si="767"/>
        <v>0</v>
      </c>
      <c r="Q2047" s="72">
        <f t="shared" si="768"/>
        <v>0.95833333333333337</v>
      </c>
      <c r="R2047" s="72">
        <f t="shared" si="769"/>
        <v>4.166666666666663E-2</v>
      </c>
      <c r="S2047" s="72">
        <f t="shared" si="770"/>
        <v>1.0193075685416397</v>
      </c>
      <c r="T2047" s="72">
        <f t="shared" si="771"/>
        <v>1.0144684644098338</v>
      </c>
      <c r="U2047" s="72">
        <f t="shared" si="772"/>
        <v>1.03</v>
      </c>
    </row>
    <row r="2048" spans="1:21" x14ac:dyDescent="0.25">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0.84149890590809628</v>
      </c>
      <c r="P2048" s="72">
        <f t="shared" si="767"/>
        <v>0</v>
      </c>
      <c r="Q2048" s="72">
        <f t="shared" si="768"/>
        <v>0.875</v>
      </c>
      <c r="R2048" s="72">
        <f t="shared" si="769"/>
        <v>0.125</v>
      </c>
      <c r="S2048" s="72">
        <f t="shared" si="770"/>
        <v>1.0196986742180463</v>
      </c>
      <c r="T2048" s="72">
        <f t="shared" si="771"/>
        <v>1.0148595700862404</v>
      </c>
      <c r="U2048" s="72">
        <f t="shared" si="772"/>
        <v>1.03</v>
      </c>
    </row>
    <row r="2049" spans="1:21" x14ac:dyDescent="0.25">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0.84182166301969363</v>
      </c>
      <c r="P2049" s="72">
        <f t="shared" si="767"/>
        <v>0</v>
      </c>
      <c r="Q2049" s="72">
        <f t="shared" si="768"/>
        <v>0.79166666666666663</v>
      </c>
      <c r="R2049" s="72">
        <f t="shared" si="769"/>
        <v>0.20833333333333337</v>
      </c>
      <c r="S2049" s="72">
        <f t="shared" si="770"/>
        <v>1.0200897798944524</v>
      </c>
      <c r="T2049" s="72">
        <f t="shared" si="771"/>
        <v>1.0152506757626465</v>
      </c>
      <c r="U2049" s="72">
        <f t="shared" si="772"/>
        <v>1.03</v>
      </c>
    </row>
    <row r="2050" spans="1:21" x14ac:dyDescent="0.25">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0.84215536105032818</v>
      </c>
      <c r="P2050" s="72">
        <f t="shared" si="767"/>
        <v>0</v>
      </c>
      <c r="Q2050" s="72">
        <f t="shared" si="768"/>
        <v>0.70833333333333337</v>
      </c>
      <c r="R2050" s="72">
        <f t="shared" si="769"/>
        <v>0.29166666666666663</v>
      </c>
      <c r="S2050" s="72">
        <f t="shared" si="770"/>
        <v>1.0204941433903978</v>
      </c>
      <c r="T2050" s="72">
        <f t="shared" si="771"/>
        <v>1.0156550392585919</v>
      </c>
      <c r="U2050" s="72">
        <f t="shared" si="772"/>
        <v>1.03</v>
      </c>
    </row>
    <row r="2051" spans="1:21" x14ac:dyDescent="0.25">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0.84248905908096272</v>
      </c>
      <c r="P2051" s="72">
        <f t="shared" si="767"/>
        <v>0</v>
      </c>
      <c r="Q2051" s="72">
        <f t="shared" si="768"/>
        <v>0.625</v>
      </c>
      <c r="R2051" s="72">
        <f t="shared" si="769"/>
        <v>0.375</v>
      </c>
      <c r="S2051" s="72">
        <f t="shared" si="770"/>
        <v>1.0208985068863432</v>
      </c>
      <c r="T2051" s="72">
        <f t="shared" si="771"/>
        <v>1.0160594027545373</v>
      </c>
      <c r="U2051" s="72">
        <f t="shared" si="772"/>
        <v>1.03</v>
      </c>
    </row>
    <row r="2052" spans="1:21" x14ac:dyDescent="0.25">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0.84282275711159738</v>
      </c>
      <c r="P2052" s="72">
        <f t="shared" si="767"/>
        <v>0</v>
      </c>
      <c r="Q2052" s="72">
        <f t="shared" si="768"/>
        <v>0.54166666666666663</v>
      </c>
      <c r="R2052" s="72">
        <f t="shared" si="769"/>
        <v>0.45833333333333337</v>
      </c>
      <c r="S2052" s="72">
        <f t="shared" si="770"/>
        <v>1.0213028703822886</v>
      </c>
      <c r="T2052" s="72">
        <f t="shared" si="771"/>
        <v>1.0164637662504827</v>
      </c>
      <c r="U2052" s="72">
        <f t="shared" si="772"/>
        <v>1.03</v>
      </c>
    </row>
    <row r="2053" spans="1:21" x14ac:dyDescent="0.25">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0.84315645514223192</v>
      </c>
      <c r="P2053" s="72">
        <f t="shared" si="767"/>
        <v>0</v>
      </c>
      <c r="Q2053" s="72">
        <f t="shared" si="768"/>
        <v>0.45833333333333331</v>
      </c>
      <c r="R2053" s="72">
        <f t="shared" si="769"/>
        <v>0.54166666666666674</v>
      </c>
      <c r="S2053" s="72">
        <f t="shared" si="770"/>
        <v>1.021707233878234</v>
      </c>
      <c r="T2053" s="72">
        <f t="shared" si="771"/>
        <v>1.0168681297464282</v>
      </c>
      <c r="U2053" s="72">
        <f t="shared" si="772"/>
        <v>1.03</v>
      </c>
    </row>
    <row r="2054" spans="1:21" x14ac:dyDescent="0.25">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0.84349562363238506</v>
      </c>
      <c r="P2054" s="72">
        <f t="shared" si="767"/>
        <v>0</v>
      </c>
      <c r="Q2054" s="72">
        <f t="shared" si="768"/>
        <v>0.375</v>
      </c>
      <c r="R2054" s="72">
        <f t="shared" si="769"/>
        <v>0.625</v>
      </c>
      <c r="S2054" s="72">
        <f t="shared" si="770"/>
        <v>1.022118226283949</v>
      </c>
      <c r="T2054" s="72">
        <f t="shared" si="771"/>
        <v>1.0172791221521431</v>
      </c>
      <c r="U2054" s="72">
        <f t="shared" si="772"/>
        <v>1.03</v>
      </c>
    </row>
    <row r="2055" spans="1:21" x14ac:dyDescent="0.25">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0.84382932166301972</v>
      </c>
      <c r="P2055" s="72">
        <f t="shared" si="767"/>
        <v>0</v>
      </c>
      <c r="Q2055" s="72">
        <f t="shared" si="768"/>
        <v>0.29166666666666669</v>
      </c>
      <c r="R2055" s="72">
        <f t="shared" si="769"/>
        <v>0.70833333333333326</v>
      </c>
      <c r="S2055" s="72">
        <f t="shared" si="770"/>
        <v>1.0225225897798946</v>
      </c>
      <c r="T2055" s="72">
        <f t="shared" si="771"/>
        <v>1.0176834856480885</v>
      </c>
      <c r="U2055" s="72">
        <f t="shared" si="772"/>
        <v>1.03</v>
      </c>
    </row>
    <row r="2056" spans="1:21" x14ac:dyDescent="0.25">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0.84416301969365426</v>
      </c>
      <c r="P2056" s="72">
        <f t="shared" si="767"/>
        <v>0</v>
      </c>
      <c r="Q2056" s="72">
        <f t="shared" si="768"/>
        <v>0.20833333333333334</v>
      </c>
      <c r="R2056" s="72">
        <f t="shared" si="769"/>
        <v>0.79166666666666663</v>
      </c>
      <c r="S2056" s="72">
        <f t="shared" si="770"/>
        <v>1.0229269532758398</v>
      </c>
      <c r="T2056" s="72">
        <f t="shared" si="771"/>
        <v>1.0180878491440339</v>
      </c>
      <c r="U2056" s="72">
        <f t="shared" si="772"/>
        <v>1.03</v>
      </c>
    </row>
    <row r="2057" spans="1:21" x14ac:dyDescent="0.25">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0.8444967177242888</v>
      </c>
      <c r="P2057" s="72">
        <f t="shared" si="767"/>
        <v>0</v>
      </c>
      <c r="Q2057" s="72">
        <f t="shared" si="768"/>
        <v>0.125</v>
      </c>
      <c r="R2057" s="72">
        <f t="shared" si="769"/>
        <v>0.875</v>
      </c>
      <c r="S2057" s="72">
        <f t="shared" si="770"/>
        <v>1.0233313167717852</v>
      </c>
      <c r="T2057" s="72">
        <f t="shared" si="771"/>
        <v>1.0184922126399796</v>
      </c>
      <c r="U2057" s="72">
        <f t="shared" si="772"/>
        <v>1.03</v>
      </c>
    </row>
    <row r="2058" spans="1:21" x14ac:dyDescent="0.25">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0.84483041575492335</v>
      </c>
      <c r="P2058" s="72">
        <f t="shared" si="767"/>
        <v>0</v>
      </c>
      <c r="Q2058" s="72">
        <f t="shared" si="768"/>
        <v>4.1666666666666664E-2</v>
      </c>
      <c r="R2058" s="72">
        <f t="shared" si="769"/>
        <v>0.95833333333333337</v>
      </c>
      <c r="S2058" s="72">
        <f t="shared" si="770"/>
        <v>1.0237356802677307</v>
      </c>
      <c r="T2058" s="72">
        <f t="shared" si="771"/>
        <v>1.0188965761359248</v>
      </c>
      <c r="U2058" s="72">
        <f t="shared" si="772"/>
        <v>1.03</v>
      </c>
    </row>
    <row r="2059" spans="1:21" x14ac:dyDescent="0.25">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0.84499999999999997</v>
      </c>
      <c r="P2059" s="72">
        <f t="shared" si="767"/>
        <v>0</v>
      </c>
      <c r="Q2059" s="72">
        <f t="shared" si="768"/>
        <v>0</v>
      </c>
      <c r="R2059" s="72">
        <f t="shared" si="769"/>
        <v>0.95833333333333337</v>
      </c>
      <c r="S2059" s="72">
        <f t="shared" si="770"/>
        <v>1.0239411764705884</v>
      </c>
      <c r="T2059" s="72">
        <f t="shared" si="771"/>
        <v>1.0144684644098338</v>
      </c>
      <c r="U2059" s="72">
        <f t="shared" si="772"/>
        <v>1.03</v>
      </c>
    </row>
    <row r="2060" spans="1:21" x14ac:dyDescent="0.25">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0.84499999999999997</v>
      </c>
      <c r="P2060" s="72">
        <f t="shared" si="767"/>
        <v>0</v>
      </c>
      <c r="Q2060" s="72">
        <f t="shared" si="768"/>
        <v>0</v>
      </c>
      <c r="R2060" s="72">
        <f t="shared" si="769"/>
        <v>0.875</v>
      </c>
      <c r="S2060" s="72">
        <f t="shared" si="770"/>
        <v>1.0239411764705884</v>
      </c>
      <c r="T2060" s="72">
        <f t="shared" si="771"/>
        <v>1.0148595700862404</v>
      </c>
      <c r="U2060" s="72">
        <f t="shared" si="772"/>
        <v>1.03</v>
      </c>
    </row>
    <row r="2061" spans="1:21" x14ac:dyDescent="0.25">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0.84499999999999997</v>
      </c>
      <c r="P2061" s="72">
        <f t="shared" si="767"/>
        <v>0</v>
      </c>
      <c r="Q2061" s="72">
        <f t="shared" si="768"/>
        <v>0</v>
      </c>
      <c r="R2061" s="72">
        <f t="shared" si="769"/>
        <v>0.79166666666666663</v>
      </c>
      <c r="S2061" s="72">
        <f t="shared" si="770"/>
        <v>1.0239411764705884</v>
      </c>
      <c r="T2061" s="72">
        <f t="shared" si="771"/>
        <v>1.0152506757626465</v>
      </c>
      <c r="U2061" s="72">
        <f t="shared" si="772"/>
        <v>1.03</v>
      </c>
    </row>
    <row r="2062" spans="1:21" x14ac:dyDescent="0.25">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0.84499999999999997</v>
      </c>
      <c r="P2062" s="72">
        <f t="shared" si="767"/>
        <v>0</v>
      </c>
      <c r="Q2062" s="72">
        <f t="shared" si="768"/>
        <v>0</v>
      </c>
      <c r="R2062" s="72">
        <f t="shared" si="769"/>
        <v>0.70833333333333337</v>
      </c>
      <c r="S2062" s="72">
        <f t="shared" si="770"/>
        <v>1.0239411764705884</v>
      </c>
      <c r="T2062" s="72">
        <f t="shared" si="771"/>
        <v>1.0156550392585919</v>
      </c>
      <c r="U2062" s="72">
        <f t="shared" si="772"/>
        <v>1.03</v>
      </c>
    </row>
    <row r="2063" spans="1:21" x14ac:dyDescent="0.25">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0.84499999999999997</v>
      </c>
      <c r="P2063" s="72">
        <f t="shared" si="767"/>
        <v>0</v>
      </c>
      <c r="Q2063" s="72">
        <f t="shared" si="768"/>
        <v>0</v>
      </c>
      <c r="R2063" s="72">
        <f t="shared" si="769"/>
        <v>0.625</v>
      </c>
      <c r="S2063" s="72">
        <f t="shared" si="770"/>
        <v>1.0239411764705884</v>
      </c>
      <c r="T2063" s="72">
        <f t="shared" si="771"/>
        <v>1.0160594027545373</v>
      </c>
      <c r="U2063" s="72">
        <f t="shared" si="772"/>
        <v>1.03</v>
      </c>
    </row>
    <row r="2064" spans="1:21" x14ac:dyDescent="0.25">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0.84499999999999997</v>
      </c>
      <c r="P2064" s="72">
        <f t="shared" si="767"/>
        <v>0</v>
      </c>
      <c r="Q2064" s="72">
        <f t="shared" si="768"/>
        <v>0</v>
      </c>
      <c r="R2064" s="72">
        <f t="shared" si="769"/>
        <v>0.54166666666666663</v>
      </c>
      <c r="S2064" s="72">
        <f t="shared" si="770"/>
        <v>1.0239411764705884</v>
      </c>
      <c r="T2064" s="72">
        <f t="shared" si="771"/>
        <v>1.0164637662504827</v>
      </c>
      <c r="U2064" s="72">
        <f t="shared" si="772"/>
        <v>1.03</v>
      </c>
    </row>
    <row r="2065" spans="1:21" x14ac:dyDescent="0.25">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0.84499999999999997</v>
      </c>
      <c r="P2065" s="72">
        <f t="shared" si="767"/>
        <v>0</v>
      </c>
      <c r="Q2065" s="72">
        <f t="shared" si="768"/>
        <v>0</v>
      </c>
      <c r="R2065" s="72">
        <f t="shared" si="769"/>
        <v>0.45833333333333331</v>
      </c>
      <c r="S2065" s="72">
        <f t="shared" si="770"/>
        <v>1.0239411764705884</v>
      </c>
      <c r="T2065" s="72">
        <f t="shared" si="771"/>
        <v>1.0168681297464282</v>
      </c>
      <c r="U2065" s="72">
        <f t="shared" si="772"/>
        <v>1.03</v>
      </c>
    </row>
    <row r="2066" spans="1:21" x14ac:dyDescent="0.25">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0.84499999999999997</v>
      </c>
      <c r="P2066" s="72">
        <f t="shared" si="767"/>
        <v>0</v>
      </c>
      <c r="Q2066" s="72">
        <f t="shared" si="768"/>
        <v>0</v>
      </c>
      <c r="R2066" s="72">
        <f t="shared" si="769"/>
        <v>0.375</v>
      </c>
      <c r="S2066" s="72">
        <f t="shared" si="770"/>
        <v>1.0239411764705884</v>
      </c>
      <c r="T2066" s="72">
        <f t="shared" si="771"/>
        <v>1.0172791221521431</v>
      </c>
      <c r="U2066" s="72">
        <f t="shared" si="772"/>
        <v>1.03</v>
      </c>
    </row>
    <row r="2067" spans="1:21" x14ac:dyDescent="0.25">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0.84499999999999997</v>
      </c>
      <c r="P2067" s="72">
        <f t="shared" si="767"/>
        <v>0</v>
      </c>
      <c r="Q2067" s="72">
        <f t="shared" si="768"/>
        <v>0</v>
      </c>
      <c r="R2067" s="72">
        <f t="shared" si="769"/>
        <v>0.29166666666666669</v>
      </c>
      <c r="S2067" s="72">
        <f t="shared" si="770"/>
        <v>1.0239411764705884</v>
      </c>
      <c r="T2067" s="72">
        <f t="shared" si="771"/>
        <v>1.0176834856480885</v>
      </c>
      <c r="U2067" s="72">
        <f t="shared" si="772"/>
        <v>1.03</v>
      </c>
    </row>
    <row r="2068" spans="1:21" x14ac:dyDescent="0.25">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0.84499999999999997</v>
      </c>
      <c r="P2068" s="72">
        <f t="shared" si="767"/>
        <v>0</v>
      </c>
      <c r="Q2068" s="72">
        <f t="shared" si="768"/>
        <v>0</v>
      </c>
      <c r="R2068" s="72">
        <f t="shared" si="769"/>
        <v>0.20833333333333334</v>
      </c>
      <c r="S2068" s="72">
        <f t="shared" si="770"/>
        <v>1.0239411764705884</v>
      </c>
      <c r="T2068" s="72">
        <f t="shared" si="771"/>
        <v>1.0180878491440339</v>
      </c>
      <c r="U2068" s="72">
        <f t="shared" si="772"/>
        <v>1.03</v>
      </c>
    </row>
    <row r="2069" spans="1:21" x14ac:dyDescent="0.25">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0.84499999999999997</v>
      </c>
      <c r="P2069" s="72">
        <f t="shared" si="767"/>
        <v>0</v>
      </c>
      <c r="Q2069" s="72">
        <f t="shared" si="768"/>
        <v>0</v>
      </c>
      <c r="R2069" s="72">
        <f t="shared" si="769"/>
        <v>0.125</v>
      </c>
      <c r="S2069" s="72">
        <f t="shared" si="770"/>
        <v>1.0239411764705884</v>
      </c>
      <c r="T2069" s="72">
        <f t="shared" si="771"/>
        <v>1.0184922126399796</v>
      </c>
      <c r="U2069" s="72">
        <f t="shared" si="772"/>
        <v>1.03</v>
      </c>
    </row>
    <row r="2070" spans="1:21" x14ac:dyDescent="0.25">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0.84499999999999997</v>
      </c>
      <c r="P2070" s="72">
        <f t="shared" si="767"/>
        <v>0</v>
      </c>
      <c r="Q2070" s="72">
        <f t="shared" si="768"/>
        <v>0</v>
      </c>
      <c r="R2070" s="72">
        <f t="shared" si="769"/>
        <v>4.1666666666666664E-2</v>
      </c>
      <c r="S2070" s="72">
        <f t="shared" si="770"/>
        <v>1.0239411764705884</v>
      </c>
      <c r="T2070" s="72">
        <f t="shared" si="771"/>
        <v>1.0188965761359248</v>
      </c>
      <c r="U2070" s="72">
        <f t="shared" si="772"/>
        <v>1.03</v>
      </c>
    </row>
    <row r="2071" spans="1:21" x14ac:dyDescent="0.25">
      <c r="A2071" s="77" t="s">
        <v>1209</v>
      </c>
      <c r="B2071" s="50">
        <f>EXP(SUMPRODUCT((rl_key=$A$2020)*(rl_cons="Y")*rl_ln1p))</f>
        <v>1.03</v>
      </c>
      <c r="C2071" s="50">
        <f>SUMPRODUCT($H$2023:$H$2070,$P$2023:$P$2070,$U$2023:$U$2070)/SUMPRODUCT($H$2023:$H$2070,$P$2023:$P$2070)</f>
        <v>1.0150000000000003</v>
      </c>
      <c r="D2071" s="50">
        <f>SUMPRODUCT($H$2023:$H$2070,$Q$2023:$Q$2070,$U$2023:$U$2070)/SUMPRODUCT($H$2023:$H$2070,$Q$2023:$Q$2070)</f>
        <v>1.0300000000000002</v>
      </c>
      <c r="E2071" s="50">
        <f>SUMPRODUCT($H$2023:$H$2070,$R$2023:$R$2070,$U$2023:$U$2070)/SUMPRODUCT($H$2023:$H$2070,$R$2023:$R$2070)</f>
        <v>1.0300000000000002</v>
      </c>
      <c r="F2071" s="169">
        <f>SUMPRODUCT($H$2023:$H$2070,$Q$2023:$Q$2070,$O$2023:$O$2070)/SUMPRODUCT($H$2023:$H$2070,$Q$2023:$Q$2070)</f>
        <v>0.84099790299051769</v>
      </c>
      <c r="G2071" s="169">
        <f>SUMPRODUCT($H$2023:$H$2070,$R$2023:$R$2070,$O$2023:$O$2070)/SUMPRODUCT($H$2023:$H$2070,$R$2023:$R$2070)</f>
        <v>0.84432817818502282</v>
      </c>
    </row>
    <row r="2074" spans="1:21" x14ac:dyDescent="0.25">
      <c r="A2074" s="77" t="str">
        <f>INDEX(lr_key,38)</f>
        <v>BU-B|NY</v>
      </c>
      <c r="B2074" s="77" t="str">
        <f>INDEX(lr_state,38)</f>
        <v>NY</v>
      </c>
      <c r="C2074" s="52">
        <f>nr_TermMonths</f>
        <v>12</v>
      </c>
      <c r="D2074" s="52">
        <f>IF(COUNTIF(se_state,$B2074)=0,0,MATCH($B2074,se_state,0))</f>
        <v>0</v>
      </c>
      <c r="E2074" s="54">
        <f>IF($D2074=0,0,INDEX(se_sum,$D2074))</f>
        <v>0</v>
      </c>
      <c r="F2074" s="169">
        <f>IF(N(INDEX(lr_mind,38))=0,1,INDEX(lr_mind,38))</f>
        <v>0.85</v>
      </c>
      <c r="G2074" s="169">
        <f>IF(N(INDEX(lr_m0,38))=0,1,INDEX(lr_m0,38))</f>
        <v>0.84</v>
      </c>
      <c r="H2074" s="51">
        <f>IF(N(INDEX(lr_m0asof,38))=0,DATE(nr_PlanYear-1,10,1),INDEX(lr_m0asof,38))</f>
        <v>46295</v>
      </c>
      <c r="I2074" s="169">
        <f>IF(N(INDEX(lr_m1,38))=0,1,INDEX(lr_m1,38))</f>
        <v>0.86</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25">
      <c r="A2075" s="77">
        <f>EDATE($H$2074,-12)+1</f>
        <v>45931</v>
      </c>
      <c r="B2075" s="77">
        <f>$H$2074+1</f>
        <v>46296</v>
      </c>
      <c r="C2075" s="77">
        <f>DATE(nr_PlanYear,12,31)+1</f>
        <v>46753</v>
      </c>
      <c r="D2075" s="77">
        <f>DATE(nr_PlanYear+1,12,31)+1</f>
        <v>47119</v>
      </c>
      <c r="E2075" s="77">
        <f>IF(N($J$2074)=0,$F$2075-($G$2075-$F$2075)/($C$2075-$B$2075)*($B$2075-$A$2075),$J$2074)</f>
        <v>0.8240262582056892</v>
      </c>
      <c r="F2075" s="77">
        <f>$G$2074</f>
        <v>0.84</v>
      </c>
      <c r="G2075" s="77">
        <f>$I$2074</f>
        <v>0.86</v>
      </c>
      <c r="H2075" s="77">
        <f>IF(N($K$2074)=0,$I$2074,$K$2074)</f>
        <v>0.86</v>
      </c>
      <c r="I2075" s="77">
        <f>($F$2075-$E$2075)/($B$2075-$A$2075)</f>
        <v>4.3763676148796628E-5</v>
      </c>
      <c r="J2075" s="77">
        <f>($G$2075-$F$2075)/($C$2075-$B$2075)</f>
        <v>4.376367614879654E-5</v>
      </c>
      <c r="K2075" s="77">
        <f>($H$2075-$G$2075)/($D$2075-$C$2075)</f>
        <v>0</v>
      </c>
    </row>
    <row r="2076" spans="1:21" ht="24" x14ac:dyDescent="0.25">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25">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0.81275711159737407</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0.95618483717338132</v>
      </c>
      <c r="T2077" s="72">
        <f t="shared" ref="T2077:T2124" si="791">IF($G2077&lt;nr_MStartP,$S2077,$T2065*(1+IF($G2077&lt;nr_MStartP1,$M$2074,$N$2074)))</f>
        <v>0.95618483717338132</v>
      </c>
      <c r="U2077" s="72">
        <f t="shared" ref="U2077:U2124" si="792">IF($L$2074,$T2077,$N2077)</f>
        <v>1</v>
      </c>
    </row>
    <row r="2078" spans="1:21" x14ac:dyDescent="0.25">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0.81404814004376358</v>
      </c>
      <c r="P2078" s="72">
        <f t="shared" si="787"/>
        <v>0.125</v>
      </c>
      <c r="Q2078" s="72">
        <f t="shared" si="788"/>
        <v>0</v>
      </c>
      <c r="R2078" s="72">
        <f t="shared" si="789"/>
        <v>0</v>
      </c>
      <c r="S2078" s="72">
        <f t="shared" si="790"/>
        <v>0.9577036941691337</v>
      </c>
      <c r="T2078" s="72">
        <f t="shared" si="791"/>
        <v>0.9577036941691337</v>
      </c>
      <c r="U2078" s="72">
        <f t="shared" si="792"/>
        <v>1</v>
      </c>
    </row>
    <row r="2079" spans="1:21" x14ac:dyDescent="0.25">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0.81533916849015309</v>
      </c>
      <c r="P2079" s="72">
        <f t="shared" si="787"/>
        <v>0.20833333333333337</v>
      </c>
      <c r="Q2079" s="72">
        <f t="shared" si="788"/>
        <v>0</v>
      </c>
      <c r="R2079" s="72">
        <f t="shared" si="789"/>
        <v>0</v>
      </c>
      <c r="S2079" s="72">
        <f t="shared" si="790"/>
        <v>0.95922255116488597</v>
      </c>
      <c r="T2079" s="72">
        <f t="shared" si="791"/>
        <v>0.95922255116488597</v>
      </c>
      <c r="U2079" s="72">
        <f t="shared" si="792"/>
        <v>1</v>
      </c>
    </row>
    <row r="2080" spans="1:21" x14ac:dyDescent="0.25">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0.81667396061269137</v>
      </c>
      <c r="P2080" s="72">
        <f t="shared" si="787"/>
        <v>0.29166666666666663</v>
      </c>
      <c r="Q2080" s="72">
        <f t="shared" si="788"/>
        <v>0</v>
      </c>
      <c r="R2080" s="72">
        <f t="shared" si="789"/>
        <v>0</v>
      </c>
      <c r="S2080" s="72">
        <f t="shared" si="790"/>
        <v>0.96079289483846042</v>
      </c>
      <c r="T2080" s="72">
        <f t="shared" si="791"/>
        <v>0.96079289483846042</v>
      </c>
      <c r="U2080" s="72">
        <f t="shared" si="792"/>
        <v>1</v>
      </c>
    </row>
    <row r="2081" spans="1:21" x14ac:dyDescent="0.25">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0.81800875273522966</v>
      </c>
      <c r="P2081" s="72">
        <f t="shared" si="787"/>
        <v>0.375</v>
      </c>
      <c r="Q2081" s="72">
        <f t="shared" si="788"/>
        <v>0</v>
      </c>
      <c r="R2081" s="72">
        <f t="shared" si="789"/>
        <v>0</v>
      </c>
      <c r="S2081" s="72">
        <f t="shared" si="790"/>
        <v>0.96236323851203487</v>
      </c>
      <c r="T2081" s="72">
        <f t="shared" si="791"/>
        <v>0.96236323851203487</v>
      </c>
      <c r="U2081" s="72">
        <f t="shared" si="792"/>
        <v>1</v>
      </c>
    </row>
    <row r="2082" spans="1:21" x14ac:dyDescent="0.25">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0.81934354485776795</v>
      </c>
      <c r="P2082" s="72">
        <f t="shared" si="787"/>
        <v>0.45833333333333337</v>
      </c>
      <c r="Q2082" s="72">
        <f t="shared" si="788"/>
        <v>0</v>
      </c>
      <c r="R2082" s="72">
        <f t="shared" si="789"/>
        <v>0</v>
      </c>
      <c r="S2082" s="72">
        <f t="shared" si="790"/>
        <v>0.96393358218560943</v>
      </c>
      <c r="T2082" s="72">
        <f t="shared" si="791"/>
        <v>0.96393358218560943</v>
      </c>
      <c r="U2082" s="72">
        <f t="shared" si="792"/>
        <v>1</v>
      </c>
    </row>
    <row r="2083" spans="1:21" x14ac:dyDescent="0.25">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0.82067833698030623</v>
      </c>
      <c r="P2083" s="72">
        <f t="shared" si="787"/>
        <v>0.54166666666666674</v>
      </c>
      <c r="Q2083" s="72">
        <f t="shared" si="788"/>
        <v>0</v>
      </c>
      <c r="R2083" s="72">
        <f t="shared" si="789"/>
        <v>0</v>
      </c>
      <c r="S2083" s="72">
        <f t="shared" si="790"/>
        <v>0.96550392585918388</v>
      </c>
      <c r="T2083" s="72">
        <f t="shared" si="791"/>
        <v>0.96550392585918388</v>
      </c>
      <c r="U2083" s="72">
        <f t="shared" si="792"/>
        <v>1</v>
      </c>
    </row>
    <row r="2084" spans="1:21" x14ac:dyDescent="0.25">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0.82203501094091891</v>
      </c>
      <c r="P2084" s="72">
        <f t="shared" si="787"/>
        <v>0.625</v>
      </c>
      <c r="Q2084" s="72">
        <f t="shared" si="788"/>
        <v>0</v>
      </c>
      <c r="R2084" s="72">
        <f t="shared" si="789"/>
        <v>0</v>
      </c>
      <c r="S2084" s="72">
        <f t="shared" si="790"/>
        <v>0.96710001287166936</v>
      </c>
      <c r="T2084" s="72">
        <f t="shared" si="791"/>
        <v>0.96710001287166936</v>
      </c>
      <c r="U2084" s="72">
        <f t="shared" si="792"/>
        <v>1</v>
      </c>
    </row>
    <row r="2085" spans="1:21" x14ac:dyDescent="0.25">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0.8233698030634572</v>
      </c>
      <c r="P2085" s="72">
        <f t="shared" si="787"/>
        <v>0.70833333333333326</v>
      </c>
      <c r="Q2085" s="72">
        <f t="shared" si="788"/>
        <v>0</v>
      </c>
      <c r="R2085" s="72">
        <f t="shared" si="789"/>
        <v>0</v>
      </c>
      <c r="S2085" s="72">
        <f t="shared" si="790"/>
        <v>0.9686703565452438</v>
      </c>
      <c r="T2085" s="72">
        <f t="shared" si="791"/>
        <v>0.9686703565452438</v>
      </c>
      <c r="U2085" s="72">
        <f t="shared" si="792"/>
        <v>1</v>
      </c>
    </row>
    <row r="2086" spans="1:21" x14ac:dyDescent="0.25">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0.82470459518599559</v>
      </c>
      <c r="P2086" s="72">
        <f t="shared" si="787"/>
        <v>0.79166666666666663</v>
      </c>
      <c r="Q2086" s="72">
        <f t="shared" si="788"/>
        <v>0</v>
      </c>
      <c r="R2086" s="72">
        <f t="shared" si="789"/>
        <v>0</v>
      </c>
      <c r="S2086" s="72">
        <f t="shared" si="790"/>
        <v>0.97024070021881836</v>
      </c>
      <c r="T2086" s="72">
        <f t="shared" si="791"/>
        <v>0.97024070021881836</v>
      </c>
      <c r="U2086" s="72">
        <f t="shared" si="792"/>
        <v>1</v>
      </c>
    </row>
    <row r="2087" spans="1:21" x14ac:dyDescent="0.25">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0.82603938730853388</v>
      </c>
      <c r="P2087" s="72">
        <f t="shared" si="787"/>
        <v>0.875</v>
      </c>
      <c r="Q2087" s="72">
        <f t="shared" si="788"/>
        <v>0</v>
      </c>
      <c r="R2087" s="72">
        <f t="shared" si="789"/>
        <v>0</v>
      </c>
      <c r="S2087" s="72">
        <f t="shared" si="790"/>
        <v>0.97181104389239281</v>
      </c>
      <c r="T2087" s="72">
        <f t="shared" si="791"/>
        <v>0.97181104389239281</v>
      </c>
      <c r="U2087" s="72">
        <f t="shared" si="792"/>
        <v>1</v>
      </c>
    </row>
    <row r="2088" spans="1:21" x14ac:dyDescent="0.25">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0.82737417943107217</v>
      </c>
      <c r="P2088" s="72">
        <f t="shared" si="787"/>
        <v>0.95833333333333337</v>
      </c>
      <c r="Q2088" s="72">
        <f t="shared" si="788"/>
        <v>0</v>
      </c>
      <c r="R2088" s="72">
        <f t="shared" si="789"/>
        <v>0</v>
      </c>
      <c r="S2088" s="72">
        <f t="shared" si="790"/>
        <v>0.97338138756596726</v>
      </c>
      <c r="T2088" s="72">
        <f t="shared" si="791"/>
        <v>0.97338138756596726</v>
      </c>
      <c r="U2088" s="72">
        <f t="shared" si="792"/>
        <v>1</v>
      </c>
    </row>
    <row r="2089" spans="1:21" x14ac:dyDescent="0.25">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0.82873085339168484</v>
      </c>
      <c r="P2089" s="72">
        <f t="shared" si="787"/>
        <v>0.95833333333333337</v>
      </c>
      <c r="Q2089" s="72">
        <f t="shared" si="788"/>
        <v>4.166666666666663E-2</v>
      </c>
      <c r="R2089" s="72">
        <f t="shared" si="789"/>
        <v>0</v>
      </c>
      <c r="S2089" s="72">
        <f t="shared" si="790"/>
        <v>0.97497747457845274</v>
      </c>
      <c r="T2089" s="72">
        <f t="shared" si="791"/>
        <v>0.97497747457845274</v>
      </c>
      <c r="U2089" s="72">
        <f t="shared" si="792"/>
        <v>1</v>
      </c>
    </row>
    <row r="2090" spans="1:21" x14ac:dyDescent="0.25">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0.83002188183807435</v>
      </c>
      <c r="P2090" s="72">
        <f t="shared" si="787"/>
        <v>0.875</v>
      </c>
      <c r="Q2090" s="72">
        <f t="shared" si="788"/>
        <v>0.125</v>
      </c>
      <c r="R2090" s="72">
        <f t="shared" si="789"/>
        <v>0</v>
      </c>
      <c r="S2090" s="72">
        <f t="shared" si="790"/>
        <v>1.0155561848371735</v>
      </c>
      <c r="T2090" s="72">
        <f t="shared" si="791"/>
        <v>1.0155561848371735</v>
      </c>
      <c r="U2090" s="72">
        <f t="shared" si="792"/>
        <v>1.04</v>
      </c>
    </row>
    <row r="2091" spans="1:21" x14ac:dyDescent="0.25">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0.83131291028446386</v>
      </c>
      <c r="P2091" s="72">
        <f t="shared" si="787"/>
        <v>0.79166666666666663</v>
      </c>
      <c r="Q2091" s="72">
        <f t="shared" si="788"/>
        <v>0.20833333333333337</v>
      </c>
      <c r="R2091" s="72">
        <f t="shared" si="789"/>
        <v>0</v>
      </c>
      <c r="S2091" s="72">
        <f t="shared" si="790"/>
        <v>1.0171357961127558</v>
      </c>
      <c r="T2091" s="72">
        <f t="shared" si="791"/>
        <v>1.0171357961127558</v>
      </c>
      <c r="U2091" s="72">
        <f t="shared" si="792"/>
        <v>1.04</v>
      </c>
    </row>
    <row r="2092" spans="1:21" x14ac:dyDescent="0.25">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0.83264770240700214</v>
      </c>
      <c r="P2092" s="72">
        <f t="shared" si="787"/>
        <v>0.70833333333333337</v>
      </c>
      <c r="Q2092" s="72">
        <f t="shared" si="788"/>
        <v>0.29166666666666663</v>
      </c>
      <c r="R2092" s="72">
        <f t="shared" si="789"/>
        <v>0</v>
      </c>
      <c r="S2092" s="72">
        <f t="shared" si="790"/>
        <v>1.0187689535332733</v>
      </c>
      <c r="T2092" s="72">
        <f t="shared" si="791"/>
        <v>1.0187689535332733</v>
      </c>
      <c r="U2092" s="72">
        <f t="shared" si="792"/>
        <v>1.04</v>
      </c>
    </row>
    <row r="2093" spans="1:21" x14ac:dyDescent="0.25">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0.83398249452954043</v>
      </c>
      <c r="P2093" s="72">
        <f t="shared" si="787"/>
        <v>0.625</v>
      </c>
      <c r="Q2093" s="72">
        <f t="shared" si="788"/>
        <v>0.375</v>
      </c>
      <c r="R2093" s="72">
        <f t="shared" si="789"/>
        <v>0</v>
      </c>
      <c r="S2093" s="72">
        <f t="shared" si="790"/>
        <v>1.0204021109537906</v>
      </c>
      <c r="T2093" s="72">
        <f t="shared" si="791"/>
        <v>1.0204021109537906</v>
      </c>
      <c r="U2093" s="72">
        <f t="shared" si="792"/>
        <v>1.04</v>
      </c>
    </row>
    <row r="2094" spans="1:21" x14ac:dyDescent="0.25">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0.83531728665207872</v>
      </c>
      <c r="P2094" s="72">
        <f t="shared" si="787"/>
        <v>0.54166666666666663</v>
      </c>
      <c r="Q2094" s="72">
        <f t="shared" si="788"/>
        <v>0.45833333333333337</v>
      </c>
      <c r="R2094" s="72">
        <f t="shared" si="789"/>
        <v>0</v>
      </c>
      <c r="S2094" s="72">
        <f t="shared" si="790"/>
        <v>1.0220352683743081</v>
      </c>
      <c r="T2094" s="72">
        <f t="shared" si="791"/>
        <v>1.0220352683743081</v>
      </c>
      <c r="U2094" s="72">
        <f t="shared" si="792"/>
        <v>1.04</v>
      </c>
    </row>
    <row r="2095" spans="1:21" x14ac:dyDescent="0.25">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0.836652078774617</v>
      </c>
      <c r="P2095" s="72">
        <f t="shared" si="787"/>
        <v>0.45833333333333331</v>
      </c>
      <c r="Q2095" s="72">
        <f t="shared" si="788"/>
        <v>0.54166666666666674</v>
      </c>
      <c r="R2095" s="72">
        <f t="shared" si="789"/>
        <v>0</v>
      </c>
      <c r="S2095" s="72">
        <f t="shared" si="790"/>
        <v>1.0236684257948256</v>
      </c>
      <c r="T2095" s="72">
        <f t="shared" si="791"/>
        <v>1.0236684257948256</v>
      </c>
      <c r="U2095" s="72">
        <f t="shared" si="792"/>
        <v>1.04</v>
      </c>
    </row>
    <row r="2096" spans="1:21" x14ac:dyDescent="0.25">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0.83800875273522968</v>
      </c>
      <c r="P2096" s="72">
        <f t="shared" si="787"/>
        <v>0.375</v>
      </c>
      <c r="Q2096" s="72">
        <f t="shared" si="788"/>
        <v>0.625</v>
      </c>
      <c r="R2096" s="72">
        <f t="shared" si="789"/>
        <v>0</v>
      </c>
      <c r="S2096" s="72">
        <f t="shared" si="790"/>
        <v>1.0253283562878104</v>
      </c>
      <c r="T2096" s="72">
        <f t="shared" si="791"/>
        <v>1.0253283562878104</v>
      </c>
      <c r="U2096" s="72">
        <f t="shared" si="792"/>
        <v>1.04</v>
      </c>
    </row>
    <row r="2097" spans="1:21" x14ac:dyDescent="0.25">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0.83934354485776796</v>
      </c>
      <c r="P2097" s="72">
        <f t="shared" si="787"/>
        <v>0.29166666666666669</v>
      </c>
      <c r="Q2097" s="72">
        <f t="shared" si="788"/>
        <v>0.70833333333333326</v>
      </c>
      <c r="R2097" s="72">
        <f t="shared" si="789"/>
        <v>0</v>
      </c>
      <c r="S2097" s="72">
        <f t="shared" si="790"/>
        <v>1.0269615137083279</v>
      </c>
      <c r="T2097" s="72">
        <f t="shared" si="791"/>
        <v>1.0269615137083279</v>
      </c>
      <c r="U2097" s="72">
        <f t="shared" si="792"/>
        <v>1.04</v>
      </c>
    </row>
    <row r="2098" spans="1:21" x14ac:dyDescent="0.25">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0.84067833698030636</v>
      </c>
      <c r="P2098" s="72">
        <f t="shared" si="787"/>
        <v>0.20833333333333334</v>
      </c>
      <c r="Q2098" s="72">
        <f t="shared" si="788"/>
        <v>0.79166666666666663</v>
      </c>
      <c r="R2098" s="72">
        <f t="shared" si="789"/>
        <v>0</v>
      </c>
      <c r="S2098" s="72">
        <f t="shared" si="790"/>
        <v>1.0285946711288456</v>
      </c>
      <c r="T2098" s="72">
        <f t="shared" si="791"/>
        <v>1.0285946711288456</v>
      </c>
      <c r="U2098" s="72">
        <f t="shared" si="792"/>
        <v>1.04</v>
      </c>
    </row>
    <row r="2099" spans="1:21" x14ac:dyDescent="0.25">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0.84201312910284465</v>
      </c>
      <c r="P2099" s="72">
        <f t="shared" si="787"/>
        <v>0.125</v>
      </c>
      <c r="Q2099" s="72">
        <f t="shared" si="788"/>
        <v>0.875</v>
      </c>
      <c r="R2099" s="72">
        <f t="shared" si="789"/>
        <v>0</v>
      </c>
      <c r="S2099" s="72">
        <f t="shared" si="790"/>
        <v>1.0302278285493629</v>
      </c>
      <c r="T2099" s="72">
        <f t="shared" si="791"/>
        <v>1.0302278285493629</v>
      </c>
      <c r="U2099" s="72">
        <f t="shared" si="792"/>
        <v>1.04</v>
      </c>
    </row>
    <row r="2100" spans="1:21" x14ac:dyDescent="0.25">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0.84334792122538293</v>
      </c>
      <c r="P2100" s="72">
        <f t="shared" si="787"/>
        <v>4.1666666666666664E-2</v>
      </c>
      <c r="Q2100" s="72">
        <f t="shared" si="788"/>
        <v>0.95833333333333337</v>
      </c>
      <c r="R2100" s="72">
        <f t="shared" si="789"/>
        <v>0</v>
      </c>
      <c r="S2100" s="72">
        <f t="shared" si="790"/>
        <v>1.0318609859698804</v>
      </c>
      <c r="T2100" s="72">
        <f t="shared" si="791"/>
        <v>1.0318609859698804</v>
      </c>
      <c r="U2100" s="72">
        <f t="shared" si="792"/>
        <v>1.04</v>
      </c>
    </row>
    <row r="2101" spans="1:21" x14ac:dyDescent="0.25">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0.84470459518599561</v>
      </c>
      <c r="P2101" s="72">
        <f t="shared" si="787"/>
        <v>0</v>
      </c>
      <c r="Q2101" s="72">
        <f t="shared" si="788"/>
        <v>0.95833333333333337</v>
      </c>
      <c r="R2101" s="72">
        <f t="shared" si="789"/>
        <v>4.166666666666663E-2</v>
      </c>
      <c r="S2101" s="72">
        <f t="shared" si="790"/>
        <v>1.0335209164628654</v>
      </c>
      <c r="T2101" s="72">
        <f t="shared" si="791"/>
        <v>0.97497747457845274</v>
      </c>
      <c r="U2101" s="72">
        <f t="shared" si="792"/>
        <v>1.04</v>
      </c>
    </row>
    <row r="2102" spans="1:21" x14ac:dyDescent="0.25">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0.84599562363238512</v>
      </c>
      <c r="P2102" s="72">
        <f t="shared" si="787"/>
        <v>0</v>
      </c>
      <c r="Q2102" s="72">
        <f t="shared" si="788"/>
        <v>0.875</v>
      </c>
      <c r="R2102" s="72">
        <f t="shared" si="789"/>
        <v>0.125</v>
      </c>
      <c r="S2102" s="72">
        <f t="shared" si="790"/>
        <v>1.0351005277384477</v>
      </c>
      <c r="T2102" s="72">
        <f t="shared" si="791"/>
        <v>1.0155561848371735</v>
      </c>
      <c r="U2102" s="72">
        <f t="shared" si="792"/>
        <v>1.04</v>
      </c>
    </row>
    <row r="2103" spans="1:21" x14ac:dyDescent="0.25">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0.84728665207877463</v>
      </c>
      <c r="P2103" s="72">
        <f t="shared" si="787"/>
        <v>0</v>
      </c>
      <c r="Q2103" s="72">
        <f t="shared" si="788"/>
        <v>0.79166666666666663</v>
      </c>
      <c r="R2103" s="72">
        <f t="shared" si="789"/>
        <v>0.20833333333333337</v>
      </c>
      <c r="S2103" s="72">
        <f t="shared" si="790"/>
        <v>1.0366801390140303</v>
      </c>
      <c r="T2103" s="72">
        <f t="shared" si="791"/>
        <v>1.0171357961127558</v>
      </c>
      <c r="U2103" s="72">
        <f t="shared" si="792"/>
        <v>1.04</v>
      </c>
    </row>
    <row r="2104" spans="1:21" x14ac:dyDescent="0.25">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0.84862144420131291</v>
      </c>
      <c r="P2104" s="72">
        <f t="shared" si="787"/>
        <v>0</v>
      </c>
      <c r="Q2104" s="72">
        <f t="shared" si="788"/>
        <v>0.70833333333333337</v>
      </c>
      <c r="R2104" s="72">
        <f t="shared" si="789"/>
        <v>0.29166666666666663</v>
      </c>
      <c r="S2104" s="72">
        <f t="shared" si="790"/>
        <v>1.0383132964345476</v>
      </c>
      <c r="T2104" s="72">
        <f t="shared" si="791"/>
        <v>1.0187689535332733</v>
      </c>
      <c r="U2104" s="72">
        <f t="shared" si="792"/>
        <v>1.04</v>
      </c>
    </row>
    <row r="2105" spans="1:21" x14ac:dyDescent="0.25">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0.8499562363238512</v>
      </c>
      <c r="P2105" s="72">
        <f t="shared" si="787"/>
        <v>0</v>
      </c>
      <c r="Q2105" s="72">
        <f t="shared" si="788"/>
        <v>0.625</v>
      </c>
      <c r="R2105" s="72">
        <f t="shared" si="789"/>
        <v>0.375</v>
      </c>
      <c r="S2105" s="72">
        <f t="shared" si="790"/>
        <v>1.0399464538550651</v>
      </c>
      <c r="T2105" s="72">
        <f t="shared" si="791"/>
        <v>1.0204021109537906</v>
      </c>
      <c r="U2105" s="72">
        <f t="shared" si="792"/>
        <v>1.04</v>
      </c>
    </row>
    <row r="2106" spans="1:21" x14ac:dyDescent="0.25">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0.85129102844638949</v>
      </c>
      <c r="P2106" s="72">
        <f t="shared" si="787"/>
        <v>0</v>
      </c>
      <c r="Q2106" s="72">
        <f t="shared" si="788"/>
        <v>0.54166666666666663</v>
      </c>
      <c r="R2106" s="72">
        <f t="shared" si="789"/>
        <v>0.45833333333333337</v>
      </c>
      <c r="S2106" s="72">
        <f t="shared" si="790"/>
        <v>1.0415796112755824</v>
      </c>
      <c r="T2106" s="72">
        <f t="shared" si="791"/>
        <v>1.0220352683743081</v>
      </c>
      <c r="U2106" s="72">
        <f t="shared" si="792"/>
        <v>1.04</v>
      </c>
    </row>
    <row r="2107" spans="1:21" x14ac:dyDescent="0.25">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0.85262582056892777</v>
      </c>
      <c r="P2107" s="72">
        <f t="shared" si="787"/>
        <v>0</v>
      </c>
      <c r="Q2107" s="72">
        <f t="shared" si="788"/>
        <v>0.45833333333333331</v>
      </c>
      <c r="R2107" s="72">
        <f t="shared" si="789"/>
        <v>0.54166666666666674</v>
      </c>
      <c r="S2107" s="72">
        <f t="shared" si="790"/>
        <v>1.0432127686960999</v>
      </c>
      <c r="T2107" s="72">
        <f t="shared" si="791"/>
        <v>1.0236684257948256</v>
      </c>
      <c r="U2107" s="72">
        <f t="shared" si="792"/>
        <v>1.04</v>
      </c>
    </row>
    <row r="2108" spans="1:21" x14ac:dyDescent="0.25">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0.85398249452954045</v>
      </c>
      <c r="P2108" s="72">
        <f t="shared" si="787"/>
        <v>0</v>
      </c>
      <c r="Q2108" s="72">
        <f t="shared" si="788"/>
        <v>0.375</v>
      </c>
      <c r="R2108" s="72">
        <f t="shared" si="789"/>
        <v>0.625</v>
      </c>
      <c r="S2108" s="72">
        <f t="shared" si="790"/>
        <v>1.0866676071566483</v>
      </c>
      <c r="T2108" s="72">
        <f t="shared" si="791"/>
        <v>1.0253283562878104</v>
      </c>
      <c r="U2108" s="72">
        <f t="shared" si="792"/>
        <v>1.0816000000000001</v>
      </c>
    </row>
    <row r="2109" spans="1:21" x14ac:dyDescent="0.25">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0.85531728665207873</v>
      </c>
      <c r="P2109" s="72">
        <f t="shared" si="787"/>
        <v>0</v>
      </c>
      <c r="Q2109" s="72">
        <f t="shared" si="788"/>
        <v>0.29166666666666669</v>
      </c>
      <c r="R2109" s="72">
        <f t="shared" si="789"/>
        <v>0.70833333333333326</v>
      </c>
      <c r="S2109" s="72">
        <f t="shared" si="790"/>
        <v>1.0883660908739865</v>
      </c>
      <c r="T2109" s="72">
        <f t="shared" si="791"/>
        <v>1.0269615137083279</v>
      </c>
      <c r="U2109" s="72">
        <f t="shared" si="792"/>
        <v>1.0816000000000001</v>
      </c>
    </row>
    <row r="2110" spans="1:21" x14ac:dyDescent="0.25">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0.85665207877461702</v>
      </c>
      <c r="P2110" s="72">
        <f t="shared" si="787"/>
        <v>0</v>
      </c>
      <c r="Q2110" s="72">
        <f t="shared" si="788"/>
        <v>0.20833333333333334</v>
      </c>
      <c r="R2110" s="72">
        <f t="shared" si="789"/>
        <v>0.79166666666666663</v>
      </c>
      <c r="S2110" s="72">
        <f t="shared" si="790"/>
        <v>1.0900645745913247</v>
      </c>
      <c r="T2110" s="72">
        <f t="shared" si="791"/>
        <v>1.0285946711288456</v>
      </c>
      <c r="U2110" s="72">
        <f t="shared" si="792"/>
        <v>1.0816000000000001</v>
      </c>
    </row>
    <row r="2111" spans="1:21" x14ac:dyDescent="0.25">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0.85798687089715531</v>
      </c>
      <c r="P2111" s="72">
        <f t="shared" si="787"/>
        <v>0</v>
      </c>
      <c r="Q2111" s="72">
        <f t="shared" si="788"/>
        <v>0.125</v>
      </c>
      <c r="R2111" s="72">
        <f t="shared" si="789"/>
        <v>0.875</v>
      </c>
      <c r="S2111" s="72">
        <f t="shared" si="790"/>
        <v>1.0917630583086626</v>
      </c>
      <c r="T2111" s="72">
        <f t="shared" si="791"/>
        <v>1.0302278285493629</v>
      </c>
      <c r="U2111" s="72">
        <f t="shared" si="792"/>
        <v>1.0816000000000001</v>
      </c>
    </row>
    <row r="2112" spans="1:21" x14ac:dyDescent="0.25">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0.85932166301969359</v>
      </c>
      <c r="P2112" s="72">
        <f t="shared" si="787"/>
        <v>0</v>
      </c>
      <c r="Q2112" s="72">
        <f t="shared" si="788"/>
        <v>4.1666666666666664E-2</v>
      </c>
      <c r="R2112" s="72">
        <f t="shared" si="789"/>
        <v>0.95833333333333337</v>
      </c>
      <c r="S2112" s="72">
        <f t="shared" si="790"/>
        <v>1.093461542026001</v>
      </c>
      <c r="T2112" s="72">
        <f t="shared" si="791"/>
        <v>1.0318609859698804</v>
      </c>
      <c r="U2112" s="72">
        <f t="shared" si="792"/>
        <v>1.0816000000000001</v>
      </c>
    </row>
    <row r="2113" spans="1:21" x14ac:dyDescent="0.25">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0.86</v>
      </c>
      <c r="P2113" s="72">
        <f t="shared" si="787"/>
        <v>0</v>
      </c>
      <c r="Q2113" s="72">
        <f t="shared" si="788"/>
        <v>0</v>
      </c>
      <c r="R2113" s="72">
        <f t="shared" si="789"/>
        <v>0.95833333333333337</v>
      </c>
      <c r="S2113" s="72">
        <f t="shared" si="790"/>
        <v>1.0943247058823531</v>
      </c>
      <c r="T2113" s="72">
        <f t="shared" si="791"/>
        <v>0.97497747457845274</v>
      </c>
      <c r="U2113" s="72">
        <f t="shared" si="792"/>
        <v>1.0816000000000001</v>
      </c>
    </row>
    <row r="2114" spans="1:21" x14ac:dyDescent="0.25">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0.86</v>
      </c>
      <c r="P2114" s="72">
        <f t="shared" si="787"/>
        <v>0</v>
      </c>
      <c r="Q2114" s="72">
        <f t="shared" si="788"/>
        <v>0</v>
      </c>
      <c r="R2114" s="72">
        <f t="shared" si="789"/>
        <v>0.875</v>
      </c>
      <c r="S2114" s="72">
        <f t="shared" si="790"/>
        <v>1.0943247058823531</v>
      </c>
      <c r="T2114" s="72">
        <f t="shared" si="791"/>
        <v>1.0155561848371735</v>
      </c>
      <c r="U2114" s="72">
        <f t="shared" si="792"/>
        <v>1.0816000000000001</v>
      </c>
    </row>
    <row r="2115" spans="1:21" x14ac:dyDescent="0.25">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0.86</v>
      </c>
      <c r="P2115" s="72">
        <f t="shared" si="787"/>
        <v>0</v>
      </c>
      <c r="Q2115" s="72">
        <f t="shared" si="788"/>
        <v>0</v>
      </c>
      <c r="R2115" s="72">
        <f t="shared" si="789"/>
        <v>0.79166666666666663</v>
      </c>
      <c r="S2115" s="72">
        <f t="shared" si="790"/>
        <v>1.0943247058823531</v>
      </c>
      <c r="T2115" s="72">
        <f t="shared" si="791"/>
        <v>1.0171357961127558</v>
      </c>
      <c r="U2115" s="72">
        <f t="shared" si="792"/>
        <v>1.0816000000000001</v>
      </c>
    </row>
    <row r="2116" spans="1:21" x14ac:dyDescent="0.25">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0.86</v>
      </c>
      <c r="P2116" s="72">
        <f t="shared" si="787"/>
        <v>0</v>
      </c>
      <c r="Q2116" s="72">
        <f t="shared" si="788"/>
        <v>0</v>
      </c>
      <c r="R2116" s="72">
        <f t="shared" si="789"/>
        <v>0.70833333333333337</v>
      </c>
      <c r="S2116" s="72">
        <f t="shared" si="790"/>
        <v>1.0943247058823531</v>
      </c>
      <c r="T2116" s="72">
        <f t="shared" si="791"/>
        <v>1.0187689535332733</v>
      </c>
      <c r="U2116" s="72">
        <f t="shared" si="792"/>
        <v>1.0816000000000001</v>
      </c>
    </row>
    <row r="2117" spans="1:21" x14ac:dyDescent="0.25">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0.86</v>
      </c>
      <c r="P2117" s="72">
        <f t="shared" si="787"/>
        <v>0</v>
      </c>
      <c r="Q2117" s="72">
        <f t="shared" si="788"/>
        <v>0</v>
      </c>
      <c r="R2117" s="72">
        <f t="shared" si="789"/>
        <v>0.625</v>
      </c>
      <c r="S2117" s="72">
        <f t="shared" si="790"/>
        <v>1.0943247058823531</v>
      </c>
      <c r="T2117" s="72">
        <f t="shared" si="791"/>
        <v>1.0204021109537906</v>
      </c>
      <c r="U2117" s="72">
        <f t="shared" si="792"/>
        <v>1.0816000000000001</v>
      </c>
    </row>
    <row r="2118" spans="1:21" x14ac:dyDescent="0.25">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0.86</v>
      </c>
      <c r="P2118" s="72">
        <f t="shared" si="787"/>
        <v>0</v>
      </c>
      <c r="Q2118" s="72">
        <f t="shared" si="788"/>
        <v>0</v>
      </c>
      <c r="R2118" s="72">
        <f t="shared" si="789"/>
        <v>0.54166666666666663</v>
      </c>
      <c r="S2118" s="72">
        <f t="shared" si="790"/>
        <v>1.0943247058823531</v>
      </c>
      <c r="T2118" s="72">
        <f t="shared" si="791"/>
        <v>1.0220352683743081</v>
      </c>
      <c r="U2118" s="72">
        <f t="shared" si="792"/>
        <v>1.0816000000000001</v>
      </c>
    </row>
    <row r="2119" spans="1:21" x14ac:dyDescent="0.25">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0.86</v>
      </c>
      <c r="P2119" s="72">
        <f t="shared" si="787"/>
        <v>0</v>
      </c>
      <c r="Q2119" s="72">
        <f t="shared" si="788"/>
        <v>0</v>
      </c>
      <c r="R2119" s="72">
        <f t="shared" si="789"/>
        <v>0.45833333333333331</v>
      </c>
      <c r="S2119" s="72">
        <f t="shared" si="790"/>
        <v>1.0943247058823531</v>
      </c>
      <c r="T2119" s="72">
        <f t="shared" si="791"/>
        <v>1.0236684257948256</v>
      </c>
      <c r="U2119" s="72">
        <f t="shared" si="792"/>
        <v>1.0816000000000001</v>
      </c>
    </row>
    <row r="2120" spans="1:21" x14ac:dyDescent="0.25">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0.86</v>
      </c>
      <c r="P2120" s="72">
        <f t="shared" si="787"/>
        <v>0</v>
      </c>
      <c r="Q2120" s="72">
        <f t="shared" si="788"/>
        <v>0</v>
      </c>
      <c r="R2120" s="72">
        <f t="shared" si="789"/>
        <v>0.375</v>
      </c>
      <c r="S2120" s="72">
        <f t="shared" si="790"/>
        <v>1.0943247058823531</v>
      </c>
      <c r="T2120" s="72">
        <f t="shared" si="791"/>
        <v>1.0253283562878104</v>
      </c>
      <c r="U2120" s="72">
        <f t="shared" si="792"/>
        <v>1.0816000000000001</v>
      </c>
    </row>
    <row r="2121" spans="1:21" x14ac:dyDescent="0.25">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0.86</v>
      </c>
      <c r="P2121" s="72">
        <f t="shared" si="787"/>
        <v>0</v>
      </c>
      <c r="Q2121" s="72">
        <f t="shared" si="788"/>
        <v>0</v>
      </c>
      <c r="R2121" s="72">
        <f t="shared" si="789"/>
        <v>0.29166666666666669</v>
      </c>
      <c r="S2121" s="72">
        <f t="shared" si="790"/>
        <v>1.0943247058823531</v>
      </c>
      <c r="T2121" s="72">
        <f t="shared" si="791"/>
        <v>1.0269615137083279</v>
      </c>
      <c r="U2121" s="72">
        <f t="shared" si="792"/>
        <v>1.0816000000000001</v>
      </c>
    </row>
    <row r="2122" spans="1:21" x14ac:dyDescent="0.25">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0.86</v>
      </c>
      <c r="P2122" s="72">
        <f t="shared" si="787"/>
        <v>0</v>
      </c>
      <c r="Q2122" s="72">
        <f t="shared" si="788"/>
        <v>0</v>
      </c>
      <c r="R2122" s="72">
        <f t="shared" si="789"/>
        <v>0.20833333333333334</v>
      </c>
      <c r="S2122" s="72">
        <f t="shared" si="790"/>
        <v>1.0943247058823531</v>
      </c>
      <c r="T2122" s="72">
        <f t="shared" si="791"/>
        <v>1.0285946711288456</v>
      </c>
      <c r="U2122" s="72">
        <f t="shared" si="792"/>
        <v>1.0816000000000001</v>
      </c>
    </row>
    <row r="2123" spans="1:21" x14ac:dyDescent="0.25">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0.86</v>
      </c>
      <c r="P2123" s="72">
        <f t="shared" si="787"/>
        <v>0</v>
      </c>
      <c r="Q2123" s="72">
        <f t="shared" si="788"/>
        <v>0</v>
      </c>
      <c r="R2123" s="72">
        <f t="shared" si="789"/>
        <v>0.125</v>
      </c>
      <c r="S2123" s="72">
        <f t="shared" si="790"/>
        <v>1.0943247058823531</v>
      </c>
      <c r="T2123" s="72">
        <f t="shared" si="791"/>
        <v>1.0302278285493629</v>
      </c>
      <c r="U2123" s="72">
        <f t="shared" si="792"/>
        <v>1.0816000000000001</v>
      </c>
    </row>
    <row r="2124" spans="1:21" x14ac:dyDescent="0.25">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0.86</v>
      </c>
      <c r="P2124" s="72">
        <f t="shared" si="787"/>
        <v>0</v>
      </c>
      <c r="Q2124" s="72">
        <f t="shared" si="788"/>
        <v>0</v>
      </c>
      <c r="R2124" s="72">
        <f t="shared" si="789"/>
        <v>4.1666666666666664E-2</v>
      </c>
      <c r="S2124" s="72">
        <f t="shared" si="790"/>
        <v>1.0943247058823531</v>
      </c>
      <c r="T2124" s="72">
        <f t="shared" si="791"/>
        <v>1.0318609859698804</v>
      </c>
      <c r="U2124" s="72">
        <f t="shared" si="792"/>
        <v>1.0816000000000001</v>
      </c>
    </row>
    <row r="2125" spans="1:21" x14ac:dyDescent="0.25">
      <c r="A2125" s="77" t="s">
        <v>1209</v>
      </c>
      <c r="B2125" s="50">
        <f>EXP(SUMPRODUCT((rl_key=$A$2074)*(rl_cons="Y")*rl_ln1p))</f>
        <v>1.04</v>
      </c>
      <c r="C2125" s="50">
        <f>SUMPRODUCT($H$2077:$H$2124,$P$2077:$P$2124,$U$2077:$U$2124)/SUMPRODUCT($H$2077:$H$2124,$P$2077:$P$2124)</f>
        <v>1.0168055555555555</v>
      </c>
      <c r="D2125" s="50">
        <f>SUMPRODUCT($H$2077:$H$2124,$Q$2077:$Q$2124,$U$2077:$U$2124)/SUMPRODUCT($H$2077:$H$2124,$Q$2077:$Q$2124)</f>
        <v>1.0434722222222224</v>
      </c>
      <c r="E2125" s="50">
        <f>SUMPRODUCT($H$2077:$H$2124,$R$2077:$R$2124,$U$2077:$U$2124)/SUMPRODUCT($H$2077:$H$2124,$R$2077:$R$2124)</f>
        <v>1.0745222222222226</v>
      </c>
      <c r="F2125" s="169">
        <f>SUMPRODUCT($H$2077:$H$2124,$Q$2077:$Q$2124,$O$2077:$O$2124)/SUMPRODUCT($H$2077:$H$2124,$Q$2077:$Q$2124)</f>
        <v>0.84399161196207151</v>
      </c>
      <c r="G2125" s="169">
        <f>SUMPRODUCT($H$2077:$H$2124,$R$2077:$R$2124,$O$2077:$O$2124)/SUMPRODUCT($H$2077:$H$2124,$R$2077:$R$2124)</f>
        <v>0.85731271274009246</v>
      </c>
    </row>
    <row r="2128" spans="1:21" x14ac:dyDescent="0.25">
      <c r="A2128" s="77" t="str">
        <f>INDEX(lr_key,39)</f>
        <v>BU-B|OH</v>
      </c>
      <c r="B2128" s="77" t="str">
        <f>INDEX(lr_state,39)</f>
        <v>OH</v>
      </c>
      <c r="C2128" s="52">
        <f>nr_TermMonths</f>
        <v>12</v>
      </c>
      <c r="D2128" s="52">
        <f>IF(COUNTIF(se_state,$B2128)=0,0,MATCH($B2128,se_state,0))</f>
        <v>0</v>
      </c>
      <c r="E2128" s="54">
        <f>IF($D2128=0,0,INDEX(se_sum,$D2128))</f>
        <v>0</v>
      </c>
      <c r="F2128" s="169">
        <f>IF(N(INDEX(lr_mind,39))=0,1,INDEX(lr_mind,39))</f>
        <v>0.85</v>
      </c>
      <c r="G2128" s="169">
        <f>IF(N(INDEX(lr_m0,39))=0,1,INDEX(lr_m0,39))</f>
        <v>0.84</v>
      </c>
      <c r="H2128" s="51">
        <f>IF(N(INDEX(lr_m0asof,39))=0,DATE(nr_PlanYear-1,10,1),INDEX(lr_m0asof,39))</f>
        <v>46295</v>
      </c>
      <c r="I2128" s="169">
        <f>IF(N(INDEX(lr_m1,39))=0,1,INDEX(lr_m1,39))</f>
        <v>0.84</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25">
      <c r="A2129" s="77">
        <f>EDATE($H$2128,-12)+1</f>
        <v>45931</v>
      </c>
      <c r="B2129" s="77">
        <f>$H$2128+1</f>
        <v>46296</v>
      </c>
      <c r="C2129" s="77">
        <f>DATE(nr_PlanYear,12,31)+1</f>
        <v>46753</v>
      </c>
      <c r="D2129" s="77">
        <f>DATE(nr_PlanYear+1,12,31)+1</f>
        <v>47119</v>
      </c>
      <c r="E2129" s="77">
        <f>IF(N($J$2128)=0,$F$2129-($G$2129-$F$2129)/($C$2129-$B$2129)*($B$2129-$A$2129),$J$2128)</f>
        <v>0.84</v>
      </c>
      <c r="F2129" s="77">
        <f>$G$2128</f>
        <v>0.84</v>
      </c>
      <c r="G2129" s="77">
        <f>$I$2128</f>
        <v>0.84</v>
      </c>
      <c r="H2129" s="77">
        <f>IF(N($K$2128)=0,$I$2128,$K$2128)</f>
        <v>0.84</v>
      </c>
      <c r="I2129" s="77">
        <f>($F$2129-$E$2129)/($B$2129-$A$2129)</f>
        <v>0</v>
      </c>
      <c r="J2129" s="77">
        <f>($G$2129-$F$2129)/($C$2129-$B$2129)</f>
        <v>0</v>
      </c>
      <c r="K2129" s="77">
        <f>($H$2129-$G$2129)/($D$2129-$C$2129)</f>
        <v>0</v>
      </c>
    </row>
    <row r="2130" spans="1:21" ht="24" x14ac:dyDescent="0.25">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25">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0.84</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0.9882352941176471</v>
      </c>
      <c r="T2131" s="72">
        <f t="shared" ref="T2131:T2178" si="811">IF($G2131&lt;nr_MStartP,$S2131,$T2119*(1+IF($G2131&lt;nr_MStartP1,$M$2128,$N$2128)))</f>
        <v>0.9882352941176471</v>
      </c>
      <c r="U2131" s="72">
        <f t="shared" ref="U2131:U2178" si="812">IF($L$2128,$T2131,$N2131)</f>
        <v>1</v>
      </c>
    </row>
    <row r="2132" spans="1:21" x14ac:dyDescent="0.25">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0.84</v>
      </c>
      <c r="P2132" s="72">
        <f t="shared" si="807"/>
        <v>0.125</v>
      </c>
      <c r="Q2132" s="72">
        <f t="shared" si="808"/>
        <v>0</v>
      </c>
      <c r="R2132" s="72">
        <f t="shared" si="809"/>
        <v>0</v>
      </c>
      <c r="S2132" s="72">
        <f t="shared" si="810"/>
        <v>0.9882352941176471</v>
      </c>
      <c r="T2132" s="72">
        <f t="shared" si="811"/>
        <v>0.9882352941176471</v>
      </c>
      <c r="U2132" s="72">
        <f t="shared" si="812"/>
        <v>1</v>
      </c>
    </row>
    <row r="2133" spans="1:21" x14ac:dyDescent="0.25">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0.84</v>
      </c>
      <c r="P2133" s="72">
        <f t="shared" si="807"/>
        <v>0.20833333333333337</v>
      </c>
      <c r="Q2133" s="72">
        <f t="shared" si="808"/>
        <v>0</v>
      </c>
      <c r="R2133" s="72">
        <f t="shared" si="809"/>
        <v>0</v>
      </c>
      <c r="S2133" s="72">
        <f t="shared" si="810"/>
        <v>0.9882352941176471</v>
      </c>
      <c r="T2133" s="72">
        <f t="shared" si="811"/>
        <v>0.9882352941176471</v>
      </c>
      <c r="U2133" s="72">
        <f t="shared" si="812"/>
        <v>1</v>
      </c>
    </row>
    <row r="2134" spans="1:21" x14ac:dyDescent="0.25">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0.84</v>
      </c>
      <c r="P2134" s="72">
        <f t="shared" si="807"/>
        <v>0.29166666666666663</v>
      </c>
      <c r="Q2134" s="72">
        <f t="shared" si="808"/>
        <v>0</v>
      </c>
      <c r="R2134" s="72">
        <f t="shared" si="809"/>
        <v>0</v>
      </c>
      <c r="S2134" s="72">
        <f t="shared" si="810"/>
        <v>0.9882352941176471</v>
      </c>
      <c r="T2134" s="72">
        <f t="shared" si="811"/>
        <v>0.9882352941176471</v>
      </c>
      <c r="U2134" s="72">
        <f t="shared" si="812"/>
        <v>1</v>
      </c>
    </row>
    <row r="2135" spans="1:21" x14ac:dyDescent="0.25">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0.84</v>
      </c>
      <c r="P2135" s="72">
        <f t="shared" si="807"/>
        <v>0.375</v>
      </c>
      <c r="Q2135" s="72">
        <f t="shared" si="808"/>
        <v>0</v>
      </c>
      <c r="R2135" s="72">
        <f t="shared" si="809"/>
        <v>0</v>
      </c>
      <c r="S2135" s="72">
        <f t="shared" si="810"/>
        <v>0.9882352941176471</v>
      </c>
      <c r="T2135" s="72">
        <f t="shared" si="811"/>
        <v>0.9882352941176471</v>
      </c>
      <c r="U2135" s="72">
        <f t="shared" si="812"/>
        <v>1</v>
      </c>
    </row>
    <row r="2136" spans="1:21" x14ac:dyDescent="0.25">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0.84</v>
      </c>
      <c r="P2136" s="72">
        <f t="shared" si="807"/>
        <v>0.45833333333333337</v>
      </c>
      <c r="Q2136" s="72">
        <f t="shared" si="808"/>
        <v>0</v>
      </c>
      <c r="R2136" s="72">
        <f t="shared" si="809"/>
        <v>0</v>
      </c>
      <c r="S2136" s="72">
        <f t="shared" si="810"/>
        <v>0.9882352941176471</v>
      </c>
      <c r="T2136" s="72">
        <f t="shared" si="811"/>
        <v>0.9882352941176471</v>
      </c>
      <c r="U2136" s="72">
        <f t="shared" si="812"/>
        <v>1</v>
      </c>
    </row>
    <row r="2137" spans="1:21" x14ac:dyDescent="0.25">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0.84</v>
      </c>
      <c r="P2137" s="72">
        <f t="shared" si="807"/>
        <v>0.54166666666666674</v>
      </c>
      <c r="Q2137" s="72">
        <f t="shared" si="808"/>
        <v>0</v>
      </c>
      <c r="R2137" s="72">
        <f t="shared" si="809"/>
        <v>0</v>
      </c>
      <c r="S2137" s="72">
        <f t="shared" si="810"/>
        <v>0.9882352941176471</v>
      </c>
      <c r="T2137" s="72">
        <f t="shared" si="811"/>
        <v>0.9882352941176471</v>
      </c>
      <c r="U2137" s="72">
        <f t="shared" si="812"/>
        <v>1</v>
      </c>
    </row>
    <row r="2138" spans="1:21" x14ac:dyDescent="0.25">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0.84</v>
      </c>
      <c r="P2138" s="72">
        <f t="shared" si="807"/>
        <v>0.625</v>
      </c>
      <c r="Q2138" s="72">
        <f t="shared" si="808"/>
        <v>0</v>
      </c>
      <c r="R2138" s="72">
        <f t="shared" si="809"/>
        <v>0</v>
      </c>
      <c r="S2138" s="72">
        <f t="shared" si="810"/>
        <v>0.9882352941176471</v>
      </c>
      <c r="T2138" s="72">
        <f t="shared" si="811"/>
        <v>0.9882352941176471</v>
      </c>
      <c r="U2138" s="72">
        <f t="shared" si="812"/>
        <v>1</v>
      </c>
    </row>
    <row r="2139" spans="1:21" x14ac:dyDescent="0.25">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0.84</v>
      </c>
      <c r="P2139" s="72">
        <f t="shared" si="807"/>
        <v>0.70833333333333326</v>
      </c>
      <c r="Q2139" s="72">
        <f t="shared" si="808"/>
        <v>0</v>
      </c>
      <c r="R2139" s="72">
        <f t="shared" si="809"/>
        <v>0</v>
      </c>
      <c r="S2139" s="72">
        <f t="shared" si="810"/>
        <v>0.9882352941176471</v>
      </c>
      <c r="T2139" s="72">
        <f t="shared" si="811"/>
        <v>0.9882352941176471</v>
      </c>
      <c r="U2139" s="72">
        <f t="shared" si="812"/>
        <v>1</v>
      </c>
    </row>
    <row r="2140" spans="1:21" x14ac:dyDescent="0.25">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0.84</v>
      </c>
      <c r="P2140" s="72">
        <f t="shared" si="807"/>
        <v>0.79166666666666663</v>
      </c>
      <c r="Q2140" s="72">
        <f t="shared" si="808"/>
        <v>0</v>
      </c>
      <c r="R2140" s="72">
        <f t="shared" si="809"/>
        <v>0</v>
      </c>
      <c r="S2140" s="72">
        <f t="shared" si="810"/>
        <v>0.9882352941176471</v>
      </c>
      <c r="T2140" s="72">
        <f t="shared" si="811"/>
        <v>0.9882352941176471</v>
      </c>
      <c r="U2140" s="72">
        <f t="shared" si="812"/>
        <v>1</v>
      </c>
    </row>
    <row r="2141" spans="1:21" x14ac:dyDescent="0.25">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0.84</v>
      </c>
      <c r="P2141" s="72">
        <f t="shared" si="807"/>
        <v>0.875</v>
      </c>
      <c r="Q2141" s="72">
        <f t="shared" si="808"/>
        <v>0</v>
      </c>
      <c r="R2141" s="72">
        <f t="shared" si="809"/>
        <v>0</v>
      </c>
      <c r="S2141" s="72">
        <f t="shared" si="810"/>
        <v>0.9882352941176471</v>
      </c>
      <c r="T2141" s="72">
        <f t="shared" si="811"/>
        <v>0.9882352941176471</v>
      </c>
      <c r="U2141" s="72">
        <f t="shared" si="812"/>
        <v>1</v>
      </c>
    </row>
    <row r="2142" spans="1:21" x14ac:dyDescent="0.25">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0.84</v>
      </c>
      <c r="P2142" s="72">
        <f t="shared" si="807"/>
        <v>0.95833333333333337</v>
      </c>
      <c r="Q2142" s="72">
        <f t="shared" si="808"/>
        <v>0</v>
      </c>
      <c r="R2142" s="72">
        <f t="shared" si="809"/>
        <v>0</v>
      </c>
      <c r="S2142" s="72">
        <f t="shared" si="810"/>
        <v>0.9882352941176471</v>
      </c>
      <c r="T2142" s="72">
        <f t="shared" si="811"/>
        <v>0.9882352941176471</v>
      </c>
      <c r="U2142" s="72">
        <f t="shared" si="812"/>
        <v>1</v>
      </c>
    </row>
    <row r="2143" spans="1:21" x14ac:dyDescent="0.25">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0.84</v>
      </c>
      <c r="P2143" s="72">
        <f t="shared" si="807"/>
        <v>0.95833333333333337</v>
      </c>
      <c r="Q2143" s="72">
        <f t="shared" si="808"/>
        <v>4.166666666666663E-2</v>
      </c>
      <c r="R2143" s="72">
        <f t="shared" si="809"/>
        <v>0</v>
      </c>
      <c r="S2143" s="72">
        <f t="shared" si="810"/>
        <v>0.9882352941176471</v>
      </c>
      <c r="T2143" s="72">
        <f t="shared" si="811"/>
        <v>0.9882352941176471</v>
      </c>
      <c r="U2143" s="72">
        <f t="shared" si="812"/>
        <v>1</v>
      </c>
    </row>
    <row r="2144" spans="1:21" x14ac:dyDescent="0.25">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0.84</v>
      </c>
      <c r="P2144" s="72">
        <f t="shared" si="807"/>
        <v>0.875</v>
      </c>
      <c r="Q2144" s="72">
        <f t="shared" si="808"/>
        <v>0.125</v>
      </c>
      <c r="R2144" s="72">
        <f t="shared" si="809"/>
        <v>0</v>
      </c>
      <c r="S2144" s="72">
        <f t="shared" si="810"/>
        <v>0.9882352941176471</v>
      </c>
      <c r="T2144" s="72">
        <f t="shared" si="811"/>
        <v>0.9882352941176471</v>
      </c>
      <c r="U2144" s="72">
        <f t="shared" si="812"/>
        <v>1</v>
      </c>
    </row>
    <row r="2145" spans="1:21" x14ac:dyDescent="0.25">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0.84</v>
      </c>
      <c r="P2145" s="72">
        <f t="shared" si="807"/>
        <v>0.79166666666666663</v>
      </c>
      <c r="Q2145" s="72">
        <f t="shared" si="808"/>
        <v>0.20833333333333337</v>
      </c>
      <c r="R2145" s="72">
        <f t="shared" si="809"/>
        <v>0</v>
      </c>
      <c r="S2145" s="72">
        <f t="shared" si="810"/>
        <v>0.9882352941176471</v>
      </c>
      <c r="T2145" s="72">
        <f t="shared" si="811"/>
        <v>0.9882352941176471</v>
      </c>
      <c r="U2145" s="72">
        <f t="shared" si="812"/>
        <v>1</v>
      </c>
    </row>
    <row r="2146" spans="1:21" x14ac:dyDescent="0.25">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0.84</v>
      </c>
      <c r="P2146" s="72">
        <f t="shared" si="807"/>
        <v>0.70833333333333337</v>
      </c>
      <c r="Q2146" s="72">
        <f t="shared" si="808"/>
        <v>0.29166666666666663</v>
      </c>
      <c r="R2146" s="72">
        <f t="shared" si="809"/>
        <v>0</v>
      </c>
      <c r="S2146" s="72">
        <f t="shared" si="810"/>
        <v>0.9882352941176471</v>
      </c>
      <c r="T2146" s="72">
        <f t="shared" si="811"/>
        <v>0.9882352941176471</v>
      </c>
      <c r="U2146" s="72">
        <f t="shared" si="812"/>
        <v>1</v>
      </c>
    </row>
    <row r="2147" spans="1:21" x14ac:dyDescent="0.25">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0.84</v>
      </c>
      <c r="P2147" s="72">
        <f t="shared" si="807"/>
        <v>0.625</v>
      </c>
      <c r="Q2147" s="72">
        <f t="shared" si="808"/>
        <v>0.375</v>
      </c>
      <c r="R2147" s="72">
        <f t="shared" si="809"/>
        <v>0</v>
      </c>
      <c r="S2147" s="72">
        <f t="shared" si="810"/>
        <v>0.9882352941176471</v>
      </c>
      <c r="T2147" s="72">
        <f t="shared" si="811"/>
        <v>0.9882352941176471</v>
      </c>
      <c r="U2147" s="72">
        <f t="shared" si="812"/>
        <v>1</v>
      </c>
    </row>
    <row r="2148" spans="1:21" x14ac:dyDescent="0.25">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0.84</v>
      </c>
      <c r="P2148" s="72">
        <f t="shared" si="807"/>
        <v>0.54166666666666663</v>
      </c>
      <c r="Q2148" s="72">
        <f t="shared" si="808"/>
        <v>0.45833333333333337</v>
      </c>
      <c r="R2148" s="72">
        <f t="shared" si="809"/>
        <v>0</v>
      </c>
      <c r="S2148" s="72">
        <f t="shared" si="810"/>
        <v>0.9882352941176471</v>
      </c>
      <c r="T2148" s="72">
        <f t="shared" si="811"/>
        <v>0.9882352941176471</v>
      </c>
      <c r="U2148" s="72">
        <f t="shared" si="812"/>
        <v>1</v>
      </c>
    </row>
    <row r="2149" spans="1:21" x14ac:dyDescent="0.25">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0.84</v>
      </c>
      <c r="P2149" s="72">
        <f t="shared" si="807"/>
        <v>0.45833333333333331</v>
      </c>
      <c r="Q2149" s="72">
        <f t="shared" si="808"/>
        <v>0.54166666666666674</v>
      </c>
      <c r="R2149" s="72">
        <f t="shared" si="809"/>
        <v>0</v>
      </c>
      <c r="S2149" s="72">
        <f t="shared" si="810"/>
        <v>0.9882352941176471</v>
      </c>
      <c r="T2149" s="72">
        <f t="shared" si="811"/>
        <v>0.9882352941176471</v>
      </c>
      <c r="U2149" s="72">
        <f t="shared" si="812"/>
        <v>1</v>
      </c>
    </row>
    <row r="2150" spans="1:21" x14ac:dyDescent="0.25">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0.84</v>
      </c>
      <c r="P2150" s="72">
        <f t="shared" si="807"/>
        <v>0.375</v>
      </c>
      <c r="Q2150" s="72">
        <f t="shared" si="808"/>
        <v>0.625</v>
      </c>
      <c r="R2150" s="72">
        <f t="shared" si="809"/>
        <v>0</v>
      </c>
      <c r="S2150" s="72">
        <f t="shared" si="810"/>
        <v>0.9882352941176471</v>
      </c>
      <c r="T2150" s="72">
        <f t="shared" si="811"/>
        <v>0.9882352941176471</v>
      </c>
      <c r="U2150" s="72">
        <f t="shared" si="812"/>
        <v>1</v>
      </c>
    </row>
    <row r="2151" spans="1:21" x14ac:dyDescent="0.25">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0.84</v>
      </c>
      <c r="P2151" s="72">
        <f t="shared" si="807"/>
        <v>0.29166666666666669</v>
      </c>
      <c r="Q2151" s="72">
        <f t="shared" si="808"/>
        <v>0.70833333333333326</v>
      </c>
      <c r="R2151" s="72">
        <f t="shared" si="809"/>
        <v>0</v>
      </c>
      <c r="S2151" s="72">
        <f t="shared" si="810"/>
        <v>0.9882352941176471</v>
      </c>
      <c r="T2151" s="72">
        <f t="shared" si="811"/>
        <v>0.9882352941176471</v>
      </c>
      <c r="U2151" s="72">
        <f t="shared" si="812"/>
        <v>1</v>
      </c>
    </row>
    <row r="2152" spans="1:21" x14ac:dyDescent="0.25">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0.84</v>
      </c>
      <c r="P2152" s="72">
        <f t="shared" si="807"/>
        <v>0.20833333333333334</v>
      </c>
      <c r="Q2152" s="72">
        <f t="shared" si="808"/>
        <v>0.79166666666666663</v>
      </c>
      <c r="R2152" s="72">
        <f t="shared" si="809"/>
        <v>0</v>
      </c>
      <c r="S2152" s="72">
        <f t="shared" si="810"/>
        <v>0.9882352941176471</v>
      </c>
      <c r="T2152" s="72">
        <f t="shared" si="811"/>
        <v>0.9882352941176471</v>
      </c>
      <c r="U2152" s="72">
        <f t="shared" si="812"/>
        <v>1</v>
      </c>
    </row>
    <row r="2153" spans="1:21" x14ac:dyDescent="0.25">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0.84</v>
      </c>
      <c r="P2153" s="72">
        <f t="shared" si="807"/>
        <v>0.125</v>
      </c>
      <c r="Q2153" s="72">
        <f t="shared" si="808"/>
        <v>0.875</v>
      </c>
      <c r="R2153" s="72">
        <f t="shared" si="809"/>
        <v>0</v>
      </c>
      <c r="S2153" s="72">
        <f t="shared" si="810"/>
        <v>0.9882352941176471</v>
      </c>
      <c r="T2153" s="72">
        <f t="shared" si="811"/>
        <v>0.9882352941176471</v>
      </c>
      <c r="U2153" s="72">
        <f t="shared" si="812"/>
        <v>1</v>
      </c>
    </row>
    <row r="2154" spans="1:21" x14ac:dyDescent="0.25">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0.84</v>
      </c>
      <c r="P2154" s="72">
        <f t="shared" si="807"/>
        <v>4.1666666666666664E-2</v>
      </c>
      <c r="Q2154" s="72">
        <f t="shared" si="808"/>
        <v>0.95833333333333337</v>
      </c>
      <c r="R2154" s="72">
        <f t="shared" si="809"/>
        <v>0</v>
      </c>
      <c r="S2154" s="72">
        <f t="shared" si="810"/>
        <v>0.9882352941176471</v>
      </c>
      <c r="T2154" s="72">
        <f t="shared" si="811"/>
        <v>0.9882352941176471</v>
      </c>
      <c r="U2154" s="72">
        <f t="shared" si="812"/>
        <v>1</v>
      </c>
    </row>
    <row r="2155" spans="1:21" x14ac:dyDescent="0.25">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0.84</v>
      </c>
      <c r="P2155" s="72">
        <f t="shared" si="807"/>
        <v>0</v>
      </c>
      <c r="Q2155" s="72">
        <f t="shared" si="808"/>
        <v>0.95833333333333337</v>
      </c>
      <c r="R2155" s="72">
        <f t="shared" si="809"/>
        <v>4.166666666666663E-2</v>
      </c>
      <c r="S2155" s="72">
        <f t="shared" si="810"/>
        <v>0.9882352941176471</v>
      </c>
      <c r="T2155" s="72">
        <f t="shared" si="811"/>
        <v>0.9882352941176471</v>
      </c>
      <c r="U2155" s="72">
        <f t="shared" si="812"/>
        <v>1</v>
      </c>
    </row>
    <row r="2156" spans="1:21" x14ac:dyDescent="0.25">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0.84</v>
      </c>
      <c r="P2156" s="72">
        <f t="shared" si="807"/>
        <v>0</v>
      </c>
      <c r="Q2156" s="72">
        <f t="shared" si="808"/>
        <v>0.875</v>
      </c>
      <c r="R2156" s="72">
        <f t="shared" si="809"/>
        <v>0.125</v>
      </c>
      <c r="S2156" s="72">
        <f t="shared" si="810"/>
        <v>0.9882352941176471</v>
      </c>
      <c r="T2156" s="72">
        <f t="shared" si="811"/>
        <v>0.9882352941176471</v>
      </c>
      <c r="U2156" s="72">
        <f t="shared" si="812"/>
        <v>1</v>
      </c>
    </row>
    <row r="2157" spans="1:21" x14ac:dyDescent="0.25">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0.84</v>
      </c>
      <c r="P2157" s="72">
        <f t="shared" si="807"/>
        <v>0</v>
      </c>
      <c r="Q2157" s="72">
        <f t="shared" si="808"/>
        <v>0.79166666666666663</v>
      </c>
      <c r="R2157" s="72">
        <f t="shared" si="809"/>
        <v>0.20833333333333337</v>
      </c>
      <c r="S2157" s="72">
        <f t="shared" si="810"/>
        <v>0.9882352941176471</v>
      </c>
      <c r="T2157" s="72">
        <f t="shared" si="811"/>
        <v>0.9882352941176471</v>
      </c>
      <c r="U2157" s="72">
        <f t="shared" si="812"/>
        <v>1</v>
      </c>
    </row>
    <row r="2158" spans="1:21" x14ac:dyDescent="0.25">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0.84</v>
      </c>
      <c r="P2158" s="72">
        <f t="shared" si="807"/>
        <v>0</v>
      </c>
      <c r="Q2158" s="72">
        <f t="shared" si="808"/>
        <v>0.70833333333333337</v>
      </c>
      <c r="R2158" s="72">
        <f t="shared" si="809"/>
        <v>0.29166666666666663</v>
      </c>
      <c r="S2158" s="72">
        <f t="shared" si="810"/>
        <v>0.9882352941176471</v>
      </c>
      <c r="T2158" s="72">
        <f t="shared" si="811"/>
        <v>0.9882352941176471</v>
      </c>
      <c r="U2158" s="72">
        <f t="shared" si="812"/>
        <v>1</v>
      </c>
    </row>
    <row r="2159" spans="1:21" x14ac:dyDescent="0.25">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0.84</v>
      </c>
      <c r="P2159" s="72">
        <f t="shared" si="807"/>
        <v>0</v>
      </c>
      <c r="Q2159" s="72">
        <f t="shared" si="808"/>
        <v>0.625</v>
      </c>
      <c r="R2159" s="72">
        <f t="shared" si="809"/>
        <v>0.375</v>
      </c>
      <c r="S2159" s="72">
        <f t="shared" si="810"/>
        <v>0.9882352941176471</v>
      </c>
      <c r="T2159" s="72">
        <f t="shared" si="811"/>
        <v>0.9882352941176471</v>
      </c>
      <c r="U2159" s="72">
        <f t="shared" si="812"/>
        <v>1</v>
      </c>
    </row>
    <row r="2160" spans="1:21" x14ac:dyDescent="0.25">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0.84</v>
      </c>
      <c r="P2160" s="72">
        <f t="shared" si="807"/>
        <v>0</v>
      </c>
      <c r="Q2160" s="72">
        <f t="shared" si="808"/>
        <v>0.54166666666666663</v>
      </c>
      <c r="R2160" s="72">
        <f t="shared" si="809"/>
        <v>0.45833333333333337</v>
      </c>
      <c r="S2160" s="72">
        <f t="shared" si="810"/>
        <v>0.9882352941176471</v>
      </c>
      <c r="T2160" s="72">
        <f t="shared" si="811"/>
        <v>0.9882352941176471</v>
      </c>
      <c r="U2160" s="72">
        <f t="shared" si="812"/>
        <v>1</v>
      </c>
    </row>
    <row r="2161" spans="1:21" x14ac:dyDescent="0.25">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0.84</v>
      </c>
      <c r="P2161" s="72">
        <f t="shared" si="807"/>
        <v>0</v>
      </c>
      <c r="Q2161" s="72">
        <f t="shared" si="808"/>
        <v>0.45833333333333331</v>
      </c>
      <c r="R2161" s="72">
        <f t="shared" si="809"/>
        <v>0.54166666666666674</v>
      </c>
      <c r="S2161" s="72">
        <f t="shared" si="810"/>
        <v>0.9882352941176471</v>
      </c>
      <c r="T2161" s="72">
        <f t="shared" si="811"/>
        <v>0.9882352941176471</v>
      </c>
      <c r="U2161" s="72">
        <f t="shared" si="812"/>
        <v>1</v>
      </c>
    </row>
    <row r="2162" spans="1:21" x14ac:dyDescent="0.25">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0.84</v>
      </c>
      <c r="P2162" s="72">
        <f t="shared" si="807"/>
        <v>0</v>
      </c>
      <c r="Q2162" s="72">
        <f t="shared" si="808"/>
        <v>0.375</v>
      </c>
      <c r="R2162" s="72">
        <f t="shared" si="809"/>
        <v>0.625</v>
      </c>
      <c r="S2162" s="72">
        <f t="shared" si="810"/>
        <v>0.9882352941176471</v>
      </c>
      <c r="T2162" s="72">
        <f t="shared" si="811"/>
        <v>0.9882352941176471</v>
      </c>
      <c r="U2162" s="72">
        <f t="shared" si="812"/>
        <v>1</v>
      </c>
    </row>
    <row r="2163" spans="1:21" x14ac:dyDescent="0.25">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0.84</v>
      </c>
      <c r="P2163" s="72">
        <f t="shared" si="807"/>
        <v>0</v>
      </c>
      <c r="Q2163" s="72">
        <f t="shared" si="808"/>
        <v>0.29166666666666669</v>
      </c>
      <c r="R2163" s="72">
        <f t="shared" si="809"/>
        <v>0.70833333333333326</v>
      </c>
      <c r="S2163" s="72">
        <f t="shared" si="810"/>
        <v>0.9882352941176471</v>
      </c>
      <c r="T2163" s="72">
        <f t="shared" si="811"/>
        <v>0.9882352941176471</v>
      </c>
      <c r="U2163" s="72">
        <f t="shared" si="812"/>
        <v>1</v>
      </c>
    </row>
    <row r="2164" spans="1:21" x14ac:dyDescent="0.25">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0.84</v>
      </c>
      <c r="P2164" s="72">
        <f t="shared" si="807"/>
        <v>0</v>
      </c>
      <c r="Q2164" s="72">
        <f t="shared" si="808"/>
        <v>0.20833333333333334</v>
      </c>
      <c r="R2164" s="72">
        <f t="shared" si="809"/>
        <v>0.79166666666666663</v>
      </c>
      <c r="S2164" s="72">
        <f t="shared" si="810"/>
        <v>0.9882352941176471</v>
      </c>
      <c r="T2164" s="72">
        <f t="shared" si="811"/>
        <v>0.9882352941176471</v>
      </c>
      <c r="U2164" s="72">
        <f t="shared" si="812"/>
        <v>1</v>
      </c>
    </row>
    <row r="2165" spans="1:21" x14ac:dyDescent="0.25">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0.84</v>
      </c>
      <c r="P2165" s="72">
        <f t="shared" si="807"/>
        <v>0</v>
      </c>
      <c r="Q2165" s="72">
        <f t="shared" si="808"/>
        <v>0.125</v>
      </c>
      <c r="R2165" s="72">
        <f t="shared" si="809"/>
        <v>0.875</v>
      </c>
      <c r="S2165" s="72">
        <f t="shared" si="810"/>
        <v>0.9882352941176471</v>
      </c>
      <c r="T2165" s="72">
        <f t="shared" si="811"/>
        <v>0.9882352941176471</v>
      </c>
      <c r="U2165" s="72">
        <f t="shared" si="812"/>
        <v>1</v>
      </c>
    </row>
    <row r="2166" spans="1:21" x14ac:dyDescent="0.25">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0.84</v>
      </c>
      <c r="P2166" s="72">
        <f t="shared" si="807"/>
        <v>0</v>
      </c>
      <c r="Q2166" s="72">
        <f t="shared" si="808"/>
        <v>4.1666666666666664E-2</v>
      </c>
      <c r="R2166" s="72">
        <f t="shared" si="809"/>
        <v>0.95833333333333337</v>
      </c>
      <c r="S2166" s="72">
        <f t="shared" si="810"/>
        <v>0.9882352941176471</v>
      </c>
      <c r="T2166" s="72">
        <f t="shared" si="811"/>
        <v>0.9882352941176471</v>
      </c>
      <c r="U2166" s="72">
        <f t="shared" si="812"/>
        <v>1</v>
      </c>
    </row>
    <row r="2167" spans="1:21" x14ac:dyDescent="0.25">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0.84</v>
      </c>
      <c r="P2167" s="72">
        <f t="shared" si="807"/>
        <v>0</v>
      </c>
      <c r="Q2167" s="72">
        <f t="shared" si="808"/>
        <v>0</v>
      </c>
      <c r="R2167" s="72">
        <f t="shared" si="809"/>
        <v>0.95833333333333337</v>
      </c>
      <c r="S2167" s="72">
        <f t="shared" si="810"/>
        <v>0.9882352941176471</v>
      </c>
      <c r="T2167" s="72">
        <f t="shared" si="811"/>
        <v>0.9882352941176471</v>
      </c>
      <c r="U2167" s="72">
        <f t="shared" si="812"/>
        <v>1</v>
      </c>
    </row>
    <row r="2168" spans="1:21" x14ac:dyDescent="0.25">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0.84</v>
      </c>
      <c r="P2168" s="72">
        <f t="shared" si="807"/>
        <v>0</v>
      </c>
      <c r="Q2168" s="72">
        <f t="shared" si="808"/>
        <v>0</v>
      </c>
      <c r="R2168" s="72">
        <f t="shared" si="809"/>
        <v>0.875</v>
      </c>
      <c r="S2168" s="72">
        <f t="shared" si="810"/>
        <v>0.9882352941176471</v>
      </c>
      <c r="T2168" s="72">
        <f t="shared" si="811"/>
        <v>0.9882352941176471</v>
      </c>
      <c r="U2168" s="72">
        <f t="shared" si="812"/>
        <v>1</v>
      </c>
    </row>
    <row r="2169" spans="1:21" x14ac:dyDescent="0.25">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0.84</v>
      </c>
      <c r="P2169" s="72">
        <f t="shared" si="807"/>
        <v>0</v>
      </c>
      <c r="Q2169" s="72">
        <f t="shared" si="808"/>
        <v>0</v>
      </c>
      <c r="R2169" s="72">
        <f t="shared" si="809"/>
        <v>0.79166666666666663</v>
      </c>
      <c r="S2169" s="72">
        <f t="shared" si="810"/>
        <v>0.9882352941176471</v>
      </c>
      <c r="T2169" s="72">
        <f t="shared" si="811"/>
        <v>0.9882352941176471</v>
      </c>
      <c r="U2169" s="72">
        <f t="shared" si="812"/>
        <v>1</v>
      </c>
    </row>
    <row r="2170" spans="1:21" x14ac:dyDescent="0.25">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0.84</v>
      </c>
      <c r="P2170" s="72">
        <f t="shared" si="807"/>
        <v>0</v>
      </c>
      <c r="Q2170" s="72">
        <f t="shared" si="808"/>
        <v>0</v>
      </c>
      <c r="R2170" s="72">
        <f t="shared" si="809"/>
        <v>0.70833333333333337</v>
      </c>
      <c r="S2170" s="72">
        <f t="shared" si="810"/>
        <v>0.9882352941176471</v>
      </c>
      <c r="T2170" s="72">
        <f t="shared" si="811"/>
        <v>0.9882352941176471</v>
      </c>
      <c r="U2170" s="72">
        <f t="shared" si="812"/>
        <v>1</v>
      </c>
    </row>
    <row r="2171" spans="1:21" x14ac:dyDescent="0.25">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0.84</v>
      </c>
      <c r="P2171" s="72">
        <f t="shared" si="807"/>
        <v>0</v>
      </c>
      <c r="Q2171" s="72">
        <f t="shared" si="808"/>
        <v>0</v>
      </c>
      <c r="R2171" s="72">
        <f t="shared" si="809"/>
        <v>0.625</v>
      </c>
      <c r="S2171" s="72">
        <f t="shared" si="810"/>
        <v>0.9882352941176471</v>
      </c>
      <c r="T2171" s="72">
        <f t="shared" si="811"/>
        <v>0.9882352941176471</v>
      </c>
      <c r="U2171" s="72">
        <f t="shared" si="812"/>
        <v>1</v>
      </c>
    </row>
    <row r="2172" spans="1:21" x14ac:dyDescent="0.25">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0.84</v>
      </c>
      <c r="P2172" s="72">
        <f t="shared" si="807"/>
        <v>0</v>
      </c>
      <c r="Q2172" s="72">
        <f t="shared" si="808"/>
        <v>0</v>
      </c>
      <c r="R2172" s="72">
        <f t="shared" si="809"/>
        <v>0.54166666666666663</v>
      </c>
      <c r="S2172" s="72">
        <f t="shared" si="810"/>
        <v>0.9882352941176471</v>
      </c>
      <c r="T2172" s="72">
        <f t="shared" si="811"/>
        <v>0.9882352941176471</v>
      </c>
      <c r="U2172" s="72">
        <f t="shared" si="812"/>
        <v>1</v>
      </c>
    </row>
    <row r="2173" spans="1:21" x14ac:dyDescent="0.25">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0.84</v>
      </c>
      <c r="P2173" s="72">
        <f t="shared" si="807"/>
        <v>0</v>
      </c>
      <c r="Q2173" s="72">
        <f t="shared" si="808"/>
        <v>0</v>
      </c>
      <c r="R2173" s="72">
        <f t="shared" si="809"/>
        <v>0.45833333333333331</v>
      </c>
      <c r="S2173" s="72">
        <f t="shared" si="810"/>
        <v>0.9882352941176471</v>
      </c>
      <c r="T2173" s="72">
        <f t="shared" si="811"/>
        <v>0.9882352941176471</v>
      </c>
      <c r="U2173" s="72">
        <f t="shared" si="812"/>
        <v>1</v>
      </c>
    </row>
    <row r="2174" spans="1:21" x14ac:dyDescent="0.25">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0.84</v>
      </c>
      <c r="P2174" s="72">
        <f t="shared" si="807"/>
        <v>0</v>
      </c>
      <c r="Q2174" s="72">
        <f t="shared" si="808"/>
        <v>0</v>
      </c>
      <c r="R2174" s="72">
        <f t="shared" si="809"/>
        <v>0.375</v>
      </c>
      <c r="S2174" s="72">
        <f t="shared" si="810"/>
        <v>0.9882352941176471</v>
      </c>
      <c r="T2174" s="72">
        <f t="shared" si="811"/>
        <v>0.9882352941176471</v>
      </c>
      <c r="U2174" s="72">
        <f t="shared" si="812"/>
        <v>1</v>
      </c>
    </row>
    <row r="2175" spans="1:21" x14ac:dyDescent="0.25">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0.84</v>
      </c>
      <c r="P2175" s="72">
        <f t="shared" si="807"/>
        <v>0</v>
      </c>
      <c r="Q2175" s="72">
        <f t="shared" si="808"/>
        <v>0</v>
      </c>
      <c r="R2175" s="72">
        <f t="shared" si="809"/>
        <v>0.29166666666666669</v>
      </c>
      <c r="S2175" s="72">
        <f t="shared" si="810"/>
        <v>0.9882352941176471</v>
      </c>
      <c r="T2175" s="72">
        <f t="shared" si="811"/>
        <v>0.9882352941176471</v>
      </c>
      <c r="U2175" s="72">
        <f t="shared" si="812"/>
        <v>1</v>
      </c>
    </row>
    <row r="2176" spans="1:21" x14ac:dyDescent="0.25">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0.84</v>
      </c>
      <c r="P2176" s="72">
        <f t="shared" si="807"/>
        <v>0</v>
      </c>
      <c r="Q2176" s="72">
        <f t="shared" si="808"/>
        <v>0</v>
      </c>
      <c r="R2176" s="72">
        <f t="shared" si="809"/>
        <v>0.20833333333333334</v>
      </c>
      <c r="S2176" s="72">
        <f t="shared" si="810"/>
        <v>0.9882352941176471</v>
      </c>
      <c r="T2176" s="72">
        <f t="shared" si="811"/>
        <v>0.9882352941176471</v>
      </c>
      <c r="U2176" s="72">
        <f t="shared" si="812"/>
        <v>1</v>
      </c>
    </row>
    <row r="2177" spans="1:21" x14ac:dyDescent="0.25">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0.84</v>
      </c>
      <c r="P2177" s="72">
        <f t="shared" si="807"/>
        <v>0</v>
      </c>
      <c r="Q2177" s="72">
        <f t="shared" si="808"/>
        <v>0</v>
      </c>
      <c r="R2177" s="72">
        <f t="shared" si="809"/>
        <v>0.125</v>
      </c>
      <c r="S2177" s="72">
        <f t="shared" si="810"/>
        <v>0.9882352941176471</v>
      </c>
      <c r="T2177" s="72">
        <f t="shared" si="811"/>
        <v>0.9882352941176471</v>
      </c>
      <c r="U2177" s="72">
        <f t="shared" si="812"/>
        <v>1</v>
      </c>
    </row>
    <row r="2178" spans="1:21" x14ac:dyDescent="0.25">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0.84</v>
      </c>
      <c r="P2178" s="72">
        <f t="shared" si="807"/>
        <v>0</v>
      </c>
      <c r="Q2178" s="72">
        <f t="shared" si="808"/>
        <v>0</v>
      </c>
      <c r="R2178" s="72">
        <f t="shared" si="809"/>
        <v>4.1666666666666664E-2</v>
      </c>
      <c r="S2178" s="72">
        <f t="shared" si="810"/>
        <v>0.9882352941176471</v>
      </c>
      <c r="T2178" s="72">
        <f t="shared" si="811"/>
        <v>0.9882352941176471</v>
      </c>
      <c r="U2178" s="72">
        <f t="shared" si="812"/>
        <v>1</v>
      </c>
    </row>
    <row r="2179" spans="1:21" x14ac:dyDescent="0.25">
      <c r="A2179" s="77" t="s">
        <v>1209</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0.84</v>
      </c>
      <c r="G2179" s="169">
        <f>SUMPRODUCT($H$2131:$H$2178,$R$2131:$R$2178,$O$2131:$O$2178)/SUMPRODUCT($H$2131:$H$2178,$R$2131:$R$2178)</f>
        <v>0.84</v>
      </c>
    </row>
    <row r="2182" spans="1:21" x14ac:dyDescent="0.25">
      <c r="A2182" s="77" t="str">
        <f>INDEX(lr_key,40)</f>
        <v>BU-B|PA</v>
      </c>
      <c r="B2182" s="77" t="str">
        <f>INDEX(lr_state,40)</f>
        <v>PA</v>
      </c>
      <c r="C2182" s="52">
        <f>nr_TermMonths</f>
        <v>12</v>
      </c>
      <c r="D2182" s="52">
        <f>IF(COUNTIF(se_state,$B2182)=0,0,MATCH($B2182,se_state,0))</f>
        <v>0</v>
      </c>
      <c r="E2182" s="54">
        <f>IF($D2182=0,0,INDEX(se_sum,$D2182))</f>
        <v>0</v>
      </c>
      <c r="F2182" s="169">
        <f>IF(N(INDEX(lr_mind,40))=0,1,INDEX(lr_mind,40))</f>
        <v>0.85</v>
      </c>
      <c r="G2182" s="169">
        <f>IF(N(INDEX(lr_m0,40))=0,1,INDEX(lr_m0,40))</f>
        <v>0.84</v>
      </c>
      <c r="H2182" s="51">
        <f>IF(N(INDEX(lr_m0asof,40))=0,DATE(nr_PlanYear-1,10,1),INDEX(lr_m0asof,40))</f>
        <v>46295</v>
      </c>
      <c r="I2182" s="169">
        <f>IF(N(INDEX(lr_m1,40))=0,1,INDEX(lr_m1,40))</f>
        <v>0.85499999999999998</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25">
      <c r="A2183" s="77">
        <f>EDATE($H$2182,-12)+1</f>
        <v>45931</v>
      </c>
      <c r="B2183" s="77">
        <f>$H$2182+1</f>
        <v>46296</v>
      </c>
      <c r="C2183" s="77">
        <f>DATE(nr_PlanYear,12,31)+1</f>
        <v>46753</v>
      </c>
      <c r="D2183" s="77">
        <f>DATE(nr_PlanYear+1,12,31)+1</f>
        <v>47119</v>
      </c>
      <c r="E2183" s="77">
        <f>IF(N($J$2182)=0,$F$2183-($G$2183-$F$2183)/($C$2183-$B$2183)*($B$2183-$A$2183),$J$2182)</f>
        <v>0.82801969365426686</v>
      </c>
      <c r="F2183" s="77">
        <f>$G$2182</f>
        <v>0.84</v>
      </c>
      <c r="G2183" s="77">
        <f>$I$2182</f>
        <v>0.85499999999999998</v>
      </c>
      <c r="H2183" s="77">
        <f>IF(N($K$2182)=0,$I$2182,$K$2182)</f>
        <v>0.85499999999999998</v>
      </c>
      <c r="I2183" s="77">
        <f>($F$2183-$E$2183)/($B$2183-$A$2183)</f>
        <v>3.2822757111597549E-5</v>
      </c>
      <c r="J2183" s="77">
        <f>($G$2183-$F$2183)/($C$2183-$B$2183)</f>
        <v>3.2822757111597407E-5</v>
      </c>
      <c r="K2183" s="77">
        <f>($H$2183-$G$2183)/($D$2183-$C$2183)</f>
        <v>0</v>
      </c>
    </row>
    <row r="2184" spans="1:21" ht="24" x14ac:dyDescent="0.25">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25">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0.81956783369803055</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0.96419745140944768</v>
      </c>
      <c r="T2185" s="72">
        <f t="shared" ref="T2185:T2232" si="831">IF($G2185&lt;nr_MStartP,$S2185,$T2173*(1+IF($G2185&lt;nr_MStartP1,$M$2182,$N$2182)))</f>
        <v>0.96419745140944768</v>
      </c>
      <c r="U2185" s="72">
        <f t="shared" ref="U2185:U2232" si="832">IF($L$2182,$T2185,$N2185)</f>
        <v>1</v>
      </c>
    </row>
    <row r="2186" spans="1:21" x14ac:dyDescent="0.25">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0.82053610503282259</v>
      </c>
      <c r="P2186" s="72">
        <f t="shared" si="827"/>
        <v>0.125</v>
      </c>
      <c r="Q2186" s="72">
        <f t="shared" si="828"/>
        <v>0</v>
      </c>
      <c r="R2186" s="72">
        <f t="shared" si="829"/>
        <v>0</v>
      </c>
      <c r="S2186" s="72">
        <f t="shared" si="830"/>
        <v>0.96533659415626194</v>
      </c>
      <c r="T2186" s="72">
        <f t="shared" si="831"/>
        <v>0.96533659415626194</v>
      </c>
      <c r="U2186" s="72">
        <f t="shared" si="832"/>
        <v>1</v>
      </c>
    </row>
    <row r="2187" spans="1:21" x14ac:dyDescent="0.25">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0.82150437636761475</v>
      </c>
      <c r="P2187" s="72">
        <f t="shared" si="827"/>
        <v>0.20833333333333337</v>
      </c>
      <c r="Q2187" s="72">
        <f t="shared" si="828"/>
        <v>0</v>
      </c>
      <c r="R2187" s="72">
        <f t="shared" si="829"/>
        <v>0</v>
      </c>
      <c r="S2187" s="72">
        <f t="shared" si="830"/>
        <v>0.9664757369030762</v>
      </c>
      <c r="T2187" s="72">
        <f t="shared" si="831"/>
        <v>0.9664757369030762</v>
      </c>
      <c r="U2187" s="72">
        <f t="shared" si="832"/>
        <v>1</v>
      </c>
    </row>
    <row r="2188" spans="1:21" x14ac:dyDescent="0.25">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0.8225054704595185</v>
      </c>
      <c r="P2188" s="72">
        <f t="shared" si="827"/>
        <v>0.29166666666666663</v>
      </c>
      <c r="Q2188" s="72">
        <f t="shared" si="828"/>
        <v>0</v>
      </c>
      <c r="R2188" s="72">
        <f t="shared" si="829"/>
        <v>0</v>
      </c>
      <c r="S2188" s="72">
        <f t="shared" si="830"/>
        <v>0.96765349465825712</v>
      </c>
      <c r="T2188" s="72">
        <f t="shared" si="831"/>
        <v>0.96765349465825712</v>
      </c>
      <c r="U2188" s="72">
        <f t="shared" si="832"/>
        <v>1</v>
      </c>
    </row>
    <row r="2189" spans="1:21" x14ac:dyDescent="0.25">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0.82350656455142224</v>
      </c>
      <c r="P2189" s="72">
        <f t="shared" si="827"/>
        <v>0.375</v>
      </c>
      <c r="Q2189" s="72">
        <f t="shared" si="828"/>
        <v>0</v>
      </c>
      <c r="R2189" s="72">
        <f t="shared" si="829"/>
        <v>0</v>
      </c>
      <c r="S2189" s="72">
        <f t="shared" si="830"/>
        <v>0.96883125241343793</v>
      </c>
      <c r="T2189" s="72">
        <f t="shared" si="831"/>
        <v>0.96883125241343793</v>
      </c>
      <c r="U2189" s="72">
        <f t="shared" si="832"/>
        <v>1</v>
      </c>
    </row>
    <row r="2190" spans="1:21" x14ac:dyDescent="0.25">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0.82450765864332598</v>
      </c>
      <c r="P2190" s="72">
        <f t="shared" si="827"/>
        <v>0.45833333333333337</v>
      </c>
      <c r="Q2190" s="72">
        <f t="shared" si="828"/>
        <v>0</v>
      </c>
      <c r="R2190" s="72">
        <f t="shared" si="829"/>
        <v>0</v>
      </c>
      <c r="S2190" s="72">
        <f t="shared" si="830"/>
        <v>0.97000901016861885</v>
      </c>
      <c r="T2190" s="72">
        <f t="shared" si="831"/>
        <v>0.97000901016861885</v>
      </c>
      <c r="U2190" s="72">
        <f t="shared" si="832"/>
        <v>1</v>
      </c>
    </row>
    <row r="2191" spans="1:21" x14ac:dyDescent="0.25">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0.82550875273522961</v>
      </c>
      <c r="P2191" s="72">
        <f t="shared" si="827"/>
        <v>0.54166666666666674</v>
      </c>
      <c r="Q2191" s="72">
        <f t="shared" si="828"/>
        <v>0</v>
      </c>
      <c r="R2191" s="72">
        <f t="shared" si="829"/>
        <v>0</v>
      </c>
      <c r="S2191" s="72">
        <f t="shared" si="830"/>
        <v>0.97118676792379954</v>
      </c>
      <c r="T2191" s="72">
        <f t="shared" si="831"/>
        <v>0.97118676792379954</v>
      </c>
      <c r="U2191" s="72">
        <f t="shared" si="832"/>
        <v>1</v>
      </c>
    </row>
    <row r="2192" spans="1:21" x14ac:dyDescent="0.25">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0.82652625820568915</v>
      </c>
      <c r="P2192" s="72">
        <f t="shared" si="827"/>
        <v>0.625</v>
      </c>
      <c r="Q2192" s="72">
        <f t="shared" si="828"/>
        <v>0</v>
      </c>
      <c r="R2192" s="72">
        <f t="shared" si="829"/>
        <v>0</v>
      </c>
      <c r="S2192" s="72">
        <f t="shared" si="830"/>
        <v>0.97238383318316368</v>
      </c>
      <c r="T2192" s="72">
        <f t="shared" si="831"/>
        <v>0.97238383318316368</v>
      </c>
      <c r="U2192" s="72">
        <f t="shared" si="832"/>
        <v>1</v>
      </c>
    </row>
    <row r="2193" spans="1:21" x14ac:dyDescent="0.25">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0.82752735229759289</v>
      </c>
      <c r="P2193" s="72">
        <f t="shared" si="827"/>
        <v>0.70833333333333326</v>
      </c>
      <c r="Q2193" s="72">
        <f t="shared" si="828"/>
        <v>0</v>
      </c>
      <c r="R2193" s="72">
        <f t="shared" si="829"/>
        <v>0</v>
      </c>
      <c r="S2193" s="72">
        <f t="shared" si="830"/>
        <v>0.9735615909383446</v>
      </c>
      <c r="T2193" s="72">
        <f t="shared" si="831"/>
        <v>0.9735615909383446</v>
      </c>
      <c r="U2193" s="72">
        <f t="shared" si="832"/>
        <v>1</v>
      </c>
    </row>
    <row r="2194" spans="1:21" x14ac:dyDescent="0.25">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0.82852844638949663</v>
      </c>
      <c r="P2194" s="72">
        <f t="shared" si="827"/>
        <v>0.79166666666666663</v>
      </c>
      <c r="Q2194" s="72">
        <f t="shared" si="828"/>
        <v>0</v>
      </c>
      <c r="R2194" s="72">
        <f t="shared" si="829"/>
        <v>0</v>
      </c>
      <c r="S2194" s="72">
        <f t="shared" si="830"/>
        <v>0.97473934869352552</v>
      </c>
      <c r="T2194" s="72">
        <f t="shared" si="831"/>
        <v>0.97473934869352552</v>
      </c>
      <c r="U2194" s="72">
        <f t="shared" si="832"/>
        <v>1</v>
      </c>
    </row>
    <row r="2195" spans="1:21" x14ac:dyDescent="0.25">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0.82952954048140037</v>
      </c>
      <c r="P2195" s="72">
        <f t="shared" si="827"/>
        <v>0.875</v>
      </c>
      <c r="Q2195" s="72">
        <f t="shared" si="828"/>
        <v>0</v>
      </c>
      <c r="R2195" s="72">
        <f t="shared" si="829"/>
        <v>0</v>
      </c>
      <c r="S2195" s="72">
        <f t="shared" si="830"/>
        <v>0.97591710644870633</v>
      </c>
      <c r="T2195" s="72">
        <f t="shared" si="831"/>
        <v>0.97591710644870633</v>
      </c>
      <c r="U2195" s="72">
        <f t="shared" si="832"/>
        <v>1</v>
      </c>
    </row>
    <row r="2196" spans="1:21" x14ac:dyDescent="0.25">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0.83053063457330412</v>
      </c>
      <c r="P2196" s="72">
        <f t="shared" si="827"/>
        <v>0.95833333333333337</v>
      </c>
      <c r="Q2196" s="72">
        <f t="shared" si="828"/>
        <v>0</v>
      </c>
      <c r="R2196" s="72">
        <f t="shared" si="829"/>
        <v>0</v>
      </c>
      <c r="S2196" s="72">
        <f t="shared" si="830"/>
        <v>0.97709486420388725</v>
      </c>
      <c r="T2196" s="72">
        <f t="shared" si="831"/>
        <v>0.97709486420388725</v>
      </c>
      <c r="U2196" s="72">
        <f t="shared" si="832"/>
        <v>1</v>
      </c>
    </row>
    <row r="2197" spans="1:21" x14ac:dyDescent="0.25">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0.83154814004376365</v>
      </c>
      <c r="P2197" s="72">
        <f t="shared" si="827"/>
        <v>0.95833333333333337</v>
      </c>
      <c r="Q2197" s="72">
        <f t="shared" si="828"/>
        <v>4.166666666666663E-2</v>
      </c>
      <c r="R2197" s="72">
        <f t="shared" si="829"/>
        <v>0</v>
      </c>
      <c r="S2197" s="72">
        <f t="shared" si="830"/>
        <v>0.97829192946325139</v>
      </c>
      <c r="T2197" s="72">
        <f t="shared" si="831"/>
        <v>0.97829192946325139</v>
      </c>
      <c r="U2197" s="72">
        <f t="shared" si="832"/>
        <v>1</v>
      </c>
    </row>
    <row r="2198" spans="1:21" x14ac:dyDescent="0.25">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0.8325164113785557</v>
      </c>
      <c r="P2198" s="72">
        <f t="shared" si="827"/>
        <v>0.875</v>
      </c>
      <c r="Q2198" s="72">
        <f t="shared" si="828"/>
        <v>0.125</v>
      </c>
      <c r="R2198" s="72">
        <f t="shared" si="829"/>
        <v>0</v>
      </c>
      <c r="S2198" s="72">
        <f t="shared" si="830"/>
        <v>0.97943107221006553</v>
      </c>
      <c r="T2198" s="72">
        <f t="shared" si="831"/>
        <v>0.97943107221006553</v>
      </c>
      <c r="U2198" s="72">
        <f t="shared" si="832"/>
        <v>1</v>
      </c>
    </row>
    <row r="2199" spans="1:21" x14ac:dyDescent="0.25">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0.83348468271334786</v>
      </c>
      <c r="P2199" s="72">
        <f t="shared" si="827"/>
        <v>0.79166666666666663</v>
      </c>
      <c r="Q2199" s="72">
        <f t="shared" si="828"/>
        <v>0.20833333333333337</v>
      </c>
      <c r="R2199" s="72">
        <f t="shared" si="829"/>
        <v>0</v>
      </c>
      <c r="S2199" s="72">
        <f t="shared" si="830"/>
        <v>0.9805702149568799</v>
      </c>
      <c r="T2199" s="72">
        <f t="shared" si="831"/>
        <v>0.9805702149568799</v>
      </c>
      <c r="U2199" s="72">
        <f t="shared" si="832"/>
        <v>1</v>
      </c>
    </row>
    <row r="2200" spans="1:21" x14ac:dyDescent="0.25">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0.8344857768052516</v>
      </c>
      <c r="P2200" s="72">
        <f t="shared" si="827"/>
        <v>0.70833333333333337</v>
      </c>
      <c r="Q2200" s="72">
        <f t="shared" si="828"/>
        <v>0.29166666666666663</v>
      </c>
      <c r="R2200" s="72">
        <f t="shared" si="829"/>
        <v>0</v>
      </c>
      <c r="S2200" s="72">
        <f t="shared" si="830"/>
        <v>1.0406528510747843</v>
      </c>
      <c r="T2200" s="72">
        <f t="shared" si="831"/>
        <v>1.0406528510747843</v>
      </c>
      <c r="U2200" s="72">
        <f t="shared" si="832"/>
        <v>1.06</v>
      </c>
    </row>
    <row r="2201" spans="1:21" x14ac:dyDescent="0.25">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0.83548687089715534</v>
      </c>
      <c r="P2201" s="72">
        <f t="shared" si="827"/>
        <v>0.625</v>
      </c>
      <c r="Q2201" s="72">
        <f t="shared" si="828"/>
        <v>0.375</v>
      </c>
      <c r="R2201" s="72">
        <f t="shared" si="829"/>
        <v>0</v>
      </c>
      <c r="S2201" s="72">
        <f t="shared" si="830"/>
        <v>1.0419012742952762</v>
      </c>
      <c r="T2201" s="72">
        <f t="shared" si="831"/>
        <v>1.0419012742952762</v>
      </c>
      <c r="U2201" s="72">
        <f t="shared" si="832"/>
        <v>1.06</v>
      </c>
    </row>
    <row r="2202" spans="1:21" x14ac:dyDescent="0.25">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0.83648796498905909</v>
      </c>
      <c r="P2202" s="72">
        <f t="shared" si="827"/>
        <v>0.54166666666666663</v>
      </c>
      <c r="Q2202" s="72">
        <f t="shared" si="828"/>
        <v>0.45833333333333337</v>
      </c>
      <c r="R2202" s="72">
        <f t="shared" si="829"/>
        <v>0</v>
      </c>
      <c r="S2202" s="72">
        <f t="shared" si="830"/>
        <v>1.0431496975157679</v>
      </c>
      <c r="T2202" s="72">
        <f t="shared" si="831"/>
        <v>1.0431496975157679</v>
      </c>
      <c r="U2202" s="72">
        <f t="shared" si="832"/>
        <v>1.06</v>
      </c>
    </row>
    <row r="2203" spans="1:21" x14ac:dyDescent="0.25">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0.83748905908096272</v>
      </c>
      <c r="P2203" s="72">
        <f t="shared" si="827"/>
        <v>0.45833333333333331</v>
      </c>
      <c r="Q2203" s="72">
        <f t="shared" si="828"/>
        <v>0.54166666666666674</v>
      </c>
      <c r="R2203" s="72">
        <f t="shared" si="829"/>
        <v>0</v>
      </c>
      <c r="S2203" s="72">
        <f t="shared" si="830"/>
        <v>1.0443981207362596</v>
      </c>
      <c r="T2203" s="72">
        <f t="shared" si="831"/>
        <v>1.0443981207362596</v>
      </c>
      <c r="U2203" s="72">
        <f t="shared" si="832"/>
        <v>1.06</v>
      </c>
    </row>
    <row r="2204" spans="1:21" x14ac:dyDescent="0.25">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0.83850656455142225</v>
      </c>
      <c r="P2204" s="72">
        <f t="shared" si="827"/>
        <v>0.375</v>
      </c>
      <c r="Q2204" s="72">
        <f t="shared" si="828"/>
        <v>0.625</v>
      </c>
      <c r="R2204" s="72">
        <f t="shared" si="829"/>
        <v>0</v>
      </c>
      <c r="S2204" s="72">
        <f t="shared" si="830"/>
        <v>1.0456670099111856</v>
      </c>
      <c r="T2204" s="72">
        <f t="shared" si="831"/>
        <v>1.0456670099111856</v>
      </c>
      <c r="U2204" s="72">
        <f t="shared" si="832"/>
        <v>1.06</v>
      </c>
    </row>
    <row r="2205" spans="1:21" x14ac:dyDescent="0.25">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0.83950765864332599</v>
      </c>
      <c r="P2205" s="72">
        <f t="shared" si="827"/>
        <v>0.29166666666666669</v>
      </c>
      <c r="Q2205" s="72">
        <f t="shared" si="828"/>
        <v>0.70833333333333326</v>
      </c>
      <c r="R2205" s="72">
        <f t="shared" si="829"/>
        <v>0</v>
      </c>
      <c r="S2205" s="72">
        <f t="shared" si="830"/>
        <v>1.0469154331316772</v>
      </c>
      <c r="T2205" s="72">
        <f t="shared" si="831"/>
        <v>1.0469154331316772</v>
      </c>
      <c r="U2205" s="72">
        <f t="shared" si="832"/>
        <v>1.06</v>
      </c>
    </row>
    <row r="2206" spans="1:21" x14ac:dyDescent="0.25">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0.84050875273522974</v>
      </c>
      <c r="P2206" s="72">
        <f t="shared" si="827"/>
        <v>0.20833333333333334</v>
      </c>
      <c r="Q2206" s="72">
        <f t="shared" si="828"/>
        <v>0.79166666666666663</v>
      </c>
      <c r="R2206" s="72">
        <f t="shared" si="829"/>
        <v>0</v>
      </c>
      <c r="S2206" s="72">
        <f t="shared" si="830"/>
        <v>1.0481638563521689</v>
      </c>
      <c r="T2206" s="72">
        <f t="shared" si="831"/>
        <v>1.0481638563521689</v>
      </c>
      <c r="U2206" s="72">
        <f t="shared" si="832"/>
        <v>1.06</v>
      </c>
    </row>
    <row r="2207" spans="1:21" x14ac:dyDescent="0.25">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0.84150984682713348</v>
      </c>
      <c r="P2207" s="72">
        <f t="shared" si="827"/>
        <v>0.125</v>
      </c>
      <c r="Q2207" s="72">
        <f t="shared" si="828"/>
        <v>0.875</v>
      </c>
      <c r="R2207" s="72">
        <f t="shared" si="829"/>
        <v>0</v>
      </c>
      <c r="S2207" s="72">
        <f t="shared" si="830"/>
        <v>1.0494122795726606</v>
      </c>
      <c r="T2207" s="72">
        <f t="shared" si="831"/>
        <v>1.0494122795726606</v>
      </c>
      <c r="U2207" s="72">
        <f t="shared" si="832"/>
        <v>1.06</v>
      </c>
    </row>
    <row r="2208" spans="1:21" x14ac:dyDescent="0.25">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0.84251094091903722</v>
      </c>
      <c r="P2208" s="72">
        <f t="shared" si="827"/>
        <v>4.1666666666666664E-2</v>
      </c>
      <c r="Q2208" s="72">
        <f t="shared" si="828"/>
        <v>0.95833333333333337</v>
      </c>
      <c r="R2208" s="72">
        <f t="shared" si="829"/>
        <v>0</v>
      </c>
      <c r="S2208" s="72">
        <f t="shared" si="830"/>
        <v>1.0506607027931523</v>
      </c>
      <c r="T2208" s="72">
        <f t="shared" si="831"/>
        <v>1.0506607027931523</v>
      </c>
      <c r="U2208" s="72">
        <f t="shared" si="832"/>
        <v>1.06</v>
      </c>
    </row>
    <row r="2209" spans="1:21" x14ac:dyDescent="0.25">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0.84352844638949664</v>
      </c>
      <c r="P2209" s="72">
        <f t="shared" si="827"/>
        <v>0</v>
      </c>
      <c r="Q2209" s="72">
        <f t="shared" si="828"/>
        <v>0.95833333333333337</v>
      </c>
      <c r="R2209" s="72">
        <f t="shared" si="829"/>
        <v>4.166666666666663E-2</v>
      </c>
      <c r="S2209" s="72">
        <f t="shared" si="830"/>
        <v>1.0519295919680782</v>
      </c>
      <c r="T2209" s="72">
        <f t="shared" si="831"/>
        <v>0.97829192946325139</v>
      </c>
      <c r="U2209" s="72">
        <f t="shared" si="832"/>
        <v>1.06</v>
      </c>
    </row>
    <row r="2210" spans="1:21" x14ac:dyDescent="0.25">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0.8444967177242888</v>
      </c>
      <c r="P2210" s="72">
        <f t="shared" si="827"/>
        <v>0</v>
      </c>
      <c r="Q2210" s="72">
        <f t="shared" si="828"/>
        <v>0.875</v>
      </c>
      <c r="R2210" s="72">
        <f t="shared" si="829"/>
        <v>0.125</v>
      </c>
      <c r="S2210" s="72">
        <f t="shared" si="830"/>
        <v>1.0531370832797013</v>
      </c>
      <c r="T2210" s="72">
        <f t="shared" si="831"/>
        <v>0.97943107221006553</v>
      </c>
      <c r="U2210" s="72">
        <f t="shared" si="832"/>
        <v>1.06</v>
      </c>
    </row>
    <row r="2211" spans="1:21" x14ac:dyDescent="0.25">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0.84546498905908096</v>
      </c>
      <c r="P2211" s="72">
        <f t="shared" si="827"/>
        <v>0</v>
      </c>
      <c r="Q2211" s="72">
        <f t="shared" si="828"/>
        <v>0.79166666666666663</v>
      </c>
      <c r="R2211" s="72">
        <f t="shared" si="829"/>
        <v>0.20833333333333337</v>
      </c>
      <c r="S2211" s="72">
        <f t="shared" si="830"/>
        <v>1.0543445745913245</v>
      </c>
      <c r="T2211" s="72">
        <f t="shared" si="831"/>
        <v>0.9805702149568799</v>
      </c>
      <c r="U2211" s="72">
        <f t="shared" si="832"/>
        <v>1.06</v>
      </c>
    </row>
    <row r="2212" spans="1:21" x14ac:dyDescent="0.25">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0.8464660831509847</v>
      </c>
      <c r="P2212" s="72">
        <f t="shared" si="827"/>
        <v>0</v>
      </c>
      <c r="Q2212" s="72">
        <f t="shared" si="828"/>
        <v>0.70833333333333337</v>
      </c>
      <c r="R2212" s="72">
        <f t="shared" si="829"/>
        <v>0.29166666666666663</v>
      </c>
      <c r="S2212" s="72">
        <f t="shared" si="830"/>
        <v>1.0555929978118164</v>
      </c>
      <c r="T2212" s="72">
        <f t="shared" si="831"/>
        <v>1.0406528510747843</v>
      </c>
      <c r="U2212" s="72">
        <f t="shared" si="832"/>
        <v>1.06</v>
      </c>
    </row>
    <row r="2213" spans="1:21" x14ac:dyDescent="0.25">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0.84746717724288834</v>
      </c>
      <c r="P2213" s="72">
        <f t="shared" si="827"/>
        <v>0</v>
      </c>
      <c r="Q2213" s="72">
        <f t="shared" si="828"/>
        <v>0.625</v>
      </c>
      <c r="R2213" s="72">
        <f t="shared" si="829"/>
        <v>0.375</v>
      </c>
      <c r="S2213" s="72">
        <f t="shared" si="830"/>
        <v>1.0568414210323078</v>
      </c>
      <c r="T2213" s="72">
        <f t="shared" si="831"/>
        <v>1.0419012742952762</v>
      </c>
      <c r="U2213" s="72">
        <f t="shared" si="832"/>
        <v>1.06</v>
      </c>
    </row>
    <row r="2214" spans="1:21" x14ac:dyDescent="0.25">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0.84846827133479208</v>
      </c>
      <c r="P2214" s="72">
        <f t="shared" si="827"/>
        <v>0</v>
      </c>
      <c r="Q2214" s="72">
        <f t="shared" si="828"/>
        <v>0.54166666666666663</v>
      </c>
      <c r="R2214" s="72">
        <f t="shared" si="829"/>
        <v>0.45833333333333337</v>
      </c>
      <c r="S2214" s="72">
        <f t="shared" si="830"/>
        <v>1.0580898442527997</v>
      </c>
      <c r="T2214" s="72">
        <f t="shared" si="831"/>
        <v>1.0431496975157679</v>
      </c>
      <c r="U2214" s="72">
        <f t="shared" si="832"/>
        <v>1.06</v>
      </c>
    </row>
    <row r="2215" spans="1:21" x14ac:dyDescent="0.25">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0.84946936542669582</v>
      </c>
      <c r="P2215" s="72">
        <f t="shared" si="827"/>
        <v>0</v>
      </c>
      <c r="Q2215" s="72">
        <f t="shared" si="828"/>
        <v>0.45833333333333331</v>
      </c>
      <c r="R2215" s="72">
        <f t="shared" si="829"/>
        <v>0.54166666666666674</v>
      </c>
      <c r="S2215" s="72">
        <f t="shared" si="830"/>
        <v>1.0593382674732914</v>
      </c>
      <c r="T2215" s="72">
        <f t="shared" si="831"/>
        <v>1.0443981207362596</v>
      </c>
      <c r="U2215" s="72">
        <f t="shared" si="832"/>
        <v>1.06</v>
      </c>
    </row>
    <row r="2216" spans="1:21" x14ac:dyDescent="0.25">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0.85048687089715536</v>
      </c>
      <c r="P2216" s="72">
        <f t="shared" si="827"/>
        <v>0</v>
      </c>
      <c r="Q2216" s="72">
        <f t="shared" si="828"/>
        <v>0.375</v>
      </c>
      <c r="R2216" s="72">
        <f t="shared" si="829"/>
        <v>0.625</v>
      </c>
      <c r="S2216" s="72">
        <f t="shared" si="830"/>
        <v>1.0606071566482174</v>
      </c>
      <c r="T2216" s="72">
        <f t="shared" si="831"/>
        <v>1.0456670099111856</v>
      </c>
      <c r="U2216" s="72">
        <f t="shared" si="832"/>
        <v>1.06</v>
      </c>
    </row>
    <row r="2217" spans="1:21" x14ac:dyDescent="0.25">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0.8514879649890591</v>
      </c>
      <c r="P2217" s="72">
        <f t="shared" si="827"/>
        <v>0</v>
      </c>
      <c r="Q2217" s="72">
        <f t="shared" si="828"/>
        <v>0.29166666666666669</v>
      </c>
      <c r="R2217" s="72">
        <f t="shared" si="829"/>
        <v>0.70833333333333326</v>
      </c>
      <c r="S2217" s="72">
        <f t="shared" si="830"/>
        <v>1.0618555798687093</v>
      </c>
      <c r="T2217" s="72">
        <f t="shared" si="831"/>
        <v>1.0469154331316772</v>
      </c>
      <c r="U2217" s="72">
        <f t="shared" si="832"/>
        <v>1.06</v>
      </c>
    </row>
    <row r="2218" spans="1:21" x14ac:dyDescent="0.25">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0.85248905908096273</v>
      </c>
      <c r="P2218" s="72">
        <f t="shared" si="827"/>
        <v>0</v>
      </c>
      <c r="Q2218" s="72">
        <f t="shared" si="828"/>
        <v>0.20833333333333334</v>
      </c>
      <c r="R2218" s="72">
        <f t="shared" si="829"/>
        <v>0.79166666666666663</v>
      </c>
      <c r="S2218" s="72">
        <f t="shared" si="830"/>
        <v>1.0631040030892005</v>
      </c>
      <c r="T2218" s="72">
        <f t="shared" si="831"/>
        <v>1.0481638563521689</v>
      </c>
      <c r="U2218" s="72">
        <f t="shared" si="832"/>
        <v>1.06</v>
      </c>
    </row>
    <row r="2219" spans="1:21" x14ac:dyDescent="0.25">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0.85349015317286647</v>
      </c>
      <c r="P2219" s="72">
        <f t="shared" si="827"/>
        <v>0</v>
      </c>
      <c r="Q2219" s="72">
        <f t="shared" si="828"/>
        <v>0.125</v>
      </c>
      <c r="R2219" s="72">
        <f t="shared" si="829"/>
        <v>0.875</v>
      </c>
      <c r="S2219" s="72">
        <f t="shared" si="830"/>
        <v>1.0643524263096924</v>
      </c>
      <c r="T2219" s="72">
        <f t="shared" si="831"/>
        <v>1.0494122795726606</v>
      </c>
      <c r="U2219" s="72">
        <f t="shared" si="832"/>
        <v>1.06</v>
      </c>
    </row>
    <row r="2220" spans="1:21" x14ac:dyDescent="0.25">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0.85449124726477022</v>
      </c>
      <c r="P2220" s="72">
        <f t="shared" si="827"/>
        <v>0</v>
      </c>
      <c r="Q2220" s="72">
        <f t="shared" si="828"/>
        <v>4.1666666666666664E-2</v>
      </c>
      <c r="R2220" s="72">
        <f t="shared" si="829"/>
        <v>0.95833333333333337</v>
      </c>
      <c r="S2220" s="72">
        <f t="shared" si="830"/>
        <v>1.0656008495301841</v>
      </c>
      <c r="T2220" s="72">
        <f t="shared" si="831"/>
        <v>1.0506607027931523</v>
      </c>
      <c r="U2220" s="72">
        <f t="shared" si="832"/>
        <v>1.06</v>
      </c>
    </row>
    <row r="2221" spans="1:21" x14ac:dyDescent="0.25">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0.85499999999999998</v>
      </c>
      <c r="P2221" s="72">
        <f t="shared" si="827"/>
        <v>0</v>
      </c>
      <c r="Q2221" s="72">
        <f t="shared" si="828"/>
        <v>0</v>
      </c>
      <c r="R2221" s="72">
        <f t="shared" si="829"/>
        <v>0.95833333333333337</v>
      </c>
      <c r="S2221" s="72">
        <f t="shared" si="830"/>
        <v>1.0662352941176472</v>
      </c>
      <c r="T2221" s="72">
        <f t="shared" si="831"/>
        <v>0.97829192946325139</v>
      </c>
      <c r="U2221" s="72">
        <f t="shared" si="832"/>
        <v>1.06</v>
      </c>
    </row>
    <row r="2222" spans="1:21" x14ac:dyDescent="0.25">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0.85499999999999998</v>
      </c>
      <c r="P2222" s="72">
        <f t="shared" si="827"/>
        <v>0</v>
      </c>
      <c r="Q2222" s="72">
        <f t="shared" si="828"/>
        <v>0</v>
      </c>
      <c r="R2222" s="72">
        <f t="shared" si="829"/>
        <v>0.875</v>
      </c>
      <c r="S2222" s="72">
        <f t="shared" si="830"/>
        <v>1.0662352941176472</v>
      </c>
      <c r="T2222" s="72">
        <f t="shared" si="831"/>
        <v>0.97943107221006553</v>
      </c>
      <c r="U2222" s="72">
        <f t="shared" si="832"/>
        <v>1.06</v>
      </c>
    </row>
    <row r="2223" spans="1:21" x14ac:dyDescent="0.25">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0.85499999999999998</v>
      </c>
      <c r="P2223" s="72">
        <f t="shared" si="827"/>
        <v>0</v>
      </c>
      <c r="Q2223" s="72">
        <f t="shared" si="828"/>
        <v>0</v>
      </c>
      <c r="R2223" s="72">
        <f t="shared" si="829"/>
        <v>0.79166666666666663</v>
      </c>
      <c r="S2223" s="72">
        <f t="shared" si="830"/>
        <v>1.0662352941176472</v>
      </c>
      <c r="T2223" s="72">
        <f t="shared" si="831"/>
        <v>0.9805702149568799</v>
      </c>
      <c r="U2223" s="72">
        <f t="shared" si="832"/>
        <v>1.06</v>
      </c>
    </row>
    <row r="2224" spans="1:21" x14ac:dyDescent="0.25">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0.85499999999999998</v>
      </c>
      <c r="P2224" s="72">
        <f t="shared" si="827"/>
        <v>0</v>
      </c>
      <c r="Q2224" s="72">
        <f t="shared" si="828"/>
        <v>0</v>
      </c>
      <c r="R2224" s="72">
        <f t="shared" si="829"/>
        <v>0.70833333333333337</v>
      </c>
      <c r="S2224" s="72">
        <f t="shared" si="830"/>
        <v>1.0662352941176472</v>
      </c>
      <c r="T2224" s="72">
        <f t="shared" si="831"/>
        <v>1.0406528510747843</v>
      </c>
      <c r="U2224" s="72">
        <f t="shared" si="832"/>
        <v>1.06</v>
      </c>
    </row>
    <row r="2225" spans="1:21" x14ac:dyDescent="0.25">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0.85499999999999998</v>
      </c>
      <c r="P2225" s="72">
        <f t="shared" si="827"/>
        <v>0</v>
      </c>
      <c r="Q2225" s="72">
        <f t="shared" si="828"/>
        <v>0</v>
      </c>
      <c r="R2225" s="72">
        <f t="shared" si="829"/>
        <v>0.625</v>
      </c>
      <c r="S2225" s="72">
        <f t="shared" si="830"/>
        <v>1.0662352941176472</v>
      </c>
      <c r="T2225" s="72">
        <f t="shared" si="831"/>
        <v>1.0419012742952762</v>
      </c>
      <c r="U2225" s="72">
        <f t="shared" si="832"/>
        <v>1.06</v>
      </c>
    </row>
    <row r="2226" spans="1:21" x14ac:dyDescent="0.25">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0.85499999999999998</v>
      </c>
      <c r="P2226" s="72">
        <f t="shared" si="827"/>
        <v>0</v>
      </c>
      <c r="Q2226" s="72">
        <f t="shared" si="828"/>
        <v>0</v>
      </c>
      <c r="R2226" s="72">
        <f t="shared" si="829"/>
        <v>0.54166666666666663</v>
      </c>
      <c r="S2226" s="72">
        <f t="shared" si="830"/>
        <v>1.0662352941176472</v>
      </c>
      <c r="T2226" s="72">
        <f t="shared" si="831"/>
        <v>1.0431496975157679</v>
      </c>
      <c r="U2226" s="72">
        <f t="shared" si="832"/>
        <v>1.06</v>
      </c>
    </row>
    <row r="2227" spans="1:21" x14ac:dyDescent="0.25">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0.85499999999999998</v>
      </c>
      <c r="P2227" s="72">
        <f t="shared" si="827"/>
        <v>0</v>
      </c>
      <c r="Q2227" s="72">
        <f t="shared" si="828"/>
        <v>0</v>
      </c>
      <c r="R2227" s="72">
        <f t="shared" si="829"/>
        <v>0.45833333333333331</v>
      </c>
      <c r="S2227" s="72">
        <f t="shared" si="830"/>
        <v>1.0662352941176472</v>
      </c>
      <c r="T2227" s="72">
        <f t="shared" si="831"/>
        <v>1.0443981207362596</v>
      </c>
      <c r="U2227" s="72">
        <f t="shared" si="832"/>
        <v>1.06</v>
      </c>
    </row>
    <row r="2228" spans="1:21" x14ac:dyDescent="0.25">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0.85499999999999998</v>
      </c>
      <c r="P2228" s="72">
        <f t="shared" si="827"/>
        <v>0</v>
      </c>
      <c r="Q2228" s="72">
        <f t="shared" si="828"/>
        <v>0</v>
      </c>
      <c r="R2228" s="72">
        <f t="shared" si="829"/>
        <v>0.375</v>
      </c>
      <c r="S2228" s="72">
        <f t="shared" si="830"/>
        <v>1.0662352941176472</v>
      </c>
      <c r="T2228" s="72">
        <f t="shared" si="831"/>
        <v>1.0456670099111856</v>
      </c>
      <c r="U2228" s="72">
        <f t="shared" si="832"/>
        <v>1.06</v>
      </c>
    </row>
    <row r="2229" spans="1:21" x14ac:dyDescent="0.25">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0.85499999999999998</v>
      </c>
      <c r="P2229" s="72">
        <f t="shared" si="827"/>
        <v>0</v>
      </c>
      <c r="Q2229" s="72">
        <f t="shared" si="828"/>
        <v>0</v>
      </c>
      <c r="R2229" s="72">
        <f t="shared" si="829"/>
        <v>0.29166666666666669</v>
      </c>
      <c r="S2229" s="72">
        <f t="shared" si="830"/>
        <v>1.0662352941176472</v>
      </c>
      <c r="T2229" s="72">
        <f t="shared" si="831"/>
        <v>1.0469154331316772</v>
      </c>
      <c r="U2229" s="72">
        <f t="shared" si="832"/>
        <v>1.06</v>
      </c>
    </row>
    <row r="2230" spans="1:21" x14ac:dyDescent="0.25">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0.85499999999999998</v>
      </c>
      <c r="P2230" s="72">
        <f t="shared" si="827"/>
        <v>0</v>
      </c>
      <c r="Q2230" s="72">
        <f t="shared" si="828"/>
        <v>0</v>
      </c>
      <c r="R2230" s="72">
        <f t="shared" si="829"/>
        <v>0.20833333333333334</v>
      </c>
      <c r="S2230" s="72">
        <f t="shared" si="830"/>
        <v>1.0662352941176472</v>
      </c>
      <c r="T2230" s="72">
        <f t="shared" si="831"/>
        <v>1.0481638563521689</v>
      </c>
      <c r="U2230" s="72">
        <f t="shared" si="832"/>
        <v>1.06</v>
      </c>
    </row>
    <row r="2231" spans="1:21" x14ac:dyDescent="0.25">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0.85499999999999998</v>
      </c>
      <c r="P2231" s="72">
        <f t="shared" si="827"/>
        <v>0</v>
      </c>
      <c r="Q2231" s="72">
        <f t="shared" si="828"/>
        <v>0</v>
      </c>
      <c r="R2231" s="72">
        <f t="shared" si="829"/>
        <v>0.125</v>
      </c>
      <c r="S2231" s="72">
        <f t="shared" si="830"/>
        <v>1.0662352941176472</v>
      </c>
      <c r="T2231" s="72">
        <f t="shared" si="831"/>
        <v>1.0494122795726606</v>
      </c>
      <c r="U2231" s="72">
        <f t="shared" si="832"/>
        <v>1.06</v>
      </c>
    </row>
    <row r="2232" spans="1:21" x14ac:dyDescent="0.25">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0.85499999999999998</v>
      </c>
      <c r="P2232" s="72">
        <f t="shared" si="827"/>
        <v>0</v>
      </c>
      <c r="Q2232" s="72">
        <f t="shared" si="828"/>
        <v>0</v>
      </c>
      <c r="R2232" s="72">
        <f t="shared" si="829"/>
        <v>4.1666666666666664E-2</v>
      </c>
      <c r="S2232" s="72">
        <f t="shared" si="830"/>
        <v>1.0662352941176472</v>
      </c>
      <c r="T2232" s="72">
        <f t="shared" si="831"/>
        <v>1.0506607027931523</v>
      </c>
      <c r="U2232" s="72">
        <f t="shared" si="832"/>
        <v>1.06</v>
      </c>
    </row>
    <row r="2233" spans="1:21" x14ac:dyDescent="0.25">
      <c r="A2233" s="77" t="s">
        <v>1209</v>
      </c>
      <c r="B2233" s="50">
        <f>EXP(SUMPRODUCT((rl_key=$A$2182)*(rl_cons="Y")*rl_ln1p))</f>
        <v>1.06</v>
      </c>
      <c r="C2233" s="50">
        <f>SUMPRODUCT($H$2185:$H$2232,$P$2185:$P$2232,$U$2185:$U$2232)/SUMPRODUCT($H$2185:$H$2232,$P$2185:$P$2232)</f>
        <v>1.016875</v>
      </c>
      <c r="D2233" s="50">
        <f>SUMPRODUCT($H$2185:$H$2232,$Q$2185:$Q$2232,$U$2185:$U$2232)/SUMPRODUCT($H$2185:$H$2232,$Q$2185:$Q$2232)</f>
        <v>1.0581250000000002</v>
      </c>
      <c r="E2233" s="50">
        <f>SUMPRODUCT($H$2185:$H$2232,$R$2185:$R$2232,$U$2185:$U$2232)/SUMPRODUCT($H$2185:$H$2232,$R$2185:$R$2232)</f>
        <v>1.0600000000000003</v>
      </c>
      <c r="F2233" s="169">
        <f>SUMPRODUCT($H$2185:$H$2232,$Q$2185:$Q$2232,$O$2185:$O$2232)/SUMPRODUCT($H$2185:$H$2232,$Q$2185:$Q$2232)</f>
        <v>0.84299370897155379</v>
      </c>
      <c r="G2233" s="169">
        <f>SUMPRODUCT($H$2185:$H$2232,$R$2185:$R$2232,$O$2185:$O$2232)/SUMPRODUCT($H$2185:$H$2232,$R$2185:$R$2232)</f>
        <v>0.85298453455506928</v>
      </c>
    </row>
    <row r="2236" spans="1:21" x14ac:dyDescent="0.25">
      <c r="A2236" s="77" t="str">
        <f>INDEX(lr_key,41)</f>
        <v>BU-B|TN</v>
      </c>
      <c r="B2236" s="77" t="str">
        <f>INDEX(lr_state,41)</f>
        <v>TN</v>
      </c>
      <c r="C2236" s="52">
        <f>nr_TermMonths</f>
        <v>12</v>
      </c>
      <c r="D2236" s="52">
        <f>IF(COUNTIF(se_state,$B2236)=0,0,MATCH($B2236,se_state,0))</f>
        <v>0</v>
      </c>
      <c r="E2236" s="54">
        <f>IF($D2236=0,0,INDEX(se_sum,$D2236))</f>
        <v>0</v>
      </c>
      <c r="F2236" s="169">
        <f>IF(N(INDEX(lr_mind,41))=0,1,INDEX(lr_mind,41))</f>
        <v>0.85</v>
      </c>
      <c r="G2236" s="169">
        <f>IF(N(INDEX(lr_m0,41))=0,1,INDEX(lr_m0,41))</f>
        <v>0.84</v>
      </c>
      <c r="H2236" s="51">
        <f>IF(N(INDEX(lr_m0asof,41))=0,DATE(nr_PlanYear-1,10,1),INDEX(lr_m0asof,41))</f>
        <v>46295</v>
      </c>
      <c r="I2236" s="169">
        <f>IF(N(INDEX(lr_m1,41))=0,1,INDEX(lr_m1,41))</f>
        <v>0.83499999999999996</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25">
      <c r="A2237" s="77">
        <f>EDATE($H$2236,-12)+1</f>
        <v>45931</v>
      </c>
      <c r="B2237" s="77">
        <f>$H$2236+1</f>
        <v>46296</v>
      </c>
      <c r="C2237" s="77">
        <f>DATE(nr_PlanYear,12,31)+1</f>
        <v>46753</v>
      </c>
      <c r="D2237" s="77">
        <f>DATE(nr_PlanYear+1,12,31)+1</f>
        <v>47119</v>
      </c>
      <c r="E2237" s="77">
        <f>IF(N($J$2236)=0,$F$2237-($G$2237-$F$2237)/($C$2237-$B$2237)*($B$2237-$A$2237),$J$2236)</f>
        <v>0.84399343544857763</v>
      </c>
      <c r="F2237" s="77">
        <f>$G$2236</f>
        <v>0.84</v>
      </c>
      <c r="G2237" s="77">
        <f>$I$2236</f>
        <v>0.83499999999999996</v>
      </c>
      <c r="H2237" s="77">
        <f>IF(N($K$2236)=0,$I$2236,$K$2236)</f>
        <v>0.83499999999999996</v>
      </c>
      <c r="I2237" s="77">
        <f>($F$2237-$E$2237)/($B$2237-$A$2237)</f>
        <v>-1.0940919037199081E-5</v>
      </c>
      <c r="J2237" s="77">
        <f>($G$2237-$F$2237)/($C$2237-$B$2237)</f>
        <v>-1.0940919037199135E-5</v>
      </c>
      <c r="K2237" s="77">
        <f>($H$2237-$G$2237)/($D$2237-$C$2237)</f>
        <v>0</v>
      </c>
    </row>
    <row r="2238" spans="1:21" ht="24" x14ac:dyDescent="0.25">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25">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0.84681072210065644</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0.99624790835371346</v>
      </c>
      <c r="T2239" s="72">
        <f t="shared" ref="T2239:T2286" si="851">IF($G2239&lt;nr_MStartP,$S2239,$T2227*(1+IF($G2239&lt;nr_MStartP1,$M$2236,$N$2236)))</f>
        <v>0.99624790835371346</v>
      </c>
      <c r="U2239" s="72">
        <f t="shared" ref="U2239:U2286" si="852">IF($L$2236,$T2239,$N2239)</f>
        <v>1</v>
      </c>
    </row>
    <row r="2240" spans="1:21" x14ac:dyDescent="0.25">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0.84648796498905898</v>
      </c>
      <c r="P2240" s="72">
        <f t="shared" si="847"/>
        <v>0.125</v>
      </c>
      <c r="Q2240" s="72">
        <f t="shared" si="848"/>
        <v>0</v>
      </c>
      <c r="R2240" s="72">
        <f t="shared" si="849"/>
        <v>0</v>
      </c>
      <c r="S2240" s="72">
        <f t="shared" si="850"/>
        <v>0.99586819410477534</v>
      </c>
      <c r="T2240" s="72">
        <f t="shared" si="851"/>
        <v>0.99586819410477534</v>
      </c>
      <c r="U2240" s="72">
        <f t="shared" si="852"/>
        <v>1</v>
      </c>
    </row>
    <row r="2241" spans="1:21" x14ac:dyDescent="0.25">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0.84616520787746163</v>
      </c>
      <c r="P2241" s="72">
        <f t="shared" si="847"/>
        <v>0.20833333333333337</v>
      </c>
      <c r="Q2241" s="72">
        <f t="shared" si="848"/>
        <v>0</v>
      </c>
      <c r="R2241" s="72">
        <f t="shared" si="849"/>
        <v>0</v>
      </c>
      <c r="S2241" s="72">
        <f t="shared" si="850"/>
        <v>0.99548847985583722</v>
      </c>
      <c r="T2241" s="72">
        <f t="shared" si="851"/>
        <v>0.99548847985583722</v>
      </c>
      <c r="U2241" s="72">
        <f t="shared" si="852"/>
        <v>1</v>
      </c>
    </row>
    <row r="2242" spans="1:21" x14ac:dyDescent="0.25">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0.84583150984682709</v>
      </c>
      <c r="P2242" s="72">
        <f t="shared" si="847"/>
        <v>0.29166666666666663</v>
      </c>
      <c r="Q2242" s="72">
        <f t="shared" si="848"/>
        <v>0</v>
      </c>
      <c r="R2242" s="72">
        <f t="shared" si="849"/>
        <v>0</v>
      </c>
      <c r="S2242" s="72">
        <f t="shared" si="850"/>
        <v>0.99509589393744369</v>
      </c>
      <c r="T2242" s="72">
        <f t="shared" si="851"/>
        <v>0.99509589393744369</v>
      </c>
      <c r="U2242" s="72">
        <f t="shared" si="852"/>
        <v>1</v>
      </c>
    </row>
    <row r="2243" spans="1:21" x14ac:dyDescent="0.25">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0.84549781181619255</v>
      </c>
      <c r="P2243" s="72">
        <f t="shared" si="847"/>
        <v>0.375</v>
      </c>
      <c r="Q2243" s="72">
        <f t="shared" si="848"/>
        <v>0</v>
      </c>
      <c r="R2243" s="72">
        <f t="shared" si="849"/>
        <v>0</v>
      </c>
      <c r="S2243" s="72">
        <f t="shared" si="850"/>
        <v>0.99470330801905005</v>
      </c>
      <c r="T2243" s="72">
        <f t="shared" si="851"/>
        <v>0.99470330801905005</v>
      </c>
      <c r="U2243" s="72">
        <f t="shared" si="852"/>
        <v>1</v>
      </c>
    </row>
    <row r="2244" spans="1:21" x14ac:dyDescent="0.25">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0.84516411378555789</v>
      </c>
      <c r="P2244" s="72">
        <f t="shared" si="847"/>
        <v>0.45833333333333337</v>
      </c>
      <c r="Q2244" s="72">
        <f t="shared" si="848"/>
        <v>0</v>
      </c>
      <c r="R2244" s="72">
        <f t="shared" si="849"/>
        <v>0</v>
      </c>
      <c r="S2244" s="72">
        <f t="shared" si="850"/>
        <v>0.99431072210065641</v>
      </c>
      <c r="T2244" s="72">
        <f t="shared" si="851"/>
        <v>0.99431072210065641</v>
      </c>
      <c r="U2244" s="72">
        <f t="shared" si="852"/>
        <v>1</v>
      </c>
    </row>
    <row r="2245" spans="1:21" x14ac:dyDescent="0.25">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0.84483041575492335</v>
      </c>
      <c r="P2245" s="72">
        <f t="shared" si="847"/>
        <v>0.54166666666666674</v>
      </c>
      <c r="Q2245" s="72">
        <f t="shared" si="848"/>
        <v>0</v>
      </c>
      <c r="R2245" s="72">
        <f t="shared" si="849"/>
        <v>0</v>
      </c>
      <c r="S2245" s="72">
        <f t="shared" si="850"/>
        <v>0.99391813618226277</v>
      </c>
      <c r="T2245" s="72">
        <f t="shared" si="851"/>
        <v>0.99391813618226277</v>
      </c>
      <c r="U2245" s="72">
        <f t="shared" si="852"/>
        <v>1</v>
      </c>
    </row>
    <row r="2246" spans="1:21" x14ac:dyDescent="0.25">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0.84449124726477021</v>
      </c>
      <c r="P2246" s="72">
        <f t="shared" si="847"/>
        <v>0.625</v>
      </c>
      <c r="Q2246" s="72">
        <f t="shared" si="848"/>
        <v>0</v>
      </c>
      <c r="R2246" s="72">
        <f t="shared" si="849"/>
        <v>0</v>
      </c>
      <c r="S2246" s="72">
        <f t="shared" si="850"/>
        <v>0.99351911442914143</v>
      </c>
      <c r="T2246" s="72">
        <f t="shared" si="851"/>
        <v>0.99351911442914143</v>
      </c>
      <c r="U2246" s="72">
        <f t="shared" si="852"/>
        <v>1</v>
      </c>
    </row>
    <row r="2247" spans="1:21" x14ac:dyDescent="0.25">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0.84415754923413566</v>
      </c>
      <c r="P2247" s="72">
        <f t="shared" si="847"/>
        <v>0.70833333333333326</v>
      </c>
      <c r="Q2247" s="72">
        <f t="shared" si="848"/>
        <v>0</v>
      </c>
      <c r="R2247" s="72">
        <f t="shared" si="849"/>
        <v>0</v>
      </c>
      <c r="S2247" s="72">
        <f t="shared" si="850"/>
        <v>0.9931265285107479</v>
      </c>
      <c r="T2247" s="72">
        <f t="shared" si="851"/>
        <v>0.9931265285107479</v>
      </c>
      <c r="U2247" s="72">
        <f t="shared" si="852"/>
        <v>1</v>
      </c>
    </row>
    <row r="2248" spans="1:21" x14ac:dyDescent="0.25">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0.84382385120350101</v>
      </c>
      <c r="P2248" s="72">
        <f t="shared" si="847"/>
        <v>0.79166666666666663</v>
      </c>
      <c r="Q2248" s="72">
        <f t="shared" si="848"/>
        <v>0</v>
      </c>
      <c r="R2248" s="72">
        <f t="shared" si="849"/>
        <v>0</v>
      </c>
      <c r="S2248" s="72">
        <f t="shared" si="850"/>
        <v>0.99273394259235415</v>
      </c>
      <c r="T2248" s="72">
        <f t="shared" si="851"/>
        <v>0.99273394259235415</v>
      </c>
      <c r="U2248" s="72">
        <f t="shared" si="852"/>
        <v>1</v>
      </c>
    </row>
    <row r="2249" spans="1:21" x14ac:dyDescent="0.25">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0.84349015317286646</v>
      </c>
      <c r="P2249" s="72">
        <f t="shared" si="847"/>
        <v>0.875</v>
      </c>
      <c r="Q2249" s="72">
        <f t="shared" si="848"/>
        <v>0</v>
      </c>
      <c r="R2249" s="72">
        <f t="shared" si="849"/>
        <v>0</v>
      </c>
      <c r="S2249" s="72">
        <f t="shared" si="850"/>
        <v>0.99234135667396062</v>
      </c>
      <c r="T2249" s="72">
        <f t="shared" si="851"/>
        <v>0.99234135667396062</v>
      </c>
      <c r="U2249" s="72">
        <f t="shared" si="852"/>
        <v>1</v>
      </c>
    </row>
    <row r="2250" spans="1:21" x14ac:dyDescent="0.25">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0.84315645514223192</v>
      </c>
      <c r="P2250" s="72">
        <f t="shared" si="847"/>
        <v>0.95833333333333337</v>
      </c>
      <c r="Q2250" s="72">
        <f t="shared" si="848"/>
        <v>0</v>
      </c>
      <c r="R2250" s="72">
        <f t="shared" si="849"/>
        <v>0</v>
      </c>
      <c r="S2250" s="72">
        <f t="shared" si="850"/>
        <v>0.99194877075556698</v>
      </c>
      <c r="T2250" s="72">
        <f t="shared" si="851"/>
        <v>0.99194877075556698</v>
      </c>
      <c r="U2250" s="72">
        <f t="shared" si="852"/>
        <v>1</v>
      </c>
    </row>
    <row r="2251" spans="1:21" x14ac:dyDescent="0.25">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0.84281728665207878</v>
      </c>
      <c r="P2251" s="72">
        <f t="shared" si="847"/>
        <v>0.95833333333333337</v>
      </c>
      <c r="Q2251" s="72">
        <f t="shared" si="848"/>
        <v>4.166666666666663E-2</v>
      </c>
      <c r="R2251" s="72">
        <f t="shared" si="849"/>
        <v>0</v>
      </c>
      <c r="S2251" s="72">
        <f t="shared" si="850"/>
        <v>0.99154974900244564</v>
      </c>
      <c r="T2251" s="72">
        <f t="shared" si="851"/>
        <v>0.99154974900244564</v>
      </c>
      <c r="U2251" s="72">
        <f t="shared" si="852"/>
        <v>1</v>
      </c>
    </row>
    <row r="2252" spans="1:21" x14ac:dyDescent="0.25">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0.84249452954048132</v>
      </c>
      <c r="P2252" s="72">
        <f t="shared" si="847"/>
        <v>0.875</v>
      </c>
      <c r="Q2252" s="72">
        <f t="shared" si="848"/>
        <v>0.125</v>
      </c>
      <c r="R2252" s="72">
        <f t="shared" si="849"/>
        <v>0</v>
      </c>
      <c r="S2252" s="72">
        <f t="shared" si="850"/>
        <v>0.99117003475350751</v>
      </c>
      <c r="T2252" s="72">
        <f t="shared" si="851"/>
        <v>0.99117003475350751</v>
      </c>
      <c r="U2252" s="72">
        <f t="shared" si="852"/>
        <v>1</v>
      </c>
    </row>
    <row r="2253" spans="1:21" x14ac:dyDescent="0.25">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0.84217177242888397</v>
      </c>
      <c r="P2253" s="72">
        <f t="shared" si="847"/>
        <v>0.79166666666666663</v>
      </c>
      <c r="Q2253" s="72">
        <f t="shared" si="848"/>
        <v>0.20833333333333337</v>
      </c>
      <c r="R2253" s="72">
        <f t="shared" si="849"/>
        <v>0</v>
      </c>
      <c r="S2253" s="72">
        <f t="shared" si="850"/>
        <v>0.99079032050456939</v>
      </c>
      <c r="T2253" s="72">
        <f t="shared" si="851"/>
        <v>0.99079032050456939</v>
      </c>
      <c r="U2253" s="72">
        <f t="shared" si="852"/>
        <v>1</v>
      </c>
    </row>
    <row r="2254" spans="1:21" x14ac:dyDescent="0.25">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0.84183807439824943</v>
      </c>
      <c r="P2254" s="72">
        <f t="shared" si="847"/>
        <v>0.70833333333333337</v>
      </c>
      <c r="Q2254" s="72">
        <f t="shared" si="848"/>
        <v>0.29166666666666663</v>
      </c>
      <c r="R2254" s="72">
        <f t="shared" si="849"/>
        <v>0</v>
      </c>
      <c r="S2254" s="72">
        <f t="shared" si="850"/>
        <v>0.99039773458617586</v>
      </c>
      <c r="T2254" s="72">
        <f t="shared" si="851"/>
        <v>0.99039773458617586</v>
      </c>
      <c r="U2254" s="72">
        <f t="shared" si="852"/>
        <v>1</v>
      </c>
    </row>
    <row r="2255" spans="1:21" x14ac:dyDescent="0.25">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0.84150437636761488</v>
      </c>
      <c r="P2255" s="72">
        <f t="shared" si="847"/>
        <v>0.625</v>
      </c>
      <c r="Q2255" s="72">
        <f t="shared" si="848"/>
        <v>0.375</v>
      </c>
      <c r="R2255" s="72">
        <f t="shared" si="849"/>
        <v>0</v>
      </c>
      <c r="S2255" s="72">
        <f t="shared" si="850"/>
        <v>1.009805251641138</v>
      </c>
      <c r="T2255" s="72">
        <f t="shared" si="851"/>
        <v>1.009805251641138</v>
      </c>
      <c r="U2255" s="72">
        <f t="shared" si="852"/>
        <v>1.02</v>
      </c>
    </row>
    <row r="2256" spans="1:21" x14ac:dyDescent="0.25">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0.84117067833698023</v>
      </c>
      <c r="P2256" s="72">
        <f t="shared" si="847"/>
        <v>0.54166666666666663</v>
      </c>
      <c r="Q2256" s="72">
        <f t="shared" si="848"/>
        <v>0.45833333333333337</v>
      </c>
      <c r="R2256" s="72">
        <f t="shared" si="849"/>
        <v>0</v>
      </c>
      <c r="S2256" s="72">
        <f t="shared" si="850"/>
        <v>1.0094048140043763</v>
      </c>
      <c r="T2256" s="72">
        <f t="shared" si="851"/>
        <v>1.0094048140043763</v>
      </c>
      <c r="U2256" s="72">
        <f t="shared" si="852"/>
        <v>1.02</v>
      </c>
    </row>
    <row r="2257" spans="1:21" x14ac:dyDescent="0.25">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0.84083698030634568</v>
      </c>
      <c r="P2257" s="72">
        <f t="shared" si="847"/>
        <v>0.45833333333333331</v>
      </c>
      <c r="Q2257" s="72">
        <f t="shared" si="848"/>
        <v>0.54166666666666674</v>
      </c>
      <c r="R2257" s="72">
        <f t="shared" si="849"/>
        <v>0</v>
      </c>
      <c r="S2257" s="72">
        <f t="shared" si="850"/>
        <v>1.0090043763676149</v>
      </c>
      <c r="T2257" s="72">
        <f t="shared" si="851"/>
        <v>1.0090043763676149</v>
      </c>
      <c r="U2257" s="72">
        <f t="shared" si="852"/>
        <v>1.02</v>
      </c>
    </row>
    <row r="2258" spans="1:21" x14ac:dyDescent="0.25">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0.84049781181619254</v>
      </c>
      <c r="P2258" s="72">
        <f t="shared" si="847"/>
        <v>0.375</v>
      </c>
      <c r="Q2258" s="72">
        <f t="shared" si="848"/>
        <v>0.625</v>
      </c>
      <c r="R2258" s="72">
        <f t="shared" si="849"/>
        <v>0</v>
      </c>
      <c r="S2258" s="72">
        <f t="shared" si="850"/>
        <v>1.0085973741794312</v>
      </c>
      <c r="T2258" s="72">
        <f t="shared" si="851"/>
        <v>1.0085973741794312</v>
      </c>
      <c r="U2258" s="72">
        <f t="shared" si="852"/>
        <v>1.02</v>
      </c>
    </row>
    <row r="2259" spans="1:21" x14ac:dyDescent="0.25">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0.840164113785558</v>
      </c>
      <c r="P2259" s="72">
        <f t="shared" si="847"/>
        <v>0.29166666666666669</v>
      </c>
      <c r="Q2259" s="72">
        <f t="shared" si="848"/>
        <v>0.70833333333333326</v>
      </c>
      <c r="R2259" s="72">
        <f t="shared" si="849"/>
        <v>0</v>
      </c>
      <c r="S2259" s="72">
        <f t="shared" si="850"/>
        <v>1.0081969365426697</v>
      </c>
      <c r="T2259" s="72">
        <f t="shared" si="851"/>
        <v>1.0081969365426697</v>
      </c>
      <c r="U2259" s="72">
        <f t="shared" si="852"/>
        <v>1.02</v>
      </c>
    </row>
    <row r="2260" spans="1:21" x14ac:dyDescent="0.25">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0.83983041575492334</v>
      </c>
      <c r="P2260" s="72">
        <f t="shared" si="847"/>
        <v>0.20833333333333334</v>
      </c>
      <c r="Q2260" s="72">
        <f t="shared" si="848"/>
        <v>0.79166666666666663</v>
      </c>
      <c r="R2260" s="72">
        <f t="shared" si="849"/>
        <v>0</v>
      </c>
      <c r="S2260" s="72">
        <f t="shared" si="850"/>
        <v>1.0077964989059081</v>
      </c>
      <c r="T2260" s="72">
        <f t="shared" si="851"/>
        <v>1.0077964989059081</v>
      </c>
      <c r="U2260" s="72">
        <f t="shared" si="852"/>
        <v>1.02</v>
      </c>
    </row>
    <row r="2261" spans="1:21" x14ac:dyDescent="0.25">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0.8394967177242888</v>
      </c>
      <c r="P2261" s="72">
        <f t="shared" si="847"/>
        <v>0.125</v>
      </c>
      <c r="Q2261" s="72">
        <f t="shared" si="848"/>
        <v>0.875</v>
      </c>
      <c r="R2261" s="72">
        <f t="shared" si="849"/>
        <v>0</v>
      </c>
      <c r="S2261" s="72">
        <f t="shared" si="850"/>
        <v>1.0073960612691466</v>
      </c>
      <c r="T2261" s="72">
        <f t="shared" si="851"/>
        <v>1.0073960612691466</v>
      </c>
      <c r="U2261" s="72">
        <f t="shared" si="852"/>
        <v>1.02</v>
      </c>
    </row>
    <row r="2262" spans="1:21" x14ac:dyDescent="0.25">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0.83916301969365426</v>
      </c>
      <c r="P2262" s="72">
        <f t="shared" si="847"/>
        <v>4.1666666666666664E-2</v>
      </c>
      <c r="Q2262" s="72">
        <f t="shared" si="848"/>
        <v>0.95833333333333337</v>
      </c>
      <c r="R2262" s="72">
        <f t="shared" si="849"/>
        <v>0</v>
      </c>
      <c r="S2262" s="72">
        <f t="shared" si="850"/>
        <v>1.0069956236323852</v>
      </c>
      <c r="T2262" s="72">
        <f t="shared" si="851"/>
        <v>1.0069956236323852</v>
      </c>
      <c r="U2262" s="72">
        <f t="shared" si="852"/>
        <v>1.02</v>
      </c>
    </row>
    <row r="2263" spans="1:21" x14ac:dyDescent="0.25">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0.83882385120350111</v>
      </c>
      <c r="P2263" s="72">
        <f t="shared" si="847"/>
        <v>0</v>
      </c>
      <c r="Q2263" s="72">
        <f t="shared" si="848"/>
        <v>0.95833333333333337</v>
      </c>
      <c r="R2263" s="72">
        <f t="shared" si="849"/>
        <v>4.166666666666663E-2</v>
      </c>
      <c r="S2263" s="72">
        <f t="shared" si="850"/>
        <v>1.0065886214442015</v>
      </c>
      <c r="T2263" s="72">
        <f t="shared" si="851"/>
        <v>0.99154974900244564</v>
      </c>
      <c r="U2263" s="72">
        <f t="shared" si="852"/>
        <v>1.02</v>
      </c>
    </row>
    <row r="2264" spans="1:21" x14ac:dyDescent="0.25">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0.83850109409190365</v>
      </c>
      <c r="P2264" s="72">
        <f t="shared" si="847"/>
        <v>0</v>
      </c>
      <c r="Q2264" s="72">
        <f t="shared" si="848"/>
        <v>0.875</v>
      </c>
      <c r="R2264" s="72">
        <f t="shared" si="849"/>
        <v>0.125</v>
      </c>
      <c r="S2264" s="72">
        <f t="shared" si="850"/>
        <v>1.0062013129102845</v>
      </c>
      <c r="T2264" s="72">
        <f t="shared" si="851"/>
        <v>0.99117003475350751</v>
      </c>
      <c r="U2264" s="72">
        <f t="shared" si="852"/>
        <v>1.02</v>
      </c>
    </row>
    <row r="2265" spans="1:21" x14ac:dyDescent="0.25">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0.8381783369803063</v>
      </c>
      <c r="P2265" s="72">
        <f t="shared" si="847"/>
        <v>0</v>
      </c>
      <c r="Q2265" s="72">
        <f t="shared" si="848"/>
        <v>0.79166666666666663</v>
      </c>
      <c r="R2265" s="72">
        <f t="shared" si="849"/>
        <v>0.20833333333333337</v>
      </c>
      <c r="S2265" s="72">
        <f t="shared" si="850"/>
        <v>1.0058140043763677</v>
      </c>
      <c r="T2265" s="72">
        <f t="shared" si="851"/>
        <v>0.99079032050456939</v>
      </c>
      <c r="U2265" s="72">
        <f t="shared" si="852"/>
        <v>1.02</v>
      </c>
    </row>
    <row r="2266" spans="1:21" x14ac:dyDescent="0.25">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0.83784463894967176</v>
      </c>
      <c r="P2266" s="72">
        <f t="shared" si="847"/>
        <v>0</v>
      </c>
      <c r="Q2266" s="72">
        <f t="shared" si="848"/>
        <v>0.70833333333333337</v>
      </c>
      <c r="R2266" s="72">
        <f t="shared" si="849"/>
        <v>0.29166666666666663</v>
      </c>
      <c r="S2266" s="72">
        <f t="shared" si="850"/>
        <v>1.0054135667396062</v>
      </c>
      <c r="T2266" s="72">
        <f t="shared" si="851"/>
        <v>0.99039773458617586</v>
      </c>
      <c r="U2266" s="72">
        <f t="shared" si="852"/>
        <v>1.02</v>
      </c>
    </row>
    <row r="2267" spans="1:21" x14ac:dyDescent="0.25">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0.83751094091903722</v>
      </c>
      <c r="P2267" s="72">
        <f t="shared" si="847"/>
        <v>0</v>
      </c>
      <c r="Q2267" s="72">
        <f t="shared" si="848"/>
        <v>0.625</v>
      </c>
      <c r="R2267" s="72">
        <f t="shared" si="849"/>
        <v>0.375</v>
      </c>
      <c r="S2267" s="72">
        <f t="shared" si="850"/>
        <v>1.0050131291028448</v>
      </c>
      <c r="T2267" s="72">
        <f t="shared" si="851"/>
        <v>1.009805251641138</v>
      </c>
      <c r="U2267" s="72">
        <f t="shared" si="852"/>
        <v>1.02</v>
      </c>
    </row>
    <row r="2268" spans="1:21" x14ac:dyDescent="0.25">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0.83717724288840256</v>
      </c>
      <c r="P2268" s="72">
        <f t="shared" si="847"/>
        <v>0</v>
      </c>
      <c r="Q2268" s="72">
        <f t="shared" si="848"/>
        <v>0.54166666666666663</v>
      </c>
      <c r="R2268" s="72">
        <f t="shared" si="849"/>
        <v>0.45833333333333337</v>
      </c>
      <c r="S2268" s="72">
        <f t="shared" si="850"/>
        <v>1.0046126914660831</v>
      </c>
      <c r="T2268" s="72">
        <f t="shared" si="851"/>
        <v>1.0094048140043763</v>
      </c>
      <c r="U2268" s="72">
        <f t="shared" si="852"/>
        <v>1.02</v>
      </c>
    </row>
    <row r="2269" spans="1:21" x14ac:dyDescent="0.25">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0.83684354485776802</v>
      </c>
      <c r="P2269" s="72">
        <f t="shared" si="847"/>
        <v>0</v>
      </c>
      <c r="Q2269" s="72">
        <f t="shared" si="848"/>
        <v>0.45833333333333331</v>
      </c>
      <c r="R2269" s="72">
        <f t="shared" si="849"/>
        <v>0.54166666666666674</v>
      </c>
      <c r="S2269" s="72">
        <f t="shared" si="850"/>
        <v>1.0042122538293217</v>
      </c>
      <c r="T2269" s="72">
        <f t="shared" si="851"/>
        <v>1.0090043763676149</v>
      </c>
      <c r="U2269" s="72">
        <f t="shared" si="852"/>
        <v>1.02</v>
      </c>
    </row>
    <row r="2270" spans="1:21" x14ac:dyDescent="0.25">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0.83650437636761488</v>
      </c>
      <c r="P2270" s="72">
        <f t="shared" si="847"/>
        <v>0</v>
      </c>
      <c r="Q2270" s="72">
        <f t="shared" si="848"/>
        <v>0.375</v>
      </c>
      <c r="R2270" s="72">
        <f t="shared" si="849"/>
        <v>0.625</v>
      </c>
      <c r="S2270" s="72">
        <f t="shared" si="850"/>
        <v>1.003805251641138</v>
      </c>
      <c r="T2270" s="72">
        <f t="shared" si="851"/>
        <v>1.0085973741794312</v>
      </c>
      <c r="U2270" s="72">
        <f t="shared" si="852"/>
        <v>1.02</v>
      </c>
    </row>
    <row r="2271" spans="1:21" x14ac:dyDescent="0.25">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0.83617067833698022</v>
      </c>
      <c r="P2271" s="72">
        <f t="shared" si="847"/>
        <v>0</v>
      </c>
      <c r="Q2271" s="72">
        <f t="shared" si="848"/>
        <v>0.29166666666666669</v>
      </c>
      <c r="R2271" s="72">
        <f t="shared" si="849"/>
        <v>0.70833333333333326</v>
      </c>
      <c r="S2271" s="72">
        <f t="shared" si="850"/>
        <v>1.0034048140043763</v>
      </c>
      <c r="T2271" s="72">
        <f t="shared" si="851"/>
        <v>1.0081969365426697</v>
      </c>
      <c r="U2271" s="72">
        <f t="shared" si="852"/>
        <v>1.02</v>
      </c>
    </row>
    <row r="2272" spans="1:21" x14ac:dyDescent="0.25">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0.83583698030634568</v>
      </c>
      <c r="P2272" s="72">
        <f t="shared" si="847"/>
        <v>0</v>
      </c>
      <c r="Q2272" s="72">
        <f t="shared" si="848"/>
        <v>0.20833333333333334</v>
      </c>
      <c r="R2272" s="72">
        <f t="shared" si="849"/>
        <v>0.79166666666666663</v>
      </c>
      <c r="S2272" s="72">
        <f t="shared" si="850"/>
        <v>1.0030043763676149</v>
      </c>
      <c r="T2272" s="72">
        <f t="shared" si="851"/>
        <v>1.0077964989059081</v>
      </c>
      <c r="U2272" s="72">
        <f t="shared" si="852"/>
        <v>1.02</v>
      </c>
    </row>
    <row r="2273" spans="1:21" x14ac:dyDescent="0.25">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0.83550328227571113</v>
      </c>
      <c r="P2273" s="72">
        <f t="shared" si="847"/>
        <v>0</v>
      </c>
      <c r="Q2273" s="72">
        <f t="shared" si="848"/>
        <v>0.125</v>
      </c>
      <c r="R2273" s="72">
        <f t="shared" si="849"/>
        <v>0.875</v>
      </c>
      <c r="S2273" s="72">
        <f t="shared" si="850"/>
        <v>1.0026039387308534</v>
      </c>
      <c r="T2273" s="72">
        <f t="shared" si="851"/>
        <v>1.0073960612691466</v>
      </c>
      <c r="U2273" s="72">
        <f t="shared" si="852"/>
        <v>1.02</v>
      </c>
    </row>
    <row r="2274" spans="1:21" x14ac:dyDescent="0.25">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0.83516958424507659</v>
      </c>
      <c r="P2274" s="72">
        <f t="shared" si="847"/>
        <v>0</v>
      </c>
      <c r="Q2274" s="72">
        <f t="shared" si="848"/>
        <v>4.1666666666666664E-2</v>
      </c>
      <c r="R2274" s="72">
        <f t="shared" si="849"/>
        <v>0.95833333333333337</v>
      </c>
      <c r="S2274" s="72">
        <f t="shared" si="850"/>
        <v>1.002203501094092</v>
      </c>
      <c r="T2274" s="72">
        <f t="shared" si="851"/>
        <v>1.0069956236323852</v>
      </c>
      <c r="U2274" s="72">
        <f t="shared" si="852"/>
        <v>1.02</v>
      </c>
    </row>
    <row r="2275" spans="1:21" x14ac:dyDescent="0.25">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0.83499999999999996</v>
      </c>
      <c r="P2275" s="72">
        <f t="shared" si="847"/>
        <v>0</v>
      </c>
      <c r="Q2275" s="72">
        <f t="shared" si="848"/>
        <v>0</v>
      </c>
      <c r="R2275" s="72">
        <f t="shared" si="849"/>
        <v>0.95833333333333337</v>
      </c>
      <c r="S2275" s="72">
        <f t="shared" si="850"/>
        <v>1.002</v>
      </c>
      <c r="T2275" s="72">
        <f t="shared" si="851"/>
        <v>0.99154974900244564</v>
      </c>
      <c r="U2275" s="72">
        <f t="shared" si="852"/>
        <v>1.02</v>
      </c>
    </row>
    <row r="2276" spans="1:21" x14ac:dyDescent="0.25">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0.83499999999999996</v>
      </c>
      <c r="P2276" s="72">
        <f t="shared" si="847"/>
        <v>0</v>
      </c>
      <c r="Q2276" s="72">
        <f t="shared" si="848"/>
        <v>0</v>
      </c>
      <c r="R2276" s="72">
        <f t="shared" si="849"/>
        <v>0.875</v>
      </c>
      <c r="S2276" s="72">
        <f t="shared" si="850"/>
        <v>1.002</v>
      </c>
      <c r="T2276" s="72">
        <f t="shared" si="851"/>
        <v>0.99117003475350751</v>
      </c>
      <c r="U2276" s="72">
        <f t="shared" si="852"/>
        <v>1.02</v>
      </c>
    </row>
    <row r="2277" spans="1:21" x14ac:dyDescent="0.25">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0.83499999999999996</v>
      </c>
      <c r="P2277" s="72">
        <f t="shared" si="847"/>
        <v>0</v>
      </c>
      <c r="Q2277" s="72">
        <f t="shared" si="848"/>
        <v>0</v>
      </c>
      <c r="R2277" s="72">
        <f t="shared" si="849"/>
        <v>0.79166666666666663</v>
      </c>
      <c r="S2277" s="72">
        <f t="shared" si="850"/>
        <v>1.002</v>
      </c>
      <c r="T2277" s="72">
        <f t="shared" si="851"/>
        <v>0.99079032050456939</v>
      </c>
      <c r="U2277" s="72">
        <f t="shared" si="852"/>
        <v>1.02</v>
      </c>
    </row>
    <row r="2278" spans="1:21" x14ac:dyDescent="0.25">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0.83499999999999996</v>
      </c>
      <c r="P2278" s="72">
        <f t="shared" si="847"/>
        <v>0</v>
      </c>
      <c r="Q2278" s="72">
        <f t="shared" si="848"/>
        <v>0</v>
      </c>
      <c r="R2278" s="72">
        <f t="shared" si="849"/>
        <v>0.70833333333333337</v>
      </c>
      <c r="S2278" s="72">
        <f t="shared" si="850"/>
        <v>1.002</v>
      </c>
      <c r="T2278" s="72">
        <f t="shared" si="851"/>
        <v>0.99039773458617586</v>
      </c>
      <c r="U2278" s="72">
        <f t="shared" si="852"/>
        <v>1.02</v>
      </c>
    </row>
    <row r="2279" spans="1:21" x14ac:dyDescent="0.25">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0.83499999999999996</v>
      </c>
      <c r="P2279" s="72">
        <f t="shared" si="847"/>
        <v>0</v>
      </c>
      <c r="Q2279" s="72">
        <f t="shared" si="848"/>
        <v>0</v>
      </c>
      <c r="R2279" s="72">
        <f t="shared" si="849"/>
        <v>0.625</v>
      </c>
      <c r="S2279" s="72">
        <f t="shared" si="850"/>
        <v>1.002</v>
      </c>
      <c r="T2279" s="72">
        <f t="shared" si="851"/>
        <v>1.009805251641138</v>
      </c>
      <c r="U2279" s="72">
        <f t="shared" si="852"/>
        <v>1.02</v>
      </c>
    </row>
    <row r="2280" spans="1:21" x14ac:dyDescent="0.25">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0.83499999999999996</v>
      </c>
      <c r="P2280" s="72">
        <f t="shared" si="847"/>
        <v>0</v>
      </c>
      <c r="Q2280" s="72">
        <f t="shared" si="848"/>
        <v>0</v>
      </c>
      <c r="R2280" s="72">
        <f t="shared" si="849"/>
        <v>0.54166666666666663</v>
      </c>
      <c r="S2280" s="72">
        <f t="shared" si="850"/>
        <v>1.002</v>
      </c>
      <c r="T2280" s="72">
        <f t="shared" si="851"/>
        <v>1.0094048140043763</v>
      </c>
      <c r="U2280" s="72">
        <f t="shared" si="852"/>
        <v>1.02</v>
      </c>
    </row>
    <row r="2281" spans="1:21" x14ac:dyDescent="0.25">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0.83499999999999996</v>
      </c>
      <c r="P2281" s="72">
        <f t="shared" si="847"/>
        <v>0</v>
      </c>
      <c r="Q2281" s="72">
        <f t="shared" si="848"/>
        <v>0</v>
      </c>
      <c r="R2281" s="72">
        <f t="shared" si="849"/>
        <v>0.45833333333333331</v>
      </c>
      <c r="S2281" s="72">
        <f t="shared" si="850"/>
        <v>1.002</v>
      </c>
      <c r="T2281" s="72">
        <f t="shared" si="851"/>
        <v>1.0090043763676149</v>
      </c>
      <c r="U2281" s="72">
        <f t="shared" si="852"/>
        <v>1.02</v>
      </c>
    </row>
    <row r="2282" spans="1:21" x14ac:dyDescent="0.25">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0.83499999999999996</v>
      </c>
      <c r="P2282" s="72">
        <f t="shared" si="847"/>
        <v>0</v>
      </c>
      <c r="Q2282" s="72">
        <f t="shared" si="848"/>
        <v>0</v>
      </c>
      <c r="R2282" s="72">
        <f t="shared" si="849"/>
        <v>0.375</v>
      </c>
      <c r="S2282" s="72">
        <f t="shared" si="850"/>
        <v>1.002</v>
      </c>
      <c r="T2282" s="72">
        <f t="shared" si="851"/>
        <v>1.0085973741794312</v>
      </c>
      <c r="U2282" s="72">
        <f t="shared" si="852"/>
        <v>1.02</v>
      </c>
    </row>
    <row r="2283" spans="1:21" x14ac:dyDescent="0.25">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0.83499999999999996</v>
      </c>
      <c r="P2283" s="72">
        <f t="shared" si="847"/>
        <v>0</v>
      </c>
      <c r="Q2283" s="72">
        <f t="shared" si="848"/>
        <v>0</v>
      </c>
      <c r="R2283" s="72">
        <f t="shared" si="849"/>
        <v>0.29166666666666669</v>
      </c>
      <c r="S2283" s="72">
        <f t="shared" si="850"/>
        <v>1.002</v>
      </c>
      <c r="T2283" s="72">
        <f t="shared" si="851"/>
        <v>1.0081969365426697</v>
      </c>
      <c r="U2283" s="72">
        <f t="shared" si="852"/>
        <v>1.02</v>
      </c>
    </row>
    <row r="2284" spans="1:21" x14ac:dyDescent="0.25">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0.83499999999999996</v>
      </c>
      <c r="P2284" s="72">
        <f t="shared" si="847"/>
        <v>0</v>
      </c>
      <c r="Q2284" s="72">
        <f t="shared" si="848"/>
        <v>0</v>
      </c>
      <c r="R2284" s="72">
        <f t="shared" si="849"/>
        <v>0.20833333333333334</v>
      </c>
      <c r="S2284" s="72">
        <f t="shared" si="850"/>
        <v>1.002</v>
      </c>
      <c r="T2284" s="72">
        <f t="shared" si="851"/>
        <v>1.0077964989059081</v>
      </c>
      <c r="U2284" s="72">
        <f t="shared" si="852"/>
        <v>1.02</v>
      </c>
    </row>
    <row r="2285" spans="1:21" x14ac:dyDescent="0.25">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0.83499999999999996</v>
      </c>
      <c r="P2285" s="72">
        <f t="shared" si="847"/>
        <v>0</v>
      </c>
      <c r="Q2285" s="72">
        <f t="shared" si="848"/>
        <v>0</v>
      </c>
      <c r="R2285" s="72">
        <f t="shared" si="849"/>
        <v>0.125</v>
      </c>
      <c r="S2285" s="72">
        <f t="shared" si="850"/>
        <v>1.002</v>
      </c>
      <c r="T2285" s="72">
        <f t="shared" si="851"/>
        <v>1.0073960612691466</v>
      </c>
      <c r="U2285" s="72">
        <f t="shared" si="852"/>
        <v>1.02</v>
      </c>
    </row>
    <row r="2286" spans="1:21" x14ac:dyDescent="0.25">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0.83499999999999996</v>
      </c>
      <c r="P2286" s="72">
        <f t="shared" si="847"/>
        <v>0</v>
      </c>
      <c r="Q2286" s="72">
        <f t="shared" si="848"/>
        <v>0</v>
      </c>
      <c r="R2286" s="72">
        <f t="shared" si="849"/>
        <v>4.1666666666666664E-2</v>
      </c>
      <c r="S2286" s="72">
        <f t="shared" si="850"/>
        <v>1.002</v>
      </c>
      <c r="T2286" s="72">
        <f t="shared" si="851"/>
        <v>1.0069956236323852</v>
      </c>
      <c r="U2286" s="72">
        <f t="shared" si="852"/>
        <v>1.02</v>
      </c>
    </row>
    <row r="2287" spans="1:21" x14ac:dyDescent="0.25">
      <c r="A2287" s="77" t="s">
        <v>1209</v>
      </c>
      <c r="B2287" s="50">
        <f>EXP(SUMPRODUCT((rl_key=$A$2236)*(rl_cons="Y")*rl_ln1p))</f>
        <v>1.02</v>
      </c>
      <c r="C2287" s="50">
        <f>SUMPRODUCT($H$2239:$H$2286,$P$2239:$P$2286,$U$2239:$U$2286)/SUMPRODUCT($H$2239:$H$2286,$P$2239:$P$2286)</f>
        <v>1.0044444444444445</v>
      </c>
      <c r="D2287" s="50">
        <f>SUMPRODUCT($H$2239:$H$2286,$Q$2239:$Q$2286,$U$2239:$U$2286)/SUMPRODUCT($H$2239:$H$2286,$Q$2239:$Q$2286)</f>
        <v>1.018888888888889</v>
      </c>
      <c r="E2287" s="50">
        <f>SUMPRODUCT($H$2239:$H$2286,$R$2239:$R$2286,$U$2239:$U$2286)/SUMPRODUCT($H$2239:$H$2286,$R$2239:$R$2286)</f>
        <v>1.0199999999999998</v>
      </c>
      <c r="F2287" s="169">
        <f>SUMPRODUCT($H$2239:$H$2286,$Q$2239:$Q$2286,$O$2239:$O$2286)/SUMPRODUCT($H$2239:$H$2286,$Q$2239:$Q$2286)</f>
        <v>0.83900209700948214</v>
      </c>
      <c r="G2287" s="169">
        <f>SUMPRODUCT($H$2239:$H$2286,$R$2239:$R$2286,$O$2239:$O$2286)/SUMPRODUCT($H$2239:$H$2286,$R$2239:$R$2286)</f>
        <v>0.8356718218149769</v>
      </c>
    </row>
    <row r="2290" spans="1:21" x14ac:dyDescent="0.25">
      <c r="A2290" s="77" t="str">
        <f>INDEX(lr_key,42)</f>
        <v>BU-B|TX</v>
      </c>
      <c r="B2290" s="77" t="str">
        <f>INDEX(lr_state,42)</f>
        <v>TX</v>
      </c>
      <c r="C2290" s="52">
        <f>nr_TermMonths</f>
        <v>12</v>
      </c>
      <c r="D2290" s="52">
        <f>IF(COUNTIF(se_state,$B2290)=0,0,MATCH($B2290,se_state,0))</f>
        <v>0</v>
      </c>
      <c r="E2290" s="54">
        <f>IF($D2290=0,0,INDEX(se_sum,$D2290))</f>
        <v>0</v>
      </c>
      <c r="F2290" s="169">
        <f>IF(N(INDEX(lr_mind,42))=0,1,INDEX(lr_mind,42))</f>
        <v>0.85</v>
      </c>
      <c r="G2290" s="169">
        <f>IF(N(INDEX(lr_m0,42))=0,1,INDEX(lr_m0,42))</f>
        <v>0.84</v>
      </c>
      <c r="H2290" s="51">
        <f>IF(N(INDEX(lr_m0asof,42))=0,DATE(nr_PlanYear-1,10,1),INDEX(lr_m0asof,42))</f>
        <v>46295</v>
      </c>
      <c r="I2290" s="169">
        <f>IF(N(INDEX(lr_m1,42))=0,1,INDEX(lr_m1,42))</f>
        <v>0.85</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25">
      <c r="A2291" s="77">
        <f>EDATE($H$2290,-12)+1</f>
        <v>45931</v>
      </c>
      <c r="B2291" s="77">
        <f>$H$2290+1</f>
        <v>46296</v>
      </c>
      <c r="C2291" s="77">
        <f>DATE(nr_PlanYear,12,31)+1</f>
        <v>46753</v>
      </c>
      <c r="D2291" s="77">
        <f>DATE(nr_PlanYear+1,12,31)+1</f>
        <v>47119</v>
      </c>
      <c r="E2291" s="77">
        <f>IF(N($J$2290)=0,$F$2291-($G$2291-$F$2291)/($C$2291-$B$2291)*($B$2291-$A$2291),$J$2290)</f>
        <v>0.83201312910284464</v>
      </c>
      <c r="F2291" s="77">
        <f>$G$2290</f>
        <v>0.84</v>
      </c>
      <c r="G2291" s="77">
        <f>$I$2290</f>
        <v>0.85</v>
      </c>
      <c r="H2291" s="77">
        <f>IF(N($K$2290)=0,$I$2290,$K$2290)</f>
        <v>0.85</v>
      </c>
      <c r="I2291" s="77">
        <f>($F$2291-$E$2291)/($B$2291-$A$2291)</f>
        <v>2.1881838074398162E-5</v>
      </c>
      <c r="J2291" s="77">
        <f>($G$2291-$F$2291)/($C$2291-$B$2291)</f>
        <v>2.188183807439827E-5</v>
      </c>
      <c r="K2291" s="77">
        <f>($H$2291-$G$2291)/($D$2291-$C$2291)</f>
        <v>0</v>
      </c>
    </row>
    <row r="2292" spans="1:21" ht="24" x14ac:dyDescent="0.25">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25">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0.82637855579868713</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0.97221006564551427</v>
      </c>
      <c r="T2293" s="72">
        <f t="shared" ref="T2293:T2340" si="871">IF($G2293&lt;nr_MStartP,$S2293,$T2281*(1+IF($G2293&lt;nr_MStartP1,$M$2290,$N$2290)))</f>
        <v>0.97221006564551427</v>
      </c>
      <c r="U2293" s="72">
        <f t="shared" ref="U2293:U2340" si="872">IF($L$2290,$T2293,$N2293)</f>
        <v>1</v>
      </c>
    </row>
    <row r="2294" spans="1:21" x14ac:dyDescent="0.25">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0.82702407002188183</v>
      </c>
      <c r="P2294" s="72">
        <f t="shared" si="867"/>
        <v>0.125</v>
      </c>
      <c r="Q2294" s="72">
        <f t="shared" si="868"/>
        <v>0</v>
      </c>
      <c r="R2294" s="72">
        <f t="shared" si="869"/>
        <v>0</v>
      </c>
      <c r="S2294" s="72">
        <f t="shared" si="870"/>
        <v>0.9729694941433904</v>
      </c>
      <c r="T2294" s="72">
        <f t="shared" si="871"/>
        <v>0.9729694941433904</v>
      </c>
      <c r="U2294" s="72">
        <f t="shared" si="872"/>
        <v>1</v>
      </c>
    </row>
    <row r="2295" spans="1:21" x14ac:dyDescent="0.25">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0.82766958424507664</v>
      </c>
      <c r="P2295" s="72">
        <f t="shared" si="867"/>
        <v>0.20833333333333337</v>
      </c>
      <c r="Q2295" s="72">
        <f t="shared" si="868"/>
        <v>0</v>
      </c>
      <c r="R2295" s="72">
        <f t="shared" si="869"/>
        <v>0</v>
      </c>
      <c r="S2295" s="72">
        <f t="shared" si="870"/>
        <v>0.97372892264126665</v>
      </c>
      <c r="T2295" s="72">
        <f t="shared" si="871"/>
        <v>0.97372892264126665</v>
      </c>
      <c r="U2295" s="72">
        <f t="shared" si="872"/>
        <v>1</v>
      </c>
    </row>
    <row r="2296" spans="1:21" x14ac:dyDescent="0.25">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0.82833698030634573</v>
      </c>
      <c r="P2296" s="72">
        <f t="shared" si="867"/>
        <v>0.29166666666666663</v>
      </c>
      <c r="Q2296" s="72">
        <f t="shared" si="868"/>
        <v>0</v>
      </c>
      <c r="R2296" s="72">
        <f t="shared" si="869"/>
        <v>0</v>
      </c>
      <c r="S2296" s="72">
        <f t="shared" si="870"/>
        <v>0.97451409447805382</v>
      </c>
      <c r="T2296" s="72">
        <f t="shared" si="871"/>
        <v>0.97451409447805382</v>
      </c>
      <c r="U2296" s="72">
        <f t="shared" si="872"/>
        <v>1</v>
      </c>
    </row>
    <row r="2297" spans="1:21" x14ac:dyDescent="0.25">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0.82900437636761493</v>
      </c>
      <c r="P2297" s="72">
        <f t="shared" si="867"/>
        <v>0.375</v>
      </c>
      <c r="Q2297" s="72">
        <f t="shared" si="868"/>
        <v>0</v>
      </c>
      <c r="R2297" s="72">
        <f t="shared" si="869"/>
        <v>0</v>
      </c>
      <c r="S2297" s="72">
        <f t="shared" si="870"/>
        <v>0.9752992663148411</v>
      </c>
      <c r="T2297" s="72">
        <f t="shared" si="871"/>
        <v>0.9752992663148411</v>
      </c>
      <c r="U2297" s="72">
        <f t="shared" si="872"/>
        <v>1</v>
      </c>
    </row>
    <row r="2298" spans="1:21" x14ac:dyDescent="0.25">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0.82967177242888401</v>
      </c>
      <c r="P2298" s="72">
        <f t="shared" si="867"/>
        <v>0.45833333333333337</v>
      </c>
      <c r="Q2298" s="72">
        <f t="shared" si="868"/>
        <v>0</v>
      </c>
      <c r="R2298" s="72">
        <f t="shared" si="869"/>
        <v>0</v>
      </c>
      <c r="S2298" s="72">
        <f t="shared" si="870"/>
        <v>0.97608443815162826</v>
      </c>
      <c r="T2298" s="72">
        <f t="shared" si="871"/>
        <v>0.97608443815162826</v>
      </c>
      <c r="U2298" s="72">
        <f t="shared" si="872"/>
        <v>1</v>
      </c>
    </row>
    <row r="2299" spans="1:21" x14ac:dyDescent="0.25">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0.83033916849015321</v>
      </c>
      <c r="P2299" s="72">
        <f t="shared" si="867"/>
        <v>0.54166666666666674</v>
      </c>
      <c r="Q2299" s="72">
        <f t="shared" si="868"/>
        <v>0</v>
      </c>
      <c r="R2299" s="72">
        <f t="shared" si="869"/>
        <v>0</v>
      </c>
      <c r="S2299" s="72">
        <f t="shared" si="870"/>
        <v>0.97686960998841554</v>
      </c>
      <c r="T2299" s="72">
        <f t="shared" si="871"/>
        <v>0.97686960998841554</v>
      </c>
      <c r="U2299" s="72">
        <f t="shared" si="872"/>
        <v>1</v>
      </c>
    </row>
    <row r="2300" spans="1:21" x14ac:dyDescent="0.25">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0.83101750547045949</v>
      </c>
      <c r="P2300" s="72">
        <f t="shared" si="867"/>
        <v>0.625</v>
      </c>
      <c r="Q2300" s="72">
        <f t="shared" si="868"/>
        <v>0</v>
      </c>
      <c r="R2300" s="72">
        <f t="shared" si="869"/>
        <v>0</v>
      </c>
      <c r="S2300" s="72">
        <f t="shared" si="870"/>
        <v>0.97766765349465823</v>
      </c>
      <c r="T2300" s="72">
        <f t="shared" si="871"/>
        <v>0.97766765349465823</v>
      </c>
      <c r="U2300" s="72">
        <f t="shared" si="872"/>
        <v>1</v>
      </c>
    </row>
    <row r="2301" spans="1:21" x14ac:dyDescent="0.25">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0.83168490153172869</v>
      </c>
      <c r="P2301" s="72">
        <f t="shared" si="867"/>
        <v>0.70833333333333326</v>
      </c>
      <c r="Q2301" s="72">
        <f t="shared" si="868"/>
        <v>0</v>
      </c>
      <c r="R2301" s="72">
        <f t="shared" si="869"/>
        <v>0</v>
      </c>
      <c r="S2301" s="72">
        <f t="shared" si="870"/>
        <v>0.97845282533144551</v>
      </c>
      <c r="T2301" s="72">
        <f t="shared" si="871"/>
        <v>0.97845282533144551</v>
      </c>
      <c r="U2301" s="72">
        <f t="shared" si="872"/>
        <v>1</v>
      </c>
    </row>
    <row r="2302" spans="1:21" x14ac:dyDescent="0.25">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0.83235229759299778</v>
      </c>
      <c r="P2302" s="72">
        <f t="shared" si="867"/>
        <v>0.79166666666666663</v>
      </c>
      <c r="Q2302" s="72">
        <f t="shared" si="868"/>
        <v>0</v>
      </c>
      <c r="R2302" s="72">
        <f t="shared" si="869"/>
        <v>0</v>
      </c>
      <c r="S2302" s="72">
        <f t="shared" si="870"/>
        <v>0.97923799716823268</v>
      </c>
      <c r="T2302" s="72">
        <f t="shared" si="871"/>
        <v>0.97923799716823268</v>
      </c>
      <c r="U2302" s="72">
        <f t="shared" si="872"/>
        <v>1</v>
      </c>
    </row>
    <row r="2303" spans="1:21" x14ac:dyDescent="0.25">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0.83301969365426698</v>
      </c>
      <c r="P2303" s="72">
        <f t="shared" si="867"/>
        <v>0.875</v>
      </c>
      <c r="Q2303" s="72">
        <f t="shared" si="868"/>
        <v>0</v>
      </c>
      <c r="R2303" s="72">
        <f t="shared" si="869"/>
        <v>0</v>
      </c>
      <c r="S2303" s="72">
        <f t="shared" si="870"/>
        <v>0.98002316900501996</v>
      </c>
      <c r="T2303" s="72">
        <f t="shared" si="871"/>
        <v>0.98002316900501996</v>
      </c>
      <c r="U2303" s="72">
        <f t="shared" si="872"/>
        <v>1</v>
      </c>
    </row>
    <row r="2304" spans="1:21" x14ac:dyDescent="0.25">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0.83368708971553607</v>
      </c>
      <c r="P2304" s="72">
        <f t="shared" si="867"/>
        <v>0.95833333333333337</v>
      </c>
      <c r="Q2304" s="72">
        <f t="shared" si="868"/>
        <v>0</v>
      </c>
      <c r="R2304" s="72">
        <f t="shared" si="869"/>
        <v>0</v>
      </c>
      <c r="S2304" s="72">
        <f t="shared" si="870"/>
        <v>0.98080834084180712</v>
      </c>
      <c r="T2304" s="72">
        <f t="shared" si="871"/>
        <v>0.98080834084180712</v>
      </c>
      <c r="U2304" s="72">
        <f t="shared" si="872"/>
        <v>1</v>
      </c>
    </row>
    <row r="2305" spans="1:21" x14ac:dyDescent="0.25">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0.83436542669584246</v>
      </c>
      <c r="P2305" s="72">
        <f t="shared" si="867"/>
        <v>0.95833333333333337</v>
      </c>
      <c r="Q2305" s="72">
        <f t="shared" si="868"/>
        <v>4.166666666666663E-2</v>
      </c>
      <c r="R2305" s="72">
        <f t="shared" si="869"/>
        <v>0</v>
      </c>
      <c r="S2305" s="72">
        <f t="shared" si="870"/>
        <v>0.98160638434805003</v>
      </c>
      <c r="T2305" s="72">
        <f t="shared" si="871"/>
        <v>0.98160638434805003</v>
      </c>
      <c r="U2305" s="72">
        <f t="shared" si="872"/>
        <v>1</v>
      </c>
    </row>
    <row r="2306" spans="1:21" x14ac:dyDescent="0.25">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0.83501094091903716</v>
      </c>
      <c r="P2306" s="72">
        <f t="shared" si="867"/>
        <v>0.875</v>
      </c>
      <c r="Q2306" s="72">
        <f t="shared" si="868"/>
        <v>0.125</v>
      </c>
      <c r="R2306" s="72">
        <f t="shared" si="869"/>
        <v>0</v>
      </c>
      <c r="S2306" s="72">
        <f t="shared" si="870"/>
        <v>0.98236581284592606</v>
      </c>
      <c r="T2306" s="72">
        <f t="shared" si="871"/>
        <v>0.98236581284592606</v>
      </c>
      <c r="U2306" s="72">
        <f t="shared" si="872"/>
        <v>1</v>
      </c>
    </row>
    <row r="2307" spans="1:21" x14ac:dyDescent="0.25">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0.83565645514223197</v>
      </c>
      <c r="P2307" s="72">
        <f t="shared" si="867"/>
        <v>0.79166666666666663</v>
      </c>
      <c r="Q2307" s="72">
        <f t="shared" si="868"/>
        <v>0.20833333333333337</v>
      </c>
      <c r="R2307" s="72">
        <f t="shared" si="869"/>
        <v>0</v>
      </c>
      <c r="S2307" s="72">
        <f t="shared" si="870"/>
        <v>0.9831252413438023</v>
      </c>
      <c r="T2307" s="72">
        <f t="shared" si="871"/>
        <v>0.9831252413438023</v>
      </c>
      <c r="U2307" s="72">
        <f t="shared" si="872"/>
        <v>1</v>
      </c>
    </row>
    <row r="2308" spans="1:21" x14ac:dyDescent="0.25">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0.83632385120350106</v>
      </c>
      <c r="P2308" s="72">
        <f t="shared" si="867"/>
        <v>0.70833333333333337</v>
      </c>
      <c r="Q2308" s="72">
        <f t="shared" si="868"/>
        <v>0.29166666666666663</v>
      </c>
      <c r="R2308" s="72">
        <f t="shared" si="869"/>
        <v>0</v>
      </c>
      <c r="S2308" s="72">
        <f t="shared" si="870"/>
        <v>0.98391041318058947</v>
      </c>
      <c r="T2308" s="72">
        <f t="shared" si="871"/>
        <v>0.98391041318058947</v>
      </c>
      <c r="U2308" s="72">
        <f t="shared" si="872"/>
        <v>1</v>
      </c>
    </row>
    <row r="2309" spans="1:21" x14ac:dyDescent="0.25">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0.83699124726477026</v>
      </c>
      <c r="P2309" s="72">
        <f t="shared" si="867"/>
        <v>0.625</v>
      </c>
      <c r="Q2309" s="72">
        <f t="shared" si="868"/>
        <v>0.375</v>
      </c>
      <c r="R2309" s="72">
        <f t="shared" si="869"/>
        <v>0</v>
      </c>
      <c r="S2309" s="72">
        <f t="shared" si="870"/>
        <v>0.98469558501737675</v>
      </c>
      <c r="T2309" s="72">
        <f t="shared" si="871"/>
        <v>0.98469558501737675</v>
      </c>
      <c r="U2309" s="72">
        <f t="shared" si="872"/>
        <v>1</v>
      </c>
    </row>
    <row r="2310" spans="1:21" x14ac:dyDescent="0.25">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0.83765864332603934</v>
      </c>
      <c r="P2310" s="72">
        <f t="shared" si="867"/>
        <v>0.54166666666666663</v>
      </c>
      <c r="Q2310" s="72">
        <f t="shared" si="868"/>
        <v>0.45833333333333337</v>
      </c>
      <c r="R2310" s="72">
        <f t="shared" si="869"/>
        <v>0</v>
      </c>
      <c r="S2310" s="72">
        <f t="shared" si="870"/>
        <v>0.98548075685416392</v>
      </c>
      <c r="T2310" s="72">
        <f t="shared" si="871"/>
        <v>0.98548075685416392</v>
      </c>
      <c r="U2310" s="72">
        <f t="shared" si="872"/>
        <v>1</v>
      </c>
    </row>
    <row r="2311" spans="1:21" x14ac:dyDescent="0.25">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0.83832603938730854</v>
      </c>
      <c r="P2311" s="72">
        <f t="shared" si="867"/>
        <v>0.45833333333333331</v>
      </c>
      <c r="Q2311" s="72">
        <f t="shared" si="868"/>
        <v>0.54166666666666674</v>
      </c>
      <c r="R2311" s="72">
        <f t="shared" si="869"/>
        <v>0</v>
      </c>
      <c r="S2311" s="72">
        <f t="shared" si="870"/>
        <v>0.9862659286909512</v>
      </c>
      <c r="T2311" s="72">
        <f t="shared" si="871"/>
        <v>0.9862659286909512</v>
      </c>
      <c r="U2311" s="72">
        <f t="shared" si="872"/>
        <v>1</v>
      </c>
    </row>
    <row r="2312" spans="1:21" x14ac:dyDescent="0.25">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0.83900437636761482</v>
      </c>
      <c r="P2312" s="72">
        <f t="shared" si="867"/>
        <v>0.375</v>
      </c>
      <c r="Q2312" s="72">
        <f t="shared" si="868"/>
        <v>0.625</v>
      </c>
      <c r="R2312" s="72">
        <f t="shared" si="869"/>
        <v>0</v>
      </c>
      <c r="S2312" s="72">
        <f t="shared" si="870"/>
        <v>0.98706397219719388</v>
      </c>
      <c r="T2312" s="72">
        <f t="shared" si="871"/>
        <v>0.98706397219719388</v>
      </c>
      <c r="U2312" s="72">
        <f t="shared" si="872"/>
        <v>1</v>
      </c>
    </row>
    <row r="2313" spans="1:21" x14ac:dyDescent="0.25">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0.83967177242888402</v>
      </c>
      <c r="P2313" s="72">
        <f t="shared" si="867"/>
        <v>0.29166666666666669</v>
      </c>
      <c r="Q2313" s="72">
        <f t="shared" si="868"/>
        <v>0.70833333333333326</v>
      </c>
      <c r="R2313" s="72">
        <f t="shared" si="869"/>
        <v>0</v>
      </c>
      <c r="S2313" s="72">
        <f t="shared" si="870"/>
        <v>0.98784914403398127</v>
      </c>
      <c r="T2313" s="72">
        <f t="shared" si="871"/>
        <v>0.98784914403398127</v>
      </c>
      <c r="U2313" s="72">
        <f t="shared" si="872"/>
        <v>1</v>
      </c>
    </row>
    <row r="2314" spans="1:21" x14ac:dyDescent="0.25">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0.84033916849015311</v>
      </c>
      <c r="P2314" s="72">
        <f t="shared" si="867"/>
        <v>0.20833333333333334</v>
      </c>
      <c r="Q2314" s="72">
        <f t="shared" si="868"/>
        <v>0.79166666666666663</v>
      </c>
      <c r="R2314" s="72">
        <f t="shared" si="869"/>
        <v>0</v>
      </c>
      <c r="S2314" s="72">
        <f t="shared" si="870"/>
        <v>0.98863431587076844</v>
      </c>
      <c r="T2314" s="72">
        <f t="shared" si="871"/>
        <v>0.98863431587076844</v>
      </c>
      <c r="U2314" s="72">
        <f t="shared" si="872"/>
        <v>1</v>
      </c>
    </row>
    <row r="2315" spans="1:21" x14ac:dyDescent="0.25">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0.84100656455142231</v>
      </c>
      <c r="P2315" s="72">
        <f t="shared" si="867"/>
        <v>0.125</v>
      </c>
      <c r="Q2315" s="72">
        <f t="shared" si="868"/>
        <v>0.875</v>
      </c>
      <c r="R2315" s="72">
        <f t="shared" si="869"/>
        <v>0</v>
      </c>
      <c r="S2315" s="72">
        <f t="shared" si="870"/>
        <v>0.98941948770755572</v>
      </c>
      <c r="T2315" s="72">
        <f t="shared" si="871"/>
        <v>0.98941948770755572</v>
      </c>
      <c r="U2315" s="72">
        <f t="shared" si="872"/>
        <v>1</v>
      </c>
    </row>
    <row r="2316" spans="1:21" x14ac:dyDescent="0.25">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0.8416739606126914</v>
      </c>
      <c r="P2316" s="72">
        <f t="shared" si="867"/>
        <v>4.1666666666666664E-2</v>
      </c>
      <c r="Q2316" s="72">
        <f t="shared" si="868"/>
        <v>0.95833333333333337</v>
      </c>
      <c r="R2316" s="72">
        <f t="shared" si="869"/>
        <v>0</v>
      </c>
      <c r="S2316" s="72">
        <f t="shared" si="870"/>
        <v>0.99020465954434289</v>
      </c>
      <c r="T2316" s="72">
        <f t="shared" si="871"/>
        <v>0.99020465954434289</v>
      </c>
      <c r="U2316" s="72">
        <f t="shared" si="872"/>
        <v>1</v>
      </c>
    </row>
    <row r="2317" spans="1:21" x14ac:dyDescent="0.25">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0.84235229759299779</v>
      </c>
      <c r="P2317" s="72">
        <f t="shared" si="867"/>
        <v>0</v>
      </c>
      <c r="Q2317" s="72">
        <f t="shared" si="868"/>
        <v>0.95833333333333337</v>
      </c>
      <c r="R2317" s="72">
        <f t="shared" si="869"/>
        <v>4.166666666666663E-2</v>
      </c>
      <c r="S2317" s="72">
        <f t="shared" si="870"/>
        <v>0.99100270305058569</v>
      </c>
      <c r="T2317" s="72">
        <f t="shared" si="871"/>
        <v>0.98160638434805003</v>
      </c>
      <c r="U2317" s="72">
        <f t="shared" si="872"/>
        <v>1</v>
      </c>
    </row>
    <row r="2318" spans="1:21" x14ac:dyDescent="0.25">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0.84299781181619249</v>
      </c>
      <c r="P2318" s="72">
        <f t="shared" si="867"/>
        <v>0</v>
      </c>
      <c r="Q2318" s="72">
        <f t="shared" si="868"/>
        <v>0.875</v>
      </c>
      <c r="R2318" s="72">
        <f t="shared" si="869"/>
        <v>0.125</v>
      </c>
      <c r="S2318" s="72">
        <f t="shared" si="870"/>
        <v>1.0314326168104004</v>
      </c>
      <c r="T2318" s="72">
        <f t="shared" si="871"/>
        <v>0.98236581284592606</v>
      </c>
      <c r="U2318" s="72">
        <f t="shared" si="872"/>
        <v>1.04</v>
      </c>
    </row>
    <row r="2319" spans="1:21" x14ac:dyDescent="0.25">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0.8436433260393873</v>
      </c>
      <c r="P2319" s="72">
        <f t="shared" si="867"/>
        <v>0</v>
      </c>
      <c r="Q2319" s="72">
        <f t="shared" si="868"/>
        <v>0.79166666666666663</v>
      </c>
      <c r="R2319" s="72">
        <f t="shared" si="869"/>
        <v>0.20833333333333337</v>
      </c>
      <c r="S2319" s="72">
        <f t="shared" si="870"/>
        <v>1.0322224224481917</v>
      </c>
      <c r="T2319" s="72">
        <f t="shared" si="871"/>
        <v>0.9831252413438023</v>
      </c>
      <c r="U2319" s="72">
        <f t="shared" si="872"/>
        <v>1.04</v>
      </c>
    </row>
    <row r="2320" spans="1:21" x14ac:dyDescent="0.25">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0.84431072210065639</v>
      </c>
      <c r="P2320" s="72">
        <f t="shared" si="867"/>
        <v>0</v>
      </c>
      <c r="Q2320" s="72">
        <f t="shared" si="868"/>
        <v>0.70833333333333337</v>
      </c>
      <c r="R2320" s="72">
        <f t="shared" si="869"/>
        <v>0.29166666666666663</v>
      </c>
      <c r="S2320" s="72">
        <f t="shared" si="870"/>
        <v>1.0330390011584503</v>
      </c>
      <c r="T2320" s="72">
        <f t="shared" si="871"/>
        <v>0.98391041318058947</v>
      </c>
      <c r="U2320" s="72">
        <f t="shared" si="872"/>
        <v>1.04</v>
      </c>
    </row>
    <row r="2321" spans="1:21" x14ac:dyDescent="0.25">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0.84497811816192558</v>
      </c>
      <c r="P2321" s="72">
        <f t="shared" si="867"/>
        <v>0</v>
      </c>
      <c r="Q2321" s="72">
        <f t="shared" si="868"/>
        <v>0.625</v>
      </c>
      <c r="R2321" s="72">
        <f t="shared" si="869"/>
        <v>0.375</v>
      </c>
      <c r="S2321" s="72">
        <f t="shared" si="870"/>
        <v>1.033855579868709</v>
      </c>
      <c r="T2321" s="72">
        <f t="shared" si="871"/>
        <v>0.98469558501737675</v>
      </c>
      <c r="U2321" s="72">
        <f t="shared" si="872"/>
        <v>1.04</v>
      </c>
    </row>
    <row r="2322" spans="1:21" x14ac:dyDescent="0.25">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0.84564551422319467</v>
      </c>
      <c r="P2322" s="72">
        <f t="shared" si="867"/>
        <v>0</v>
      </c>
      <c r="Q2322" s="72">
        <f t="shared" si="868"/>
        <v>0.54166666666666663</v>
      </c>
      <c r="R2322" s="72">
        <f t="shared" si="869"/>
        <v>0.45833333333333337</v>
      </c>
      <c r="S2322" s="72">
        <f t="shared" si="870"/>
        <v>1.0346721585789678</v>
      </c>
      <c r="T2322" s="72">
        <f t="shared" si="871"/>
        <v>0.98548075685416392</v>
      </c>
      <c r="U2322" s="72">
        <f t="shared" si="872"/>
        <v>1.04</v>
      </c>
    </row>
    <row r="2323" spans="1:21" x14ac:dyDescent="0.25">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0.84631291028446387</v>
      </c>
      <c r="P2323" s="72">
        <f t="shared" si="867"/>
        <v>0</v>
      </c>
      <c r="Q2323" s="72">
        <f t="shared" si="868"/>
        <v>0.45833333333333331</v>
      </c>
      <c r="R2323" s="72">
        <f t="shared" si="869"/>
        <v>0.54166666666666674</v>
      </c>
      <c r="S2323" s="72">
        <f t="shared" si="870"/>
        <v>1.0354887372892265</v>
      </c>
      <c r="T2323" s="72">
        <f t="shared" si="871"/>
        <v>0.9862659286909512</v>
      </c>
      <c r="U2323" s="72">
        <f t="shared" si="872"/>
        <v>1.04</v>
      </c>
    </row>
    <row r="2324" spans="1:21" x14ac:dyDescent="0.25">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0.84699124726477026</v>
      </c>
      <c r="P2324" s="72">
        <f t="shared" si="867"/>
        <v>0</v>
      </c>
      <c r="Q2324" s="72">
        <f t="shared" si="868"/>
        <v>0.375</v>
      </c>
      <c r="R2324" s="72">
        <f t="shared" si="869"/>
        <v>0.625</v>
      </c>
      <c r="S2324" s="72">
        <f t="shared" si="870"/>
        <v>1.036318702535719</v>
      </c>
      <c r="T2324" s="72">
        <f t="shared" si="871"/>
        <v>0.98706397219719388</v>
      </c>
      <c r="U2324" s="72">
        <f t="shared" si="872"/>
        <v>1.04</v>
      </c>
    </row>
    <row r="2325" spans="1:21" x14ac:dyDescent="0.25">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0.84765864332603935</v>
      </c>
      <c r="P2325" s="72">
        <f t="shared" si="867"/>
        <v>0</v>
      </c>
      <c r="Q2325" s="72">
        <f t="shared" si="868"/>
        <v>0.29166666666666669</v>
      </c>
      <c r="R2325" s="72">
        <f t="shared" si="869"/>
        <v>0.70833333333333326</v>
      </c>
      <c r="S2325" s="72">
        <f t="shared" si="870"/>
        <v>1.0371352812459775</v>
      </c>
      <c r="T2325" s="72">
        <f t="shared" si="871"/>
        <v>0.98784914403398127</v>
      </c>
      <c r="U2325" s="72">
        <f t="shared" si="872"/>
        <v>1.04</v>
      </c>
    </row>
    <row r="2326" spans="1:21" x14ac:dyDescent="0.25">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0.84832603938730855</v>
      </c>
      <c r="P2326" s="72">
        <f t="shared" si="867"/>
        <v>0</v>
      </c>
      <c r="Q2326" s="72">
        <f t="shared" si="868"/>
        <v>0.20833333333333334</v>
      </c>
      <c r="R2326" s="72">
        <f t="shared" si="869"/>
        <v>0.79166666666666663</v>
      </c>
      <c r="S2326" s="72">
        <f t="shared" si="870"/>
        <v>1.0379518599562365</v>
      </c>
      <c r="T2326" s="72">
        <f t="shared" si="871"/>
        <v>0.98863431587076844</v>
      </c>
      <c r="U2326" s="72">
        <f t="shared" si="872"/>
        <v>1.04</v>
      </c>
    </row>
    <row r="2327" spans="1:21" x14ac:dyDescent="0.25">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0.84899343544857764</v>
      </c>
      <c r="P2327" s="72">
        <f t="shared" si="867"/>
        <v>0</v>
      </c>
      <c r="Q2327" s="72">
        <f t="shared" si="868"/>
        <v>0.125</v>
      </c>
      <c r="R2327" s="72">
        <f t="shared" si="869"/>
        <v>0.875</v>
      </c>
      <c r="S2327" s="72">
        <f t="shared" si="870"/>
        <v>1.038768438666495</v>
      </c>
      <c r="T2327" s="72">
        <f t="shared" si="871"/>
        <v>0.98941948770755572</v>
      </c>
      <c r="U2327" s="72">
        <f t="shared" si="872"/>
        <v>1.04</v>
      </c>
    </row>
    <row r="2328" spans="1:21" x14ac:dyDescent="0.25">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0.84966083150984684</v>
      </c>
      <c r="P2328" s="72">
        <f t="shared" si="867"/>
        <v>0</v>
      </c>
      <c r="Q2328" s="72">
        <f t="shared" si="868"/>
        <v>4.1666666666666664E-2</v>
      </c>
      <c r="R2328" s="72">
        <f t="shared" si="869"/>
        <v>0.95833333333333337</v>
      </c>
      <c r="S2328" s="72">
        <f t="shared" si="870"/>
        <v>1.0395850173767538</v>
      </c>
      <c r="T2328" s="72">
        <f t="shared" si="871"/>
        <v>0.99020465954434289</v>
      </c>
      <c r="U2328" s="72">
        <f t="shared" si="872"/>
        <v>1.04</v>
      </c>
    </row>
    <row r="2329" spans="1:21" x14ac:dyDescent="0.25">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0.85</v>
      </c>
      <c r="P2329" s="72">
        <f t="shared" si="867"/>
        <v>0</v>
      </c>
      <c r="Q2329" s="72">
        <f t="shared" si="868"/>
        <v>0</v>
      </c>
      <c r="R2329" s="72">
        <f t="shared" si="869"/>
        <v>0.95833333333333337</v>
      </c>
      <c r="S2329" s="72">
        <f t="shared" si="870"/>
        <v>1.04</v>
      </c>
      <c r="T2329" s="72">
        <f t="shared" si="871"/>
        <v>0.98160638434805003</v>
      </c>
      <c r="U2329" s="72">
        <f t="shared" si="872"/>
        <v>1.04</v>
      </c>
    </row>
    <row r="2330" spans="1:21" x14ac:dyDescent="0.25">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0.85</v>
      </c>
      <c r="P2330" s="72">
        <f t="shared" si="867"/>
        <v>0</v>
      </c>
      <c r="Q2330" s="72">
        <f t="shared" si="868"/>
        <v>0</v>
      </c>
      <c r="R2330" s="72">
        <f t="shared" si="869"/>
        <v>0.875</v>
      </c>
      <c r="S2330" s="72">
        <f t="shared" si="870"/>
        <v>1.04</v>
      </c>
      <c r="T2330" s="72">
        <f t="shared" si="871"/>
        <v>0.98236581284592606</v>
      </c>
      <c r="U2330" s="72">
        <f t="shared" si="872"/>
        <v>1.04</v>
      </c>
    </row>
    <row r="2331" spans="1:21" x14ac:dyDescent="0.25">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0.85</v>
      </c>
      <c r="P2331" s="72">
        <f t="shared" si="867"/>
        <v>0</v>
      </c>
      <c r="Q2331" s="72">
        <f t="shared" si="868"/>
        <v>0</v>
      </c>
      <c r="R2331" s="72">
        <f t="shared" si="869"/>
        <v>0.79166666666666663</v>
      </c>
      <c r="S2331" s="72">
        <f t="shared" si="870"/>
        <v>1.04</v>
      </c>
      <c r="T2331" s="72">
        <f t="shared" si="871"/>
        <v>0.9831252413438023</v>
      </c>
      <c r="U2331" s="72">
        <f t="shared" si="872"/>
        <v>1.04</v>
      </c>
    </row>
    <row r="2332" spans="1:21" x14ac:dyDescent="0.25">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0.85</v>
      </c>
      <c r="P2332" s="72">
        <f t="shared" si="867"/>
        <v>0</v>
      </c>
      <c r="Q2332" s="72">
        <f t="shared" si="868"/>
        <v>0</v>
      </c>
      <c r="R2332" s="72">
        <f t="shared" si="869"/>
        <v>0.70833333333333337</v>
      </c>
      <c r="S2332" s="72">
        <f t="shared" si="870"/>
        <v>1.04</v>
      </c>
      <c r="T2332" s="72">
        <f t="shared" si="871"/>
        <v>0.98391041318058947</v>
      </c>
      <c r="U2332" s="72">
        <f t="shared" si="872"/>
        <v>1.04</v>
      </c>
    </row>
    <row r="2333" spans="1:21" x14ac:dyDescent="0.25">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0.85</v>
      </c>
      <c r="P2333" s="72">
        <f t="shared" si="867"/>
        <v>0</v>
      </c>
      <c r="Q2333" s="72">
        <f t="shared" si="868"/>
        <v>0</v>
      </c>
      <c r="R2333" s="72">
        <f t="shared" si="869"/>
        <v>0.625</v>
      </c>
      <c r="S2333" s="72">
        <f t="shared" si="870"/>
        <v>1.04</v>
      </c>
      <c r="T2333" s="72">
        <f t="shared" si="871"/>
        <v>0.98469558501737675</v>
      </c>
      <c r="U2333" s="72">
        <f t="shared" si="872"/>
        <v>1.04</v>
      </c>
    </row>
    <row r="2334" spans="1:21" x14ac:dyDescent="0.25">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0.85</v>
      </c>
      <c r="P2334" s="72">
        <f t="shared" si="867"/>
        <v>0</v>
      </c>
      <c r="Q2334" s="72">
        <f t="shared" si="868"/>
        <v>0</v>
      </c>
      <c r="R2334" s="72">
        <f t="shared" si="869"/>
        <v>0.54166666666666663</v>
      </c>
      <c r="S2334" s="72">
        <f t="shared" si="870"/>
        <v>1.04</v>
      </c>
      <c r="T2334" s="72">
        <f t="shared" si="871"/>
        <v>0.98548075685416392</v>
      </c>
      <c r="U2334" s="72">
        <f t="shared" si="872"/>
        <v>1.04</v>
      </c>
    </row>
    <row r="2335" spans="1:21" x14ac:dyDescent="0.25">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0.85</v>
      </c>
      <c r="P2335" s="72">
        <f t="shared" si="867"/>
        <v>0</v>
      </c>
      <c r="Q2335" s="72">
        <f t="shared" si="868"/>
        <v>0</v>
      </c>
      <c r="R2335" s="72">
        <f t="shared" si="869"/>
        <v>0.45833333333333331</v>
      </c>
      <c r="S2335" s="72">
        <f t="shared" si="870"/>
        <v>1.04</v>
      </c>
      <c r="T2335" s="72">
        <f t="shared" si="871"/>
        <v>0.9862659286909512</v>
      </c>
      <c r="U2335" s="72">
        <f t="shared" si="872"/>
        <v>1.04</v>
      </c>
    </row>
    <row r="2336" spans="1:21" x14ac:dyDescent="0.25">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0.85</v>
      </c>
      <c r="P2336" s="72">
        <f t="shared" si="867"/>
        <v>0</v>
      </c>
      <c r="Q2336" s="72">
        <f t="shared" si="868"/>
        <v>0</v>
      </c>
      <c r="R2336" s="72">
        <f t="shared" si="869"/>
        <v>0.375</v>
      </c>
      <c r="S2336" s="72">
        <f t="shared" si="870"/>
        <v>1.04</v>
      </c>
      <c r="T2336" s="72">
        <f t="shared" si="871"/>
        <v>0.98706397219719388</v>
      </c>
      <c r="U2336" s="72">
        <f t="shared" si="872"/>
        <v>1.04</v>
      </c>
    </row>
    <row r="2337" spans="1:21" x14ac:dyDescent="0.25">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0.85</v>
      </c>
      <c r="P2337" s="72">
        <f t="shared" si="867"/>
        <v>0</v>
      </c>
      <c r="Q2337" s="72">
        <f t="shared" si="868"/>
        <v>0</v>
      </c>
      <c r="R2337" s="72">
        <f t="shared" si="869"/>
        <v>0.29166666666666669</v>
      </c>
      <c r="S2337" s="72">
        <f t="shared" si="870"/>
        <v>1.04</v>
      </c>
      <c r="T2337" s="72">
        <f t="shared" si="871"/>
        <v>0.98784914403398127</v>
      </c>
      <c r="U2337" s="72">
        <f t="shared" si="872"/>
        <v>1.04</v>
      </c>
    </row>
    <row r="2338" spans="1:21" x14ac:dyDescent="0.25">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0.85</v>
      </c>
      <c r="P2338" s="72">
        <f t="shared" si="867"/>
        <v>0</v>
      </c>
      <c r="Q2338" s="72">
        <f t="shared" si="868"/>
        <v>0</v>
      </c>
      <c r="R2338" s="72">
        <f t="shared" si="869"/>
        <v>0.20833333333333334</v>
      </c>
      <c r="S2338" s="72">
        <f t="shared" si="870"/>
        <v>1.04</v>
      </c>
      <c r="T2338" s="72">
        <f t="shared" si="871"/>
        <v>0.98863431587076844</v>
      </c>
      <c r="U2338" s="72">
        <f t="shared" si="872"/>
        <v>1.04</v>
      </c>
    </row>
    <row r="2339" spans="1:21" x14ac:dyDescent="0.25">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0.85</v>
      </c>
      <c r="P2339" s="72">
        <f t="shared" si="867"/>
        <v>0</v>
      </c>
      <c r="Q2339" s="72">
        <f t="shared" si="868"/>
        <v>0</v>
      </c>
      <c r="R2339" s="72">
        <f t="shared" si="869"/>
        <v>0.125</v>
      </c>
      <c r="S2339" s="72">
        <f t="shared" si="870"/>
        <v>1.04</v>
      </c>
      <c r="T2339" s="72">
        <f t="shared" si="871"/>
        <v>0.98941948770755572</v>
      </c>
      <c r="U2339" s="72">
        <f t="shared" si="872"/>
        <v>1.04</v>
      </c>
    </row>
    <row r="2340" spans="1:21" x14ac:dyDescent="0.25">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0.85</v>
      </c>
      <c r="P2340" s="72">
        <f t="shared" si="867"/>
        <v>0</v>
      </c>
      <c r="Q2340" s="72">
        <f t="shared" si="868"/>
        <v>0</v>
      </c>
      <c r="R2340" s="72">
        <f t="shared" si="869"/>
        <v>4.1666666666666664E-2</v>
      </c>
      <c r="S2340" s="72">
        <f t="shared" si="870"/>
        <v>1.04</v>
      </c>
      <c r="T2340" s="72">
        <f t="shared" si="871"/>
        <v>0.99020465954434289</v>
      </c>
      <c r="U2340" s="72">
        <f t="shared" si="872"/>
        <v>1.04</v>
      </c>
    </row>
    <row r="2341" spans="1:21" x14ac:dyDescent="0.25">
      <c r="A2341" s="77" t="s">
        <v>1209</v>
      </c>
      <c r="B2341" s="50">
        <f>EXP(SUMPRODUCT((rl_key=$A$2290)*(rl_cons="Y")*rl_ln1p))</f>
        <v>1</v>
      </c>
      <c r="C2341" s="50">
        <f>SUMPRODUCT($H$2293:$H$2340,$P$2293:$P$2340,$U$2293:$U$2340)/SUMPRODUCT($H$2293:$H$2340,$P$2293:$P$2340)</f>
        <v>1</v>
      </c>
      <c r="D2341" s="50">
        <f>SUMPRODUCT($H$2293:$H$2340,$Q$2293:$Q$2340,$U$2293:$U$2340)/SUMPRODUCT($H$2293:$H$2340,$Q$2293:$Q$2340)</f>
        <v>1.0168055555555555</v>
      </c>
      <c r="E2341" s="50">
        <f>SUMPRODUCT($H$2293:$H$2340,$R$2293:$R$2340,$U$2293:$U$2340)/SUMPRODUCT($H$2293:$H$2340,$R$2293:$R$2340)</f>
        <v>1.0398611111111113</v>
      </c>
      <c r="F2341" s="169">
        <f>SUMPRODUCT($H$2293:$H$2340,$Q$2293:$Q$2340,$O$2293:$O$2340)/SUMPRODUCT($H$2293:$H$2340,$Q$2293:$Q$2340)</f>
        <v>0.84199580598103541</v>
      </c>
      <c r="G2341" s="169">
        <f>SUMPRODUCT($H$2293:$H$2340,$R$2293:$R$2340,$O$2293:$O$2340)/SUMPRODUCT($H$2293:$H$2340,$R$2293:$R$2340)</f>
        <v>0.84865635637004611</v>
      </c>
    </row>
    <row r="2344" spans="1:21" x14ac:dyDescent="0.25">
      <c r="A2344" s="77" t="str">
        <f>INDEX(lr_key,43)</f>
        <v>BU-C|AZ</v>
      </c>
      <c r="B2344" s="77" t="str">
        <f>INDEX(lr_state,43)</f>
        <v>AZ</v>
      </c>
      <c r="C2344" s="52">
        <f>nr_TermMonths</f>
        <v>12</v>
      </c>
      <c r="D2344" s="52">
        <f>IF(COUNTIF(se_state,$B2344)=0,0,MATCH($B2344,se_state,0))</f>
        <v>0</v>
      </c>
      <c r="E2344" s="54">
        <f>IF($D2344=0,0,INDEX(se_sum,$D2344))</f>
        <v>0</v>
      </c>
      <c r="F2344" s="169">
        <f>IF(N(INDEX(lr_mind,43))=0,1,INDEX(lr_mind,43))</f>
        <v>0.85</v>
      </c>
      <c r="G2344" s="169">
        <f>IF(N(INDEX(lr_m0,43))=0,1,INDEX(lr_m0,43))</f>
        <v>0.84</v>
      </c>
      <c r="H2344" s="51">
        <f>IF(N(INDEX(lr_m0asof,43))=0,DATE(nr_PlanYear-1,10,1),INDEX(lr_m0asof,43))</f>
        <v>46295</v>
      </c>
      <c r="I2344" s="169">
        <f>IF(N(INDEX(lr_m1,43))=0,1,INDEX(lr_m1,43))</f>
        <v>0.83</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25">
      <c r="A2345" s="77">
        <f>EDATE($H$2344,-12)+1</f>
        <v>45931</v>
      </c>
      <c r="B2345" s="77">
        <f>$H$2344+1</f>
        <v>46296</v>
      </c>
      <c r="C2345" s="77">
        <f>DATE(nr_PlanYear,12,31)+1</f>
        <v>46753</v>
      </c>
      <c r="D2345" s="77">
        <f>DATE(nr_PlanYear+1,12,31)+1</f>
        <v>47119</v>
      </c>
      <c r="E2345" s="77">
        <f>IF(N($J$2344)=0,$F$2345-($G$2345-$F$2345)/($C$2345-$B$2345)*($B$2345-$A$2345),$J$2344)</f>
        <v>0.8479868708971553</v>
      </c>
      <c r="F2345" s="77">
        <f>$G$2344</f>
        <v>0.84</v>
      </c>
      <c r="G2345" s="77">
        <f>$I$2344</f>
        <v>0.83</v>
      </c>
      <c r="H2345" s="77">
        <f>IF(N($K$2344)=0,$I$2344,$K$2344)</f>
        <v>0.83</v>
      </c>
      <c r="I2345" s="77">
        <f>($F$2345-$E$2345)/($B$2345-$A$2345)</f>
        <v>-2.1881838074398162E-5</v>
      </c>
      <c r="J2345" s="77">
        <f>($G$2345-$F$2345)/($C$2345-$B$2345)</f>
        <v>-2.188183807439827E-5</v>
      </c>
      <c r="K2345" s="77">
        <f>($H$2345-$G$2345)/($D$2345-$C$2345)</f>
        <v>0</v>
      </c>
    </row>
    <row r="2346" spans="1:21" ht="24" x14ac:dyDescent="0.25">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25">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0.85362144420131281</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1.0042605225897798</v>
      </c>
      <c r="T2347" s="72">
        <f t="shared" ref="T2347:T2394" si="891">IF($G2347&lt;nr_MStartP,$S2347,$T2335*(1+IF($G2347&lt;nr_MStartP1,$M$2344,$N$2344)))</f>
        <v>1.0042605225897798</v>
      </c>
      <c r="U2347" s="72">
        <f t="shared" ref="U2347:U2394" si="892">IF($L$2344,$T2347,$N2347)</f>
        <v>1</v>
      </c>
    </row>
    <row r="2348" spans="1:21" x14ac:dyDescent="0.25">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0.85297592997811811</v>
      </c>
      <c r="P2348" s="72">
        <f t="shared" si="887"/>
        <v>0.125</v>
      </c>
      <c r="Q2348" s="72">
        <f t="shared" si="888"/>
        <v>0</v>
      </c>
      <c r="R2348" s="72">
        <f t="shared" si="889"/>
        <v>0</v>
      </c>
      <c r="S2348" s="72">
        <f t="shared" si="890"/>
        <v>1.0035010940919036</v>
      </c>
      <c r="T2348" s="72">
        <f t="shared" si="891"/>
        <v>1.0035010940919036</v>
      </c>
      <c r="U2348" s="72">
        <f t="shared" si="892"/>
        <v>1</v>
      </c>
    </row>
    <row r="2349" spans="1:21" x14ac:dyDescent="0.25">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0.8523304157549233</v>
      </c>
      <c r="P2349" s="72">
        <f t="shared" si="887"/>
        <v>0.20833333333333337</v>
      </c>
      <c r="Q2349" s="72">
        <f t="shared" si="888"/>
        <v>0</v>
      </c>
      <c r="R2349" s="72">
        <f t="shared" si="889"/>
        <v>0</v>
      </c>
      <c r="S2349" s="72">
        <f t="shared" si="890"/>
        <v>1.0027416655940273</v>
      </c>
      <c r="T2349" s="72">
        <f t="shared" si="891"/>
        <v>1.0027416655940273</v>
      </c>
      <c r="U2349" s="72">
        <f t="shared" si="892"/>
        <v>1</v>
      </c>
    </row>
    <row r="2350" spans="1:21" x14ac:dyDescent="0.25">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0.85166301969365421</v>
      </c>
      <c r="P2350" s="72">
        <f t="shared" si="887"/>
        <v>0.29166666666666663</v>
      </c>
      <c r="Q2350" s="72">
        <f t="shared" si="888"/>
        <v>0</v>
      </c>
      <c r="R2350" s="72">
        <f t="shared" si="889"/>
        <v>0</v>
      </c>
      <c r="S2350" s="72">
        <f t="shared" si="890"/>
        <v>1.0019564937572403</v>
      </c>
      <c r="T2350" s="72">
        <f t="shared" si="891"/>
        <v>1.0019564937572403</v>
      </c>
      <c r="U2350" s="72">
        <f t="shared" si="892"/>
        <v>1</v>
      </c>
    </row>
    <row r="2351" spans="1:21" x14ac:dyDescent="0.25">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0.85099562363238501</v>
      </c>
      <c r="P2351" s="72">
        <f t="shared" si="887"/>
        <v>0.375</v>
      </c>
      <c r="Q2351" s="72">
        <f t="shared" si="888"/>
        <v>0</v>
      </c>
      <c r="R2351" s="72">
        <f t="shared" si="889"/>
        <v>0</v>
      </c>
      <c r="S2351" s="72">
        <f t="shared" si="890"/>
        <v>1.001171321920453</v>
      </c>
      <c r="T2351" s="72">
        <f t="shared" si="891"/>
        <v>1.001171321920453</v>
      </c>
      <c r="U2351" s="72">
        <f t="shared" si="892"/>
        <v>1</v>
      </c>
    </row>
    <row r="2352" spans="1:21" x14ac:dyDescent="0.25">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0.85032822757111592</v>
      </c>
      <c r="P2352" s="72">
        <f t="shared" si="887"/>
        <v>0.45833333333333337</v>
      </c>
      <c r="Q2352" s="72">
        <f t="shared" si="888"/>
        <v>0</v>
      </c>
      <c r="R2352" s="72">
        <f t="shared" si="889"/>
        <v>0</v>
      </c>
      <c r="S2352" s="72">
        <f t="shared" si="890"/>
        <v>1.0003861500836657</v>
      </c>
      <c r="T2352" s="72">
        <f t="shared" si="891"/>
        <v>1.0003861500836657</v>
      </c>
      <c r="U2352" s="72">
        <f t="shared" si="892"/>
        <v>1</v>
      </c>
    </row>
    <row r="2353" spans="1:21" x14ac:dyDescent="0.25">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0.84966083150984673</v>
      </c>
      <c r="P2353" s="72">
        <f t="shared" si="887"/>
        <v>0.54166666666666674</v>
      </c>
      <c r="Q2353" s="72">
        <f t="shared" si="888"/>
        <v>0</v>
      </c>
      <c r="R2353" s="72">
        <f t="shared" si="889"/>
        <v>0</v>
      </c>
      <c r="S2353" s="72">
        <f t="shared" si="890"/>
        <v>0.99960097824687855</v>
      </c>
      <c r="T2353" s="72">
        <f t="shared" si="891"/>
        <v>0.99960097824687855</v>
      </c>
      <c r="U2353" s="72">
        <f t="shared" si="892"/>
        <v>1</v>
      </c>
    </row>
    <row r="2354" spans="1:21" x14ac:dyDescent="0.25">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0.84898249452954044</v>
      </c>
      <c r="P2354" s="72">
        <f t="shared" si="887"/>
        <v>0.625</v>
      </c>
      <c r="Q2354" s="72">
        <f t="shared" si="888"/>
        <v>0</v>
      </c>
      <c r="R2354" s="72">
        <f t="shared" si="889"/>
        <v>0</v>
      </c>
      <c r="S2354" s="72">
        <f t="shared" si="890"/>
        <v>0.99880293474063586</v>
      </c>
      <c r="T2354" s="72">
        <f t="shared" si="891"/>
        <v>0.99880293474063586</v>
      </c>
      <c r="U2354" s="72">
        <f t="shared" si="892"/>
        <v>1</v>
      </c>
    </row>
    <row r="2355" spans="1:21" x14ac:dyDescent="0.25">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0.84831509846827124</v>
      </c>
      <c r="P2355" s="72">
        <f t="shared" si="887"/>
        <v>0.70833333333333326</v>
      </c>
      <c r="Q2355" s="72">
        <f t="shared" si="888"/>
        <v>0</v>
      </c>
      <c r="R2355" s="72">
        <f t="shared" si="889"/>
        <v>0</v>
      </c>
      <c r="S2355" s="72">
        <f t="shared" si="890"/>
        <v>0.99801776290384858</v>
      </c>
      <c r="T2355" s="72">
        <f t="shared" si="891"/>
        <v>0.99801776290384858</v>
      </c>
      <c r="U2355" s="72">
        <f t="shared" si="892"/>
        <v>1</v>
      </c>
    </row>
    <row r="2356" spans="1:21" x14ac:dyDescent="0.25">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0.84764770240700216</v>
      </c>
      <c r="P2356" s="72">
        <f t="shared" si="887"/>
        <v>0.79166666666666663</v>
      </c>
      <c r="Q2356" s="72">
        <f t="shared" si="888"/>
        <v>0</v>
      </c>
      <c r="R2356" s="72">
        <f t="shared" si="889"/>
        <v>0</v>
      </c>
      <c r="S2356" s="72">
        <f t="shared" si="890"/>
        <v>0.99723259106706141</v>
      </c>
      <c r="T2356" s="72">
        <f t="shared" si="891"/>
        <v>0.99723259106706141</v>
      </c>
      <c r="U2356" s="72">
        <f t="shared" si="892"/>
        <v>1</v>
      </c>
    </row>
    <row r="2357" spans="1:21" x14ac:dyDescent="0.25">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0.84698030634573296</v>
      </c>
      <c r="P2357" s="72">
        <f t="shared" si="887"/>
        <v>0.875</v>
      </c>
      <c r="Q2357" s="72">
        <f t="shared" si="888"/>
        <v>0</v>
      </c>
      <c r="R2357" s="72">
        <f t="shared" si="889"/>
        <v>0</v>
      </c>
      <c r="S2357" s="72">
        <f t="shared" si="890"/>
        <v>0.99644741923027413</v>
      </c>
      <c r="T2357" s="72">
        <f t="shared" si="891"/>
        <v>0.99644741923027413</v>
      </c>
      <c r="U2357" s="72">
        <f t="shared" si="892"/>
        <v>1</v>
      </c>
    </row>
    <row r="2358" spans="1:21" x14ac:dyDescent="0.25">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0.84631291028446387</v>
      </c>
      <c r="P2358" s="72">
        <f t="shared" si="887"/>
        <v>0.95833333333333337</v>
      </c>
      <c r="Q2358" s="72">
        <f t="shared" si="888"/>
        <v>0</v>
      </c>
      <c r="R2358" s="72">
        <f t="shared" si="889"/>
        <v>0</v>
      </c>
      <c r="S2358" s="72">
        <f t="shared" si="890"/>
        <v>0.99566224739348697</v>
      </c>
      <c r="T2358" s="72">
        <f t="shared" si="891"/>
        <v>0.99566224739348697</v>
      </c>
      <c r="U2358" s="72">
        <f t="shared" si="892"/>
        <v>1</v>
      </c>
    </row>
    <row r="2359" spans="1:21" x14ac:dyDescent="0.25">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0.84563457330415748</v>
      </c>
      <c r="P2359" s="72">
        <f t="shared" si="887"/>
        <v>0.95833333333333337</v>
      </c>
      <c r="Q2359" s="72">
        <f t="shared" si="888"/>
        <v>4.166666666666663E-2</v>
      </c>
      <c r="R2359" s="72">
        <f t="shared" si="889"/>
        <v>0</v>
      </c>
      <c r="S2359" s="72">
        <f t="shared" si="890"/>
        <v>0.99486420388724417</v>
      </c>
      <c r="T2359" s="72">
        <f t="shared" si="891"/>
        <v>0.99486420388724417</v>
      </c>
      <c r="U2359" s="72">
        <f t="shared" si="892"/>
        <v>1</v>
      </c>
    </row>
    <row r="2360" spans="1:21" x14ac:dyDescent="0.25">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0.84498905908096278</v>
      </c>
      <c r="P2360" s="72">
        <f t="shared" si="887"/>
        <v>0.875</v>
      </c>
      <c r="Q2360" s="72">
        <f t="shared" si="888"/>
        <v>0.125</v>
      </c>
      <c r="R2360" s="72">
        <f t="shared" si="889"/>
        <v>0</v>
      </c>
      <c r="S2360" s="72">
        <f t="shared" si="890"/>
        <v>0.99410477538936803</v>
      </c>
      <c r="T2360" s="72">
        <f t="shared" si="891"/>
        <v>0.99410477538936803</v>
      </c>
      <c r="U2360" s="72">
        <f t="shared" si="892"/>
        <v>1</v>
      </c>
    </row>
    <row r="2361" spans="1:21" x14ac:dyDescent="0.25">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0.84434354485776797</v>
      </c>
      <c r="P2361" s="72">
        <f t="shared" si="887"/>
        <v>0.79166666666666663</v>
      </c>
      <c r="Q2361" s="72">
        <f t="shared" si="888"/>
        <v>0.20833333333333337</v>
      </c>
      <c r="R2361" s="72">
        <f t="shared" si="889"/>
        <v>0</v>
      </c>
      <c r="S2361" s="72">
        <f t="shared" si="890"/>
        <v>0.99334534689149179</v>
      </c>
      <c r="T2361" s="72">
        <f t="shared" si="891"/>
        <v>0.99334534689149179</v>
      </c>
      <c r="U2361" s="72">
        <f t="shared" si="892"/>
        <v>1</v>
      </c>
    </row>
    <row r="2362" spans="1:21" x14ac:dyDescent="0.25">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0.84367614879649888</v>
      </c>
      <c r="P2362" s="72">
        <f t="shared" si="887"/>
        <v>0.70833333333333337</v>
      </c>
      <c r="Q2362" s="72">
        <f t="shared" si="888"/>
        <v>0.29166666666666663</v>
      </c>
      <c r="R2362" s="72">
        <f t="shared" si="889"/>
        <v>0</v>
      </c>
      <c r="S2362" s="72">
        <f t="shared" si="890"/>
        <v>0.99256017505470462</v>
      </c>
      <c r="T2362" s="72">
        <f t="shared" si="891"/>
        <v>0.99256017505470462</v>
      </c>
      <c r="U2362" s="72">
        <f t="shared" si="892"/>
        <v>1</v>
      </c>
    </row>
    <row r="2363" spans="1:21" x14ac:dyDescent="0.25">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0.84300875273522968</v>
      </c>
      <c r="P2363" s="72">
        <f t="shared" si="887"/>
        <v>0.625</v>
      </c>
      <c r="Q2363" s="72">
        <f t="shared" si="888"/>
        <v>0.375</v>
      </c>
      <c r="R2363" s="72">
        <f t="shared" si="889"/>
        <v>0</v>
      </c>
      <c r="S2363" s="72">
        <f t="shared" si="890"/>
        <v>0.99177500321791734</v>
      </c>
      <c r="T2363" s="72">
        <f t="shared" si="891"/>
        <v>0.99177500321791734</v>
      </c>
      <c r="U2363" s="72">
        <f t="shared" si="892"/>
        <v>1</v>
      </c>
    </row>
    <row r="2364" spans="1:21" x14ac:dyDescent="0.25">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0.8423413566739606</v>
      </c>
      <c r="P2364" s="72">
        <f t="shared" si="887"/>
        <v>0.54166666666666663</v>
      </c>
      <c r="Q2364" s="72">
        <f t="shared" si="888"/>
        <v>0.45833333333333337</v>
      </c>
      <c r="R2364" s="72">
        <f t="shared" si="889"/>
        <v>0</v>
      </c>
      <c r="S2364" s="72">
        <f t="shared" si="890"/>
        <v>0.99098983138113017</v>
      </c>
      <c r="T2364" s="72">
        <f t="shared" si="891"/>
        <v>0.99098983138113017</v>
      </c>
      <c r="U2364" s="72">
        <f t="shared" si="892"/>
        <v>1</v>
      </c>
    </row>
    <row r="2365" spans="1:21" x14ac:dyDescent="0.25">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0.8416739606126914</v>
      </c>
      <c r="P2365" s="72">
        <f t="shared" si="887"/>
        <v>0.45833333333333331</v>
      </c>
      <c r="Q2365" s="72">
        <f t="shared" si="888"/>
        <v>0.54166666666666674</v>
      </c>
      <c r="R2365" s="72">
        <f t="shared" si="889"/>
        <v>0</v>
      </c>
      <c r="S2365" s="72">
        <f t="shared" si="890"/>
        <v>1.0298128459261167</v>
      </c>
      <c r="T2365" s="72">
        <f t="shared" si="891"/>
        <v>1.0298128459261167</v>
      </c>
      <c r="U2365" s="72">
        <f t="shared" si="892"/>
        <v>1.04</v>
      </c>
    </row>
    <row r="2366" spans="1:21" x14ac:dyDescent="0.25">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0.84099562363238511</v>
      </c>
      <c r="P2366" s="72">
        <f t="shared" si="887"/>
        <v>0.375</v>
      </c>
      <c r="Q2366" s="72">
        <f t="shared" si="888"/>
        <v>0.625</v>
      </c>
      <c r="R2366" s="72">
        <f t="shared" si="889"/>
        <v>0</v>
      </c>
      <c r="S2366" s="72">
        <f t="shared" si="890"/>
        <v>1.0289828806796242</v>
      </c>
      <c r="T2366" s="72">
        <f t="shared" si="891"/>
        <v>1.0289828806796242</v>
      </c>
      <c r="U2366" s="72">
        <f t="shared" si="892"/>
        <v>1.04</v>
      </c>
    </row>
    <row r="2367" spans="1:21" x14ac:dyDescent="0.25">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0.84032822757111592</v>
      </c>
      <c r="P2367" s="72">
        <f t="shared" si="887"/>
        <v>0.29166666666666669</v>
      </c>
      <c r="Q2367" s="72">
        <f t="shared" si="888"/>
        <v>0.70833333333333326</v>
      </c>
      <c r="R2367" s="72">
        <f t="shared" si="889"/>
        <v>0</v>
      </c>
      <c r="S2367" s="72">
        <f t="shared" si="890"/>
        <v>1.0281663019693654</v>
      </c>
      <c r="T2367" s="72">
        <f t="shared" si="891"/>
        <v>1.0281663019693654</v>
      </c>
      <c r="U2367" s="72">
        <f t="shared" si="892"/>
        <v>1.04</v>
      </c>
    </row>
    <row r="2368" spans="1:21" x14ac:dyDescent="0.25">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0.83966083150984683</v>
      </c>
      <c r="P2368" s="72">
        <f t="shared" si="887"/>
        <v>0.20833333333333334</v>
      </c>
      <c r="Q2368" s="72">
        <f t="shared" si="888"/>
        <v>0.79166666666666663</v>
      </c>
      <c r="R2368" s="72">
        <f t="shared" si="889"/>
        <v>0</v>
      </c>
      <c r="S2368" s="72">
        <f t="shared" si="890"/>
        <v>1.0273497232591069</v>
      </c>
      <c r="T2368" s="72">
        <f t="shared" si="891"/>
        <v>1.0273497232591069</v>
      </c>
      <c r="U2368" s="72">
        <f t="shared" si="892"/>
        <v>1.04</v>
      </c>
    </row>
    <row r="2369" spans="1:21" x14ac:dyDescent="0.25">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0.83899343544857763</v>
      </c>
      <c r="P2369" s="72">
        <f t="shared" si="887"/>
        <v>0.125</v>
      </c>
      <c r="Q2369" s="72">
        <f t="shared" si="888"/>
        <v>0.875</v>
      </c>
      <c r="R2369" s="72">
        <f t="shared" si="889"/>
        <v>0</v>
      </c>
      <c r="S2369" s="72">
        <f t="shared" si="890"/>
        <v>1.0265331445488479</v>
      </c>
      <c r="T2369" s="72">
        <f t="shared" si="891"/>
        <v>1.0265331445488479</v>
      </c>
      <c r="U2369" s="72">
        <f t="shared" si="892"/>
        <v>1.04</v>
      </c>
    </row>
    <row r="2370" spans="1:21" x14ac:dyDescent="0.25">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0.83832603938730854</v>
      </c>
      <c r="P2370" s="72">
        <f t="shared" si="887"/>
        <v>4.1666666666666664E-2</v>
      </c>
      <c r="Q2370" s="72">
        <f t="shared" si="888"/>
        <v>0.95833333333333337</v>
      </c>
      <c r="R2370" s="72">
        <f t="shared" si="889"/>
        <v>0</v>
      </c>
      <c r="S2370" s="72">
        <f t="shared" si="890"/>
        <v>1.0257165658385894</v>
      </c>
      <c r="T2370" s="72">
        <f t="shared" si="891"/>
        <v>1.0257165658385894</v>
      </c>
      <c r="U2370" s="72">
        <f t="shared" si="892"/>
        <v>1.04</v>
      </c>
    </row>
    <row r="2371" spans="1:21" x14ac:dyDescent="0.25">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0.83764770240700215</v>
      </c>
      <c r="P2371" s="72">
        <f t="shared" si="887"/>
        <v>0</v>
      </c>
      <c r="Q2371" s="72">
        <f t="shared" si="888"/>
        <v>0.95833333333333337</v>
      </c>
      <c r="R2371" s="72">
        <f t="shared" si="889"/>
        <v>4.166666666666663E-2</v>
      </c>
      <c r="S2371" s="72">
        <f t="shared" si="890"/>
        <v>1.0248866005920967</v>
      </c>
      <c r="T2371" s="72">
        <f t="shared" si="891"/>
        <v>0.99486420388724417</v>
      </c>
      <c r="U2371" s="72">
        <f t="shared" si="892"/>
        <v>1.04</v>
      </c>
    </row>
    <row r="2372" spans="1:21" x14ac:dyDescent="0.25">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0.83700218818380745</v>
      </c>
      <c r="P2372" s="72">
        <f t="shared" si="887"/>
        <v>0</v>
      </c>
      <c r="Q2372" s="72">
        <f t="shared" si="888"/>
        <v>0.875</v>
      </c>
      <c r="R2372" s="72">
        <f t="shared" si="889"/>
        <v>0.125</v>
      </c>
      <c r="S2372" s="72">
        <f t="shared" si="890"/>
        <v>1.0240967949543056</v>
      </c>
      <c r="T2372" s="72">
        <f t="shared" si="891"/>
        <v>0.99410477538936803</v>
      </c>
      <c r="U2372" s="72">
        <f t="shared" si="892"/>
        <v>1.04</v>
      </c>
    </row>
    <row r="2373" spans="1:21" x14ac:dyDescent="0.25">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0.83635667396061264</v>
      </c>
      <c r="P2373" s="72">
        <f t="shared" si="887"/>
        <v>0</v>
      </c>
      <c r="Q2373" s="72">
        <f t="shared" si="888"/>
        <v>0.79166666666666663</v>
      </c>
      <c r="R2373" s="72">
        <f t="shared" si="889"/>
        <v>0.20833333333333337</v>
      </c>
      <c r="S2373" s="72">
        <f t="shared" si="890"/>
        <v>1.0233069893165143</v>
      </c>
      <c r="T2373" s="72">
        <f t="shared" si="891"/>
        <v>0.99334534689149179</v>
      </c>
      <c r="U2373" s="72">
        <f t="shared" si="892"/>
        <v>1.04</v>
      </c>
    </row>
    <row r="2374" spans="1:21" x14ac:dyDescent="0.25">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0.83568927789934355</v>
      </c>
      <c r="P2374" s="72">
        <f t="shared" si="887"/>
        <v>0</v>
      </c>
      <c r="Q2374" s="72">
        <f t="shared" si="888"/>
        <v>0.70833333333333337</v>
      </c>
      <c r="R2374" s="72">
        <f t="shared" si="889"/>
        <v>0.29166666666666663</v>
      </c>
      <c r="S2374" s="72">
        <f t="shared" si="890"/>
        <v>1.0224904106062558</v>
      </c>
      <c r="T2374" s="72">
        <f t="shared" si="891"/>
        <v>0.99256017505470462</v>
      </c>
      <c r="U2374" s="72">
        <f t="shared" si="892"/>
        <v>1.04</v>
      </c>
    </row>
    <row r="2375" spans="1:21" x14ac:dyDescent="0.25">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0.83502188183807435</v>
      </c>
      <c r="P2375" s="72">
        <f t="shared" si="887"/>
        <v>0</v>
      </c>
      <c r="Q2375" s="72">
        <f t="shared" si="888"/>
        <v>0.625</v>
      </c>
      <c r="R2375" s="72">
        <f t="shared" si="889"/>
        <v>0.375</v>
      </c>
      <c r="S2375" s="72">
        <f t="shared" si="890"/>
        <v>1.0216738318959968</v>
      </c>
      <c r="T2375" s="72">
        <f t="shared" si="891"/>
        <v>0.99177500321791734</v>
      </c>
      <c r="U2375" s="72">
        <f t="shared" si="892"/>
        <v>1.04</v>
      </c>
    </row>
    <row r="2376" spans="1:21" x14ac:dyDescent="0.25">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0.83435448577680527</v>
      </c>
      <c r="P2376" s="72">
        <f t="shared" si="887"/>
        <v>0</v>
      </c>
      <c r="Q2376" s="72">
        <f t="shared" si="888"/>
        <v>0.54166666666666663</v>
      </c>
      <c r="R2376" s="72">
        <f t="shared" si="889"/>
        <v>0.45833333333333337</v>
      </c>
      <c r="S2376" s="72">
        <f t="shared" si="890"/>
        <v>1.0208572531857383</v>
      </c>
      <c r="T2376" s="72">
        <f t="shared" si="891"/>
        <v>0.99098983138113017</v>
      </c>
      <c r="U2376" s="72">
        <f t="shared" si="892"/>
        <v>1.04</v>
      </c>
    </row>
    <row r="2377" spans="1:21" x14ac:dyDescent="0.25">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0.83368708971553607</v>
      </c>
      <c r="P2377" s="72">
        <f t="shared" si="887"/>
        <v>0</v>
      </c>
      <c r="Q2377" s="72">
        <f t="shared" si="888"/>
        <v>0.45833333333333331</v>
      </c>
      <c r="R2377" s="72">
        <f t="shared" si="889"/>
        <v>0.54166666666666674</v>
      </c>
      <c r="S2377" s="72">
        <f t="shared" si="890"/>
        <v>1.0200406744754795</v>
      </c>
      <c r="T2377" s="72">
        <f t="shared" si="891"/>
        <v>1.0298128459261167</v>
      </c>
      <c r="U2377" s="72">
        <f t="shared" si="892"/>
        <v>1.04</v>
      </c>
    </row>
    <row r="2378" spans="1:21" x14ac:dyDescent="0.25">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0.83300875273522967</v>
      </c>
      <c r="P2378" s="72">
        <f t="shared" si="887"/>
        <v>0</v>
      </c>
      <c r="Q2378" s="72">
        <f t="shared" si="888"/>
        <v>0.375</v>
      </c>
      <c r="R2378" s="72">
        <f t="shared" si="889"/>
        <v>0.625</v>
      </c>
      <c r="S2378" s="72">
        <f t="shared" si="890"/>
        <v>1.019210709228987</v>
      </c>
      <c r="T2378" s="72">
        <f t="shared" si="891"/>
        <v>1.0289828806796242</v>
      </c>
      <c r="U2378" s="72">
        <f t="shared" si="892"/>
        <v>1.04</v>
      </c>
    </row>
    <row r="2379" spans="1:21" x14ac:dyDescent="0.25">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0.83234135667396059</v>
      </c>
      <c r="P2379" s="72">
        <f t="shared" si="887"/>
        <v>0</v>
      </c>
      <c r="Q2379" s="72">
        <f t="shared" si="888"/>
        <v>0.29166666666666669</v>
      </c>
      <c r="R2379" s="72">
        <f t="shared" si="889"/>
        <v>0.70833333333333326</v>
      </c>
      <c r="S2379" s="72">
        <f t="shared" si="890"/>
        <v>1.0183941305187283</v>
      </c>
      <c r="T2379" s="72">
        <f t="shared" si="891"/>
        <v>1.0281663019693654</v>
      </c>
      <c r="U2379" s="72">
        <f t="shared" si="892"/>
        <v>1.04</v>
      </c>
    </row>
    <row r="2380" spans="1:21" x14ac:dyDescent="0.25">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0.83167396061269139</v>
      </c>
      <c r="P2380" s="72">
        <f t="shared" si="887"/>
        <v>0</v>
      </c>
      <c r="Q2380" s="72">
        <f t="shared" si="888"/>
        <v>0.20833333333333334</v>
      </c>
      <c r="R2380" s="72">
        <f t="shared" si="889"/>
        <v>0.79166666666666663</v>
      </c>
      <c r="S2380" s="72">
        <f t="shared" si="890"/>
        <v>1.0175775518084695</v>
      </c>
      <c r="T2380" s="72">
        <f t="shared" si="891"/>
        <v>1.0273497232591069</v>
      </c>
      <c r="U2380" s="72">
        <f t="shared" si="892"/>
        <v>1.04</v>
      </c>
    </row>
    <row r="2381" spans="1:21" x14ac:dyDescent="0.25">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0.8310065645514223</v>
      </c>
      <c r="P2381" s="72">
        <f t="shared" si="887"/>
        <v>0</v>
      </c>
      <c r="Q2381" s="72">
        <f t="shared" si="888"/>
        <v>0.125</v>
      </c>
      <c r="R2381" s="72">
        <f t="shared" si="889"/>
        <v>0.875</v>
      </c>
      <c r="S2381" s="72">
        <f t="shared" si="890"/>
        <v>1.0167609730982108</v>
      </c>
      <c r="T2381" s="72">
        <f t="shared" si="891"/>
        <v>1.0265331445488479</v>
      </c>
      <c r="U2381" s="72">
        <f t="shared" si="892"/>
        <v>1.04</v>
      </c>
    </row>
    <row r="2382" spans="1:21" x14ac:dyDescent="0.25">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0.8303391684901531</v>
      </c>
      <c r="P2382" s="72">
        <f t="shared" si="887"/>
        <v>0</v>
      </c>
      <c r="Q2382" s="72">
        <f t="shared" si="888"/>
        <v>4.1666666666666664E-2</v>
      </c>
      <c r="R2382" s="72">
        <f t="shared" si="889"/>
        <v>0.95833333333333337</v>
      </c>
      <c r="S2382" s="72">
        <f t="shared" si="890"/>
        <v>1.015944394387952</v>
      </c>
      <c r="T2382" s="72">
        <f t="shared" si="891"/>
        <v>1.0257165658385894</v>
      </c>
      <c r="U2382" s="72">
        <f t="shared" si="892"/>
        <v>1.04</v>
      </c>
    </row>
    <row r="2383" spans="1:21" x14ac:dyDescent="0.25">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0.83</v>
      </c>
      <c r="P2383" s="72">
        <f t="shared" si="887"/>
        <v>0</v>
      </c>
      <c r="Q2383" s="72">
        <f t="shared" si="888"/>
        <v>0</v>
      </c>
      <c r="R2383" s="72">
        <f t="shared" si="889"/>
        <v>0.95833333333333337</v>
      </c>
      <c r="S2383" s="72">
        <f t="shared" si="890"/>
        <v>1.0155294117647058</v>
      </c>
      <c r="T2383" s="72">
        <f t="shared" si="891"/>
        <v>0.99486420388724417</v>
      </c>
      <c r="U2383" s="72">
        <f t="shared" si="892"/>
        <v>1.04</v>
      </c>
    </row>
    <row r="2384" spans="1:21" x14ac:dyDescent="0.25">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0.83</v>
      </c>
      <c r="P2384" s="72">
        <f t="shared" si="887"/>
        <v>0</v>
      </c>
      <c r="Q2384" s="72">
        <f t="shared" si="888"/>
        <v>0</v>
      </c>
      <c r="R2384" s="72">
        <f t="shared" si="889"/>
        <v>0.875</v>
      </c>
      <c r="S2384" s="72">
        <f t="shared" si="890"/>
        <v>1.0155294117647058</v>
      </c>
      <c r="T2384" s="72">
        <f t="shared" si="891"/>
        <v>0.99410477538936803</v>
      </c>
      <c r="U2384" s="72">
        <f t="shared" si="892"/>
        <v>1.04</v>
      </c>
    </row>
    <row r="2385" spans="1:21" x14ac:dyDescent="0.25">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0.83</v>
      </c>
      <c r="P2385" s="72">
        <f t="shared" si="887"/>
        <v>0</v>
      </c>
      <c r="Q2385" s="72">
        <f t="shared" si="888"/>
        <v>0</v>
      </c>
      <c r="R2385" s="72">
        <f t="shared" si="889"/>
        <v>0.79166666666666663</v>
      </c>
      <c r="S2385" s="72">
        <f t="shared" si="890"/>
        <v>1.0155294117647058</v>
      </c>
      <c r="T2385" s="72">
        <f t="shared" si="891"/>
        <v>0.99334534689149179</v>
      </c>
      <c r="U2385" s="72">
        <f t="shared" si="892"/>
        <v>1.04</v>
      </c>
    </row>
    <row r="2386" spans="1:21" x14ac:dyDescent="0.25">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0.83</v>
      </c>
      <c r="P2386" s="72">
        <f t="shared" si="887"/>
        <v>0</v>
      </c>
      <c r="Q2386" s="72">
        <f t="shared" si="888"/>
        <v>0</v>
      </c>
      <c r="R2386" s="72">
        <f t="shared" si="889"/>
        <v>0.70833333333333337</v>
      </c>
      <c r="S2386" s="72">
        <f t="shared" si="890"/>
        <v>1.0155294117647058</v>
      </c>
      <c r="T2386" s="72">
        <f t="shared" si="891"/>
        <v>0.99256017505470462</v>
      </c>
      <c r="U2386" s="72">
        <f t="shared" si="892"/>
        <v>1.04</v>
      </c>
    </row>
    <row r="2387" spans="1:21" x14ac:dyDescent="0.25">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0.83</v>
      </c>
      <c r="P2387" s="72">
        <f t="shared" si="887"/>
        <v>0</v>
      </c>
      <c r="Q2387" s="72">
        <f t="shared" si="888"/>
        <v>0</v>
      </c>
      <c r="R2387" s="72">
        <f t="shared" si="889"/>
        <v>0.625</v>
      </c>
      <c r="S2387" s="72">
        <f t="shared" si="890"/>
        <v>1.0155294117647058</v>
      </c>
      <c r="T2387" s="72">
        <f t="shared" si="891"/>
        <v>0.99177500321791734</v>
      </c>
      <c r="U2387" s="72">
        <f t="shared" si="892"/>
        <v>1.04</v>
      </c>
    </row>
    <row r="2388" spans="1:21" x14ac:dyDescent="0.25">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0.83</v>
      </c>
      <c r="P2388" s="72">
        <f t="shared" si="887"/>
        <v>0</v>
      </c>
      <c r="Q2388" s="72">
        <f t="shared" si="888"/>
        <v>0</v>
      </c>
      <c r="R2388" s="72">
        <f t="shared" si="889"/>
        <v>0.54166666666666663</v>
      </c>
      <c r="S2388" s="72">
        <f t="shared" si="890"/>
        <v>1.0155294117647058</v>
      </c>
      <c r="T2388" s="72">
        <f t="shared" si="891"/>
        <v>0.99098983138113017</v>
      </c>
      <c r="U2388" s="72">
        <f t="shared" si="892"/>
        <v>1.04</v>
      </c>
    </row>
    <row r="2389" spans="1:21" x14ac:dyDescent="0.25">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0.83</v>
      </c>
      <c r="P2389" s="72">
        <f t="shared" si="887"/>
        <v>0</v>
      </c>
      <c r="Q2389" s="72">
        <f t="shared" si="888"/>
        <v>0</v>
      </c>
      <c r="R2389" s="72">
        <f t="shared" si="889"/>
        <v>0.45833333333333331</v>
      </c>
      <c r="S2389" s="72">
        <f t="shared" si="890"/>
        <v>1.0155294117647058</v>
      </c>
      <c r="T2389" s="72">
        <f t="shared" si="891"/>
        <v>1.0298128459261167</v>
      </c>
      <c r="U2389" s="72">
        <f t="shared" si="892"/>
        <v>1.04</v>
      </c>
    </row>
    <row r="2390" spans="1:21" x14ac:dyDescent="0.25">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0.83</v>
      </c>
      <c r="P2390" s="72">
        <f t="shared" si="887"/>
        <v>0</v>
      </c>
      <c r="Q2390" s="72">
        <f t="shared" si="888"/>
        <v>0</v>
      </c>
      <c r="R2390" s="72">
        <f t="shared" si="889"/>
        <v>0.375</v>
      </c>
      <c r="S2390" s="72">
        <f t="shared" si="890"/>
        <v>1.0155294117647058</v>
      </c>
      <c r="T2390" s="72">
        <f t="shared" si="891"/>
        <v>1.0289828806796242</v>
      </c>
      <c r="U2390" s="72">
        <f t="shared" si="892"/>
        <v>1.04</v>
      </c>
    </row>
    <row r="2391" spans="1:21" x14ac:dyDescent="0.25">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0.83</v>
      </c>
      <c r="P2391" s="72">
        <f t="shared" si="887"/>
        <v>0</v>
      </c>
      <c r="Q2391" s="72">
        <f t="shared" si="888"/>
        <v>0</v>
      </c>
      <c r="R2391" s="72">
        <f t="shared" si="889"/>
        <v>0.29166666666666669</v>
      </c>
      <c r="S2391" s="72">
        <f t="shared" si="890"/>
        <v>1.0155294117647058</v>
      </c>
      <c r="T2391" s="72">
        <f t="shared" si="891"/>
        <v>1.0281663019693654</v>
      </c>
      <c r="U2391" s="72">
        <f t="shared" si="892"/>
        <v>1.04</v>
      </c>
    </row>
    <row r="2392" spans="1:21" x14ac:dyDescent="0.25">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0.83</v>
      </c>
      <c r="P2392" s="72">
        <f t="shared" si="887"/>
        <v>0</v>
      </c>
      <c r="Q2392" s="72">
        <f t="shared" si="888"/>
        <v>0</v>
      </c>
      <c r="R2392" s="72">
        <f t="shared" si="889"/>
        <v>0.20833333333333334</v>
      </c>
      <c r="S2392" s="72">
        <f t="shared" si="890"/>
        <v>1.0155294117647058</v>
      </c>
      <c r="T2392" s="72">
        <f t="shared" si="891"/>
        <v>1.0273497232591069</v>
      </c>
      <c r="U2392" s="72">
        <f t="shared" si="892"/>
        <v>1.04</v>
      </c>
    </row>
    <row r="2393" spans="1:21" x14ac:dyDescent="0.25">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0.83</v>
      </c>
      <c r="P2393" s="72">
        <f t="shared" si="887"/>
        <v>0</v>
      </c>
      <c r="Q2393" s="72">
        <f t="shared" si="888"/>
        <v>0</v>
      </c>
      <c r="R2393" s="72">
        <f t="shared" si="889"/>
        <v>0.125</v>
      </c>
      <c r="S2393" s="72">
        <f t="shared" si="890"/>
        <v>1.0155294117647058</v>
      </c>
      <c r="T2393" s="72">
        <f t="shared" si="891"/>
        <v>1.0265331445488479</v>
      </c>
      <c r="U2393" s="72">
        <f t="shared" si="892"/>
        <v>1.04</v>
      </c>
    </row>
    <row r="2394" spans="1:21" x14ac:dyDescent="0.25">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0.83</v>
      </c>
      <c r="P2394" s="72">
        <f t="shared" si="887"/>
        <v>0</v>
      </c>
      <c r="Q2394" s="72">
        <f t="shared" si="888"/>
        <v>0</v>
      </c>
      <c r="R2394" s="72">
        <f t="shared" si="889"/>
        <v>4.1666666666666664E-2</v>
      </c>
      <c r="S2394" s="72">
        <f t="shared" si="890"/>
        <v>1.0155294117647058</v>
      </c>
      <c r="T2394" s="72">
        <f t="shared" si="891"/>
        <v>1.0257165658385894</v>
      </c>
      <c r="U2394" s="72">
        <f t="shared" si="892"/>
        <v>1.04</v>
      </c>
    </row>
    <row r="2395" spans="1:21" x14ac:dyDescent="0.25">
      <c r="A2395" s="77" t="s">
        <v>1209</v>
      </c>
      <c r="B2395" s="50">
        <f>EXP(SUMPRODUCT((rl_key=$A$2344)*(rl_cons="Y")*rl_ln1p))</f>
        <v>1.04</v>
      </c>
      <c r="C2395" s="50">
        <f>SUMPRODUCT($H$2347:$H$2394,$P$2347:$P$2394,$U$2347:$U$2394)/SUMPRODUCT($H$2347:$H$2394,$P$2347:$P$2394)</f>
        <v>1.0050000000000001</v>
      </c>
      <c r="D2395" s="50">
        <f>SUMPRODUCT($H$2347:$H$2394,$Q$2347:$Q$2394,$U$2347:$U$2394)/SUMPRODUCT($H$2347:$H$2394,$Q$2347:$Q$2394)</f>
        <v>1.0350000000000001</v>
      </c>
      <c r="E2395" s="50">
        <f>SUMPRODUCT($H$2347:$H$2394,$R$2347:$R$2394,$U$2347:$U$2394)/SUMPRODUCT($H$2347:$H$2394,$R$2347:$R$2394)</f>
        <v>1.0400000000000003</v>
      </c>
      <c r="F2395" s="169">
        <f>SUMPRODUCT($H$2347:$H$2394,$Q$2347:$Q$2394,$O$2347:$O$2394)/SUMPRODUCT($H$2347:$H$2394,$Q$2347:$Q$2394)</f>
        <v>0.8380041940189642</v>
      </c>
      <c r="G2395" s="169">
        <f>SUMPRODUCT($H$2347:$H$2394,$R$2347:$R$2394,$O$2347:$O$2394)/SUMPRODUCT($H$2347:$H$2394,$R$2347:$R$2394)</f>
        <v>0.83134364362995383</v>
      </c>
    </row>
    <row r="2398" spans="1:21" x14ac:dyDescent="0.25">
      <c r="A2398" s="77" t="str">
        <f>INDEX(lr_key,44)</f>
        <v>BU-C|CA</v>
      </c>
      <c r="B2398" s="77" t="str">
        <f>INDEX(lr_state,44)</f>
        <v>CA</v>
      </c>
      <c r="C2398" s="52">
        <f>nr_TermMonths</f>
        <v>12</v>
      </c>
      <c r="D2398" s="52">
        <f>IF(COUNTIF(se_state,$B2398)=0,0,MATCH($B2398,se_state,0))</f>
        <v>0</v>
      </c>
      <c r="E2398" s="54">
        <f>IF($D2398=0,0,INDEX(se_sum,$D2398))</f>
        <v>0</v>
      </c>
      <c r="F2398" s="169">
        <f>IF(N(INDEX(lr_mind,44))=0,1,INDEX(lr_mind,44))</f>
        <v>0.85</v>
      </c>
      <c r="G2398" s="169">
        <f>IF(N(INDEX(lr_m0,44))=0,1,INDEX(lr_m0,44))</f>
        <v>0.84</v>
      </c>
      <c r="H2398" s="51">
        <f>IF(N(INDEX(lr_m0asof,44))=0,DATE(nr_PlanYear-1,10,1),INDEX(lr_m0asof,44))</f>
        <v>46295</v>
      </c>
      <c r="I2398" s="169">
        <f>IF(N(INDEX(lr_m1,44))=0,1,INDEX(lr_m1,44))</f>
        <v>0.84499999999999997</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25">
      <c r="A2399" s="77">
        <f>EDATE($H$2398,-12)+1</f>
        <v>45931</v>
      </c>
      <c r="B2399" s="77">
        <f>$H$2398+1</f>
        <v>46296</v>
      </c>
      <c r="C2399" s="77">
        <f>DATE(nr_PlanYear,12,31)+1</f>
        <v>46753</v>
      </c>
      <c r="D2399" s="77">
        <f>DATE(nr_PlanYear+1,12,31)+1</f>
        <v>47119</v>
      </c>
      <c r="E2399" s="77">
        <f>IF(N($J$2398)=0,$F$2399-($G$2399-$F$2399)/($C$2399-$B$2399)*($B$2399-$A$2399),$J$2398)</f>
        <v>0.8360065645514223</v>
      </c>
      <c r="F2399" s="77">
        <f>$G$2398</f>
        <v>0.84</v>
      </c>
      <c r="G2399" s="77">
        <f>$I$2398</f>
        <v>0.84499999999999997</v>
      </c>
      <c r="H2399" s="77">
        <f>IF(N($K$2398)=0,$I$2398,$K$2398)</f>
        <v>0.84499999999999997</v>
      </c>
      <c r="I2399" s="77">
        <f>($F$2399-$E$2399)/($B$2399-$A$2399)</f>
        <v>1.0940919037199081E-5</v>
      </c>
      <c r="J2399" s="77">
        <f>($G$2399-$F$2399)/($C$2399-$B$2399)</f>
        <v>1.0940919037199135E-5</v>
      </c>
      <c r="K2399" s="77">
        <f>($H$2399-$G$2399)/($D$2399-$C$2399)</f>
        <v>0</v>
      </c>
    </row>
    <row r="2400" spans="1:21" ht="24" x14ac:dyDescent="0.25">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25">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0.83318927789934349</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0.98022267988158063</v>
      </c>
      <c r="T2401" s="72">
        <f t="shared" ref="T2401:T2448" si="911">IF($G2401&lt;nr_MStartP,$S2401,$T2389*(1+IF($G2401&lt;nr_MStartP1,$M$2398,$N$2398)))</f>
        <v>0.98022267988158063</v>
      </c>
      <c r="U2401" s="72">
        <f t="shared" ref="U2401:U2448" si="912">IF($L$2398,$T2401,$N2401)</f>
        <v>1</v>
      </c>
    </row>
    <row r="2402" spans="1:21" x14ac:dyDescent="0.25">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0.83351203501094095</v>
      </c>
      <c r="P2402" s="72">
        <f t="shared" si="907"/>
        <v>0.125</v>
      </c>
      <c r="Q2402" s="72">
        <f t="shared" si="908"/>
        <v>0</v>
      </c>
      <c r="R2402" s="72">
        <f t="shared" si="909"/>
        <v>0</v>
      </c>
      <c r="S2402" s="72">
        <f t="shared" si="910"/>
        <v>0.98060239413051875</v>
      </c>
      <c r="T2402" s="72">
        <f t="shared" si="911"/>
        <v>0.98060239413051875</v>
      </c>
      <c r="U2402" s="72">
        <f t="shared" si="912"/>
        <v>1</v>
      </c>
    </row>
    <row r="2403" spans="1:21" x14ac:dyDescent="0.25">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0.8338347921225383</v>
      </c>
      <c r="P2403" s="72">
        <f t="shared" si="907"/>
        <v>0.20833333333333337</v>
      </c>
      <c r="Q2403" s="72">
        <f t="shared" si="908"/>
        <v>0</v>
      </c>
      <c r="R2403" s="72">
        <f t="shared" si="909"/>
        <v>0</v>
      </c>
      <c r="S2403" s="72">
        <f t="shared" si="910"/>
        <v>0.98098210837945687</v>
      </c>
      <c r="T2403" s="72">
        <f t="shared" si="911"/>
        <v>0.98098210837945687</v>
      </c>
      <c r="U2403" s="72">
        <f t="shared" si="912"/>
        <v>1</v>
      </c>
    </row>
    <row r="2404" spans="1:21" x14ac:dyDescent="0.25">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0.83416849015317285</v>
      </c>
      <c r="P2404" s="72">
        <f t="shared" si="907"/>
        <v>0.29166666666666663</v>
      </c>
      <c r="Q2404" s="72">
        <f t="shared" si="908"/>
        <v>0</v>
      </c>
      <c r="R2404" s="72">
        <f t="shared" si="909"/>
        <v>0</v>
      </c>
      <c r="S2404" s="72">
        <f t="shared" si="910"/>
        <v>0.9813746942978504</v>
      </c>
      <c r="T2404" s="72">
        <f t="shared" si="911"/>
        <v>0.9813746942978504</v>
      </c>
      <c r="U2404" s="72">
        <f t="shared" si="912"/>
        <v>1</v>
      </c>
    </row>
    <row r="2405" spans="1:21" x14ac:dyDescent="0.25">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0.83450218818380739</v>
      </c>
      <c r="P2405" s="72">
        <f t="shared" si="907"/>
        <v>0.375</v>
      </c>
      <c r="Q2405" s="72">
        <f t="shared" si="908"/>
        <v>0</v>
      </c>
      <c r="R2405" s="72">
        <f t="shared" si="909"/>
        <v>0</v>
      </c>
      <c r="S2405" s="72">
        <f t="shared" si="910"/>
        <v>0.98176728021624404</v>
      </c>
      <c r="T2405" s="72">
        <f t="shared" si="911"/>
        <v>0.98176728021624404</v>
      </c>
      <c r="U2405" s="72">
        <f t="shared" si="912"/>
        <v>1</v>
      </c>
    </row>
    <row r="2406" spans="1:21" x14ac:dyDescent="0.25">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0.83483588621444205</v>
      </c>
      <c r="P2406" s="72">
        <f t="shared" si="907"/>
        <v>0.45833333333333337</v>
      </c>
      <c r="Q2406" s="72">
        <f t="shared" si="908"/>
        <v>0</v>
      </c>
      <c r="R2406" s="72">
        <f t="shared" si="909"/>
        <v>0</v>
      </c>
      <c r="S2406" s="72">
        <f t="shared" si="910"/>
        <v>0.98215986613463768</v>
      </c>
      <c r="T2406" s="72">
        <f t="shared" si="911"/>
        <v>0.98215986613463768</v>
      </c>
      <c r="U2406" s="72">
        <f t="shared" si="912"/>
        <v>1</v>
      </c>
    </row>
    <row r="2407" spans="1:21" x14ac:dyDescent="0.25">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0.83516958424507659</v>
      </c>
      <c r="P2407" s="72">
        <f t="shared" si="907"/>
        <v>0.54166666666666674</v>
      </c>
      <c r="Q2407" s="72">
        <f t="shared" si="908"/>
        <v>0</v>
      </c>
      <c r="R2407" s="72">
        <f t="shared" si="909"/>
        <v>0</v>
      </c>
      <c r="S2407" s="72">
        <f t="shared" si="910"/>
        <v>0.98255245205303132</v>
      </c>
      <c r="T2407" s="72">
        <f t="shared" si="911"/>
        <v>0.98255245205303132</v>
      </c>
      <c r="U2407" s="72">
        <f t="shared" si="912"/>
        <v>1</v>
      </c>
    </row>
    <row r="2408" spans="1:21" x14ac:dyDescent="0.25">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0.83550875273522973</v>
      </c>
      <c r="P2408" s="72">
        <f t="shared" si="907"/>
        <v>0.625</v>
      </c>
      <c r="Q2408" s="72">
        <f t="shared" si="908"/>
        <v>0</v>
      </c>
      <c r="R2408" s="72">
        <f t="shared" si="909"/>
        <v>0</v>
      </c>
      <c r="S2408" s="72">
        <f t="shared" si="910"/>
        <v>0.98295147380615266</v>
      </c>
      <c r="T2408" s="72">
        <f t="shared" si="911"/>
        <v>0.98295147380615266</v>
      </c>
      <c r="U2408" s="72">
        <f t="shared" si="912"/>
        <v>1</v>
      </c>
    </row>
    <row r="2409" spans="1:21" x14ac:dyDescent="0.25">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0.83584245076586428</v>
      </c>
      <c r="P2409" s="72">
        <f t="shared" si="907"/>
        <v>0.70833333333333326</v>
      </c>
      <c r="Q2409" s="72">
        <f t="shared" si="908"/>
        <v>0</v>
      </c>
      <c r="R2409" s="72">
        <f t="shared" si="909"/>
        <v>0</v>
      </c>
      <c r="S2409" s="72">
        <f t="shared" si="910"/>
        <v>0.98334405972454619</v>
      </c>
      <c r="T2409" s="72">
        <f t="shared" si="911"/>
        <v>0.98334405972454619</v>
      </c>
      <c r="U2409" s="72">
        <f t="shared" si="912"/>
        <v>1</v>
      </c>
    </row>
    <row r="2410" spans="1:21" x14ac:dyDescent="0.25">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0.83617614879649893</v>
      </c>
      <c r="P2410" s="72">
        <f t="shared" si="907"/>
        <v>0.79166666666666663</v>
      </c>
      <c r="Q2410" s="72">
        <f t="shared" si="908"/>
        <v>0</v>
      </c>
      <c r="R2410" s="72">
        <f t="shared" si="909"/>
        <v>0</v>
      </c>
      <c r="S2410" s="72">
        <f t="shared" si="910"/>
        <v>0.98373664564293994</v>
      </c>
      <c r="T2410" s="72">
        <f t="shared" si="911"/>
        <v>0.98373664564293994</v>
      </c>
      <c r="U2410" s="72">
        <f t="shared" si="912"/>
        <v>1</v>
      </c>
    </row>
    <row r="2411" spans="1:21" x14ac:dyDescent="0.25">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0.83650984682713347</v>
      </c>
      <c r="P2411" s="72">
        <f t="shared" si="907"/>
        <v>0.875</v>
      </c>
      <c r="Q2411" s="72">
        <f t="shared" si="908"/>
        <v>0</v>
      </c>
      <c r="R2411" s="72">
        <f t="shared" si="909"/>
        <v>0</v>
      </c>
      <c r="S2411" s="72">
        <f t="shared" si="910"/>
        <v>0.98412923156133347</v>
      </c>
      <c r="T2411" s="72">
        <f t="shared" si="911"/>
        <v>0.98412923156133347</v>
      </c>
      <c r="U2411" s="72">
        <f t="shared" si="912"/>
        <v>1</v>
      </c>
    </row>
    <row r="2412" spans="1:21" x14ac:dyDescent="0.25">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0.83684354485776802</v>
      </c>
      <c r="P2412" s="72">
        <f t="shared" si="907"/>
        <v>0.95833333333333337</v>
      </c>
      <c r="Q2412" s="72">
        <f t="shared" si="908"/>
        <v>0</v>
      </c>
      <c r="R2412" s="72">
        <f t="shared" si="909"/>
        <v>0</v>
      </c>
      <c r="S2412" s="72">
        <f t="shared" si="910"/>
        <v>0.98452181747972711</v>
      </c>
      <c r="T2412" s="72">
        <f t="shared" si="911"/>
        <v>0.98452181747972711</v>
      </c>
      <c r="U2412" s="72">
        <f t="shared" si="912"/>
        <v>1</v>
      </c>
    </row>
    <row r="2413" spans="1:21" x14ac:dyDescent="0.25">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0.83718271334792116</v>
      </c>
      <c r="P2413" s="72">
        <f t="shared" si="907"/>
        <v>0.95833333333333337</v>
      </c>
      <c r="Q2413" s="72">
        <f t="shared" si="908"/>
        <v>4.166666666666663E-2</v>
      </c>
      <c r="R2413" s="72">
        <f t="shared" si="909"/>
        <v>0</v>
      </c>
      <c r="S2413" s="72">
        <f t="shared" si="910"/>
        <v>0.98492083923284846</v>
      </c>
      <c r="T2413" s="72">
        <f t="shared" si="911"/>
        <v>0.98492083923284846</v>
      </c>
      <c r="U2413" s="72">
        <f t="shared" si="912"/>
        <v>1</v>
      </c>
    </row>
    <row r="2414" spans="1:21" x14ac:dyDescent="0.25">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0.83750547045951862</v>
      </c>
      <c r="P2414" s="72">
        <f t="shared" si="907"/>
        <v>0.875</v>
      </c>
      <c r="Q2414" s="72">
        <f t="shared" si="908"/>
        <v>0.125</v>
      </c>
      <c r="R2414" s="72">
        <f t="shared" si="909"/>
        <v>0</v>
      </c>
      <c r="S2414" s="72">
        <f t="shared" si="910"/>
        <v>0.98530055348178669</v>
      </c>
      <c r="T2414" s="72">
        <f t="shared" si="911"/>
        <v>0.98530055348178669</v>
      </c>
      <c r="U2414" s="72">
        <f t="shared" si="912"/>
        <v>1</v>
      </c>
    </row>
    <row r="2415" spans="1:21" x14ac:dyDescent="0.25">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0.83782822757111597</v>
      </c>
      <c r="P2415" s="72">
        <f t="shared" si="907"/>
        <v>0.79166666666666663</v>
      </c>
      <c r="Q2415" s="72">
        <f t="shared" si="908"/>
        <v>0.20833333333333337</v>
      </c>
      <c r="R2415" s="72">
        <f t="shared" si="909"/>
        <v>0</v>
      </c>
      <c r="S2415" s="72">
        <f t="shared" si="910"/>
        <v>0.9856802677307247</v>
      </c>
      <c r="T2415" s="72">
        <f t="shared" si="911"/>
        <v>0.9856802677307247</v>
      </c>
      <c r="U2415" s="72">
        <f t="shared" si="912"/>
        <v>1</v>
      </c>
    </row>
    <row r="2416" spans="1:21" x14ac:dyDescent="0.25">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0.83816192560175051</v>
      </c>
      <c r="P2416" s="72">
        <f t="shared" si="907"/>
        <v>0.70833333333333337</v>
      </c>
      <c r="Q2416" s="72">
        <f t="shared" si="908"/>
        <v>0.29166666666666663</v>
      </c>
      <c r="R2416" s="72">
        <f t="shared" si="909"/>
        <v>0</v>
      </c>
      <c r="S2416" s="72">
        <f t="shared" si="910"/>
        <v>0.98607285364911823</v>
      </c>
      <c r="T2416" s="72">
        <f t="shared" si="911"/>
        <v>0.98607285364911823</v>
      </c>
      <c r="U2416" s="72">
        <f t="shared" si="912"/>
        <v>1</v>
      </c>
    </row>
    <row r="2417" spans="1:21" x14ac:dyDescent="0.25">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0.83849562363238506</v>
      </c>
      <c r="P2417" s="72">
        <f t="shared" si="907"/>
        <v>0.625</v>
      </c>
      <c r="Q2417" s="72">
        <f t="shared" si="908"/>
        <v>0.375</v>
      </c>
      <c r="R2417" s="72">
        <f t="shared" si="909"/>
        <v>0</v>
      </c>
      <c r="S2417" s="72">
        <f t="shared" si="910"/>
        <v>0.98646543956751187</v>
      </c>
      <c r="T2417" s="72">
        <f t="shared" si="911"/>
        <v>0.98646543956751187</v>
      </c>
      <c r="U2417" s="72">
        <f t="shared" si="912"/>
        <v>1</v>
      </c>
    </row>
    <row r="2418" spans="1:21" x14ac:dyDescent="0.25">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0.83882932166301971</v>
      </c>
      <c r="P2418" s="72">
        <f t="shared" si="907"/>
        <v>0.54166666666666663</v>
      </c>
      <c r="Q2418" s="72">
        <f t="shared" si="908"/>
        <v>0.45833333333333337</v>
      </c>
      <c r="R2418" s="72">
        <f t="shared" si="909"/>
        <v>0</v>
      </c>
      <c r="S2418" s="72">
        <f t="shared" si="910"/>
        <v>0.98685802548590562</v>
      </c>
      <c r="T2418" s="72">
        <f t="shared" si="911"/>
        <v>0.98685802548590562</v>
      </c>
      <c r="U2418" s="72">
        <f t="shared" si="912"/>
        <v>1</v>
      </c>
    </row>
    <row r="2419" spans="1:21" x14ac:dyDescent="0.25">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0.83916301969365426</v>
      </c>
      <c r="P2419" s="72">
        <f t="shared" si="907"/>
        <v>0.45833333333333331</v>
      </c>
      <c r="Q2419" s="72">
        <f t="shared" si="908"/>
        <v>0.54166666666666674</v>
      </c>
      <c r="R2419" s="72">
        <f t="shared" si="909"/>
        <v>0</v>
      </c>
      <c r="S2419" s="72">
        <f t="shared" si="910"/>
        <v>0.98725061140429915</v>
      </c>
      <c r="T2419" s="72">
        <f t="shared" si="911"/>
        <v>0.98725061140429915</v>
      </c>
      <c r="U2419" s="72">
        <f t="shared" si="912"/>
        <v>1</v>
      </c>
    </row>
    <row r="2420" spans="1:21" x14ac:dyDescent="0.25">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0.8395021881838074</v>
      </c>
      <c r="P2420" s="72">
        <f t="shared" si="907"/>
        <v>0.375</v>
      </c>
      <c r="Q2420" s="72">
        <f t="shared" si="908"/>
        <v>0.625</v>
      </c>
      <c r="R2420" s="72">
        <f t="shared" si="909"/>
        <v>0</v>
      </c>
      <c r="S2420" s="72">
        <f t="shared" si="910"/>
        <v>1.0370321148152915</v>
      </c>
      <c r="T2420" s="72">
        <f t="shared" si="911"/>
        <v>1.0370321148152915</v>
      </c>
      <c r="U2420" s="72">
        <f t="shared" si="912"/>
        <v>1.05</v>
      </c>
    </row>
    <row r="2421" spans="1:21" x14ac:dyDescent="0.25">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0.83983588621444194</v>
      </c>
      <c r="P2421" s="72">
        <f t="shared" si="907"/>
        <v>0.29166666666666669</v>
      </c>
      <c r="Q2421" s="72">
        <f t="shared" si="908"/>
        <v>0.70833333333333326</v>
      </c>
      <c r="R2421" s="72">
        <f t="shared" si="909"/>
        <v>0</v>
      </c>
      <c r="S2421" s="72">
        <f t="shared" si="910"/>
        <v>1.0374443300296048</v>
      </c>
      <c r="T2421" s="72">
        <f t="shared" si="911"/>
        <v>1.0374443300296048</v>
      </c>
      <c r="U2421" s="72">
        <f t="shared" si="912"/>
        <v>1.05</v>
      </c>
    </row>
    <row r="2422" spans="1:21" x14ac:dyDescent="0.25">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0.84016958424507659</v>
      </c>
      <c r="P2422" s="72">
        <f t="shared" si="907"/>
        <v>0.20833333333333334</v>
      </c>
      <c r="Q2422" s="72">
        <f t="shared" si="908"/>
        <v>0.79166666666666663</v>
      </c>
      <c r="R2422" s="72">
        <f t="shared" si="909"/>
        <v>0</v>
      </c>
      <c r="S2422" s="72">
        <f t="shared" si="910"/>
        <v>1.0378565452439181</v>
      </c>
      <c r="T2422" s="72">
        <f t="shared" si="911"/>
        <v>1.0378565452439181</v>
      </c>
      <c r="U2422" s="72">
        <f t="shared" si="912"/>
        <v>1.05</v>
      </c>
    </row>
    <row r="2423" spans="1:21" x14ac:dyDescent="0.25">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0.84050328227571114</v>
      </c>
      <c r="P2423" s="72">
        <f t="shared" si="907"/>
        <v>0.125</v>
      </c>
      <c r="Q2423" s="72">
        <f t="shared" si="908"/>
        <v>0.875</v>
      </c>
      <c r="R2423" s="72">
        <f t="shared" si="909"/>
        <v>0</v>
      </c>
      <c r="S2423" s="72">
        <f t="shared" si="910"/>
        <v>1.0382687604582315</v>
      </c>
      <c r="T2423" s="72">
        <f t="shared" si="911"/>
        <v>1.0382687604582315</v>
      </c>
      <c r="U2423" s="72">
        <f t="shared" si="912"/>
        <v>1.05</v>
      </c>
    </row>
    <row r="2424" spans="1:21" x14ac:dyDescent="0.25">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0.84083698030634568</v>
      </c>
      <c r="P2424" s="72">
        <f t="shared" si="907"/>
        <v>4.1666666666666664E-2</v>
      </c>
      <c r="Q2424" s="72">
        <f t="shared" si="908"/>
        <v>0.95833333333333337</v>
      </c>
      <c r="R2424" s="72">
        <f t="shared" si="909"/>
        <v>0</v>
      </c>
      <c r="S2424" s="72">
        <f t="shared" si="910"/>
        <v>1.0386809756725448</v>
      </c>
      <c r="T2424" s="72">
        <f t="shared" si="911"/>
        <v>1.0386809756725448</v>
      </c>
      <c r="U2424" s="72">
        <f t="shared" si="912"/>
        <v>1.05</v>
      </c>
    </row>
    <row r="2425" spans="1:21" x14ac:dyDescent="0.25">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0.84117614879649882</v>
      </c>
      <c r="P2425" s="72">
        <f t="shared" si="907"/>
        <v>0</v>
      </c>
      <c r="Q2425" s="72">
        <f t="shared" si="908"/>
        <v>0.95833333333333337</v>
      </c>
      <c r="R2425" s="72">
        <f t="shared" si="909"/>
        <v>4.166666666666663E-2</v>
      </c>
      <c r="S2425" s="72">
        <f t="shared" si="910"/>
        <v>1.0390999485133221</v>
      </c>
      <c r="T2425" s="72">
        <f t="shared" si="911"/>
        <v>0.98492083923284846</v>
      </c>
      <c r="U2425" s="72">
        <f t="shared" si="912"/>
        <v>1.05</v>
      </c>
    </row>
    <row r="2426" spans="1:21" x14ac:dyDescent="0.25">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0.84149890590809628</v>
      </c>
      <c r="P2426" s="72">
        <f t="shared" si="907"/>
        <v>0</v>
      </c>
      <c r="Q2426" s="72">
        <f t="shared" si="908"/>
        <v>0.875</v>
      </c>
      <c r="R2426" s="72">
        <f t="shared" si="909"/>
        <v>0.125</v>
      </c>
      <c r="S2426" s="72">
        <f t="shared" si="910"/>
        <v>1.0394986484747073</v>
      </c>
      <c r="T2426" s="72">
        <f t="shared" si="911"/>
        <v>0.98530055348178669</v>
      </c>
      <c r="U2426" s="72">
        <f t="shared" si="912"/>
        <v>1.05</v>
      </c>
    </row>
    <row r="2427" spans="1:21" x14ac:dyDescent="0.25">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0.84182166301969363</v>
      </c>
      <c r="P2427" s="72">
        <f t="shared" si="907"/>
        <v>0</v>
      </c>
      <c r="Q2427" s="72">
        <f t="shared" si="908"/>
        <v>0.79166666666666663</v>
      </c>
      <c r="R2427" s="72">
        <f t="shared" si="909"/>
        <v>0.20833333333333337</v>
      </c>
      <c r="S2427" s="72">
        <f t="shared" si="910"/>
        <v>1.0398973484360923</v>
      </c>
      <c r="T2427" s="72">
        <f t="shared" si="911"/>
        <v>0.9856802677307247</v>
      </c>
      <c r="U2427" s="72">
        <f t="shared" si="912"/>
        <v>1.05</v>
      </c>
    </row>
    <row r="2428" spans="1:21" x14ac:dyDescent="0.25">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0.84215536105032818</v>
      </c>
      <c r="P2428" s="72">
        <f t="shared" si="907"/>
        <v>0</v>
      </c>
      <c r="Q2428" s="72">
        <f t="shared" si="908"/>
        <v>0.70833333333333337</v>
      </c>
      <c r="R2428" s="72">
        <f t="shared" si="909"/>
        <v>0.29166666666666663</v>
      </c>
      <c r="S2428" s="72">
        <f t="shared" si="910"/>
        <v>1.0403095636504056</v>
      </c>
      <c r="T2428" s="72">
        <f t="shared" si="911"/>
        <v>0.98607285364911823</v>
      </c>
      <c r="U2428" s="72">
        <f t="shared" si="912"/>
        <v>1.05</v>
      </c>
    </row>
    <row r="2429" spans="1:21" x14ac:dyDescent="0.25">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0.84248905908096272</v>
      </c>
      <c r="P2429" s="72">
        <f t="shared" si="907"/>
        <v>0</v>
      </c>
      <c r="Q2429" s="72">
        <f t="shared" si="908"/>
        <v>0.625</v>
      </c>
      <c r="R2429" s="72">
        <f t="shared" si="909"/>
        <v>0.375</v>
      </c>
      <c r="S2429" s="72">
        <f t="shared" si="910"/>
        <v>1.0407217788647187</v>
      </c>
      <c r="T2429" s="72">
        <f t="shared" si="911"/>
        <v>0.98646543956751187</v>
      </c>
      <c r="U2429" s="72">
        <f t="shared" si="912"/>
        <v>1.05</v>
      </c>
    </row>
    <row r="2430" spans="1:21" x14ac:dyDescent="0.25">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0.84282275711159738</v>
      </c>
      <c r="P2430" s="72">
        <f t="shared" si="907"/>
        <v>0</v>
      </c>
      <c r="Q2430" s="72">
        <f t="shared" si="908"/>
        <v>0.54166666666666663</v>
      </c>
      <c r="R2430" s="72">
        <f t="shared" si="909"/>
        <v>0.45833333333333337</v>
      </c>
      <c r="S2430" s="72">
        <f t="shared" si="910"/>
        <v>1.0411339940790321</v>
      </c>
      <c r="T2430" s="72">
        <f t="shared" si="911"/>
        <v>0.98685802548590562</v>
      </c>
      <c r="U2430" s="72">
        <f t="shared" si="912"/>
        <v>1.05</v>
      </c>
    </row>
    <row r="2431" spans="1:21" x14ac:dyDescent="0.25">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0.84315645514223192</v>
      </c>
      <c r="P2431" s="72">
        <f t="shared" si="907"/>
        <v>0</v>
      </c>
      <c r="Q2431" s="72">
        <f t="shared" si="908"/>
        <v>0.45833333333333331</v>
      </c>
      <c r="R2431" s="72">
        <f t="shared" si="909"/>
        <v>0.54166666666666674</v>
      </c>
      <c r="S2431" s="72">
        <f t="shared" si="910"/>
        <v>1.0415462092933454</v>
      </c>
      <c r="T2431" s="72">
        <f t="shared" si="911"/>
        <v>0.98725061140429915</v>
      </c>
      <c r="U2431" s="72">
        <f t="shared" si="912"/>
        <v>1.05</v>
      </c>
    </row>
    <row r="2432" spans="1:21" x14ac:dyDescent="0.25">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0.84349562363238506</v>
      </c>
      <c r="P2432" s="72">
        <f t="shared" si="907"/>
        <v>0</v>
      </c>
      <c r="Q2432" s="72">
        <f t="shared" si="908"/>
        <v>0.375</v>
      </c>
      <c r="R2432" s="72">
        <f t="shared" si="909"/>
        <v>0.625</v>
      </c>
      <c r="S2432" s="72">
        <f t="shared" si="910"/>
        <v>1.0419651821341227</v>
      </c>
      <c r="T2432" s="72">
        <f t="shared" si="911"/>
        <v>1.0370321148152915</v>
      </c>
      <c r="U2432" s="72">
        <f t="shared" si="912"/>
        <v>1.05</v>
      </c>
    </row>
    <row r="2433" spans="1:21" x14ac:dyDescent="0.25">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0.84382932166301972</v>
      </c>
      <c r="P2433" s="72">
        <f t="shared" si="907"/>
        <v>0</v>
      </c>
      <c r="Q2433" s="72">
        <f t="shared" si="908"/>
        <v>0.29166666666666669</v>
      </c>
      <c r="R2433" s="72">
        <f t="shared" si="909"/>
        <v>0.70833333333333326</v>
      </c>
      <c r="S2433" s="72">
        <f t="shared" si="910"/>
        <v>1.0423773973484363</v>
      </c>
      <c r="T2433" s="72">
        <f t="shared" si="911"/>
        <v>1.0374443300296048</v>
      </c>
      <c r="U2433" s="72">
        <f t="shared" si="912"/>
        <v>1.05</v>
      </c>
    </row>
    <row r="2434" spans="1:21" x14ac:dyDescent="0.25">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0.84416301969365426</v>
      </c>
      <c r="P2434" s="72">
        <f t="shared" si="907"/>
        <v>0</v>
      </c>
      <c r="Q2434" s="72">
        <f t="shared" si="908"/>
        <v>0.20833333333333334</v>
      </c>
      <c r="R2434" s="72">
        <f t="shared" si="909"/>
        <v>0.79166666666666663</v>
      </c>
      <c r="S2434" s="72">
        <f t="shared" si="910"/>
        <v>1.0427896125627494</v>
      </c>
      <c r="T2434" s="72">
        <f t="shared" si="911"/>
        <v>1.0378565452439181</v>
      </c>
      <c r="U2434" s="72">
        <f t="shared" si="912"/>
        <v>1.05</v>
      </c>
    </row>
    <row r="2435" spans="1:21" x14ac:dyDescent="0.25">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0.8444967177242888</v>
      </c>
      <c r="P2435" s="72">
        <f t="shared" si="907"/>
        <v>0</v>
      </c>
      <c r="Q2435" s="72">
        <f t="shared" si="908"/>
        <v>0.125</v>
      </c>
      <c r="R2435" s="72">
        <f t="shared" si="909"/>
        <v>0.875</v>
      </c>
      <c r="S2435" s="72">
        <f t="shared" si="910"/>
        <v>1.0432018277770627</v>
      </c>
      <c r="T2435" s="72">
        <f t="shared" si="911"/>
        <v>1.0382687604582315</v>
      </c>
      <c r="U2435" s="72">
        <f t="shared" si="912"/>
        <v>1.05</v>
      </c>
    </row>
    <row r="2436" spans="1:21" x14ac:dyDescent="0.25">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0.84483041575492335</v>
      </c>
      <c r="P2436" s="72">
        <f t="shared" si="907"/>
        <v>0</v>
      </c>
      <c r="Q2436" s="72">
        <f t="shared" si="908"/>
        <v>4.1666666666666664E-2</v>
      </c>
      <c r="R2436" s="72">
        <f t="shared" si="909"/>
        <v>0.95833333333333337</v>
      </c>
      <c r="S2436" s="72">
        <f t="shared" si="910"/>
        <v>1.0436140429913761</v>
      </c>
      <c r="T2436" s="72">
        <f t="shared" si="911"/>
        <v>1.0386809756725448</v>
      </c>
      <c r="U2436" s="72">
        <f t="shared" si="912"/>
        <v>1.05</v>
      </c>
    </row>
    <row r="2437" spans="1:21" x14ac:dyDescent="0.25">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0.84499999999999997</v>
      </c>
      <c r="P2437" s="72">
        <f t="shared" si="907"/>
        <v>0</v>
      </c>
      <c r="Q2437" s="72">
        <f t="shared" si="908"/>
        <v>0</v>
      </c>
      <c r="R2437" s="72">
        <f t="shared" si="909"/>
        <v>0.95833333333333337</v>
      </c>
      <c r="S2437" s="72">
        <f t="shared" si="910"/>
        <v>1.0438235294117648</v>
      </c>
      <c r="T2437" s="72">
        <f t="shared" si="911"/>
        <v>0.98492083923284846</v>
      </c>
      <c r="U2437" s="72">
        <f t="shared" si="912"/>
        <v>1.05</v>
      </c>
    </row>
    <row r="2438" spans="1:21" x14ac:dyDescent="0.25">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0.84499999999999997</v>
      </c>
      <c r="P2438" s="72">
        <f t="shared" si="907"/>
        <v>0</v>
      </c>
      <c r="Q2438" s="72">
        <f t="shared" si="908"/>
        <v>0</v>
      </c>
      <c r="R2438" s="72">
        <f t="shared" si="909"/>
        <v>0.875</v>
      </c>
      <c r="S2438" s="72">
        <f t="shared" si="910"/>
        <v>1.0438235294117648</v>
      </c>
      <c r="T2438" s="72">
        <f t="shared" si="911"/>
        <v>0.98530055348178669</v>
      </c>
      <c r="U2438" s="72">
        <f t="shared" si="912"/>
        <v>1.05</v>
      </c>
    </row>
    <row r="2439" spans="1:21" x14ac:dyDescent="0.25">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0.84499999999999997</v>
      </c>
      <c r="P2439" s="72">
        <f t="shared" si="907"/>
        <v>0</v>
      </c>
      <c r="Q2439" s="72">
        <f t="shared" si="908"/>
        <v>0</v>
      </c>
      <c r="R2439" s="72">
        <f t="shared" si="909"/>
        <v>0.79166666666666663</v>
      </c>
      <c r="S2439" s="72">
        <f t="shared" si="910"/>
        <v>1.0438235294117648</v>
      </c>
      <c r="T2439" s="72">
        <f t="shared" si="911"/>
        <v>0.9856802677307247</v>
      </c>
      <c r="U2439" s="72">
        <f t="shared" si="912"/>
        <v>1.05</v>
      </c>
    </row>
    <row r="2440" spans="1:21" x14ac:dyDescent="0.25">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0.84499999999999997</v>
      </c>
      <c r="P2440" s="72">
        <f t="shared" si="907"/>
        <v>0</v>
      </c>
      <c r="Q2440" s="72">
        <f t="shared" si="908"/>
        <v>0</v>
      </c>
      <c r="R2440" s="72">
        <f t="shared" si="909"/>
        <v>0.70833333333333337</v>
      </c>
      <c r="S2440" s="72">
        <f t="shared" si="910"/>
        <v>1.0438235294117648</v>
      </c>
      <c r="T2440" s="72">
        <f t="shared" si="911"/>
        <v>0.98607285364911823</v>
      </c>
      <c r="U2440" s="72">
        <f t="shared" si="912"/>
        <v>1.05</v>
      </c>
    </row>
    <row r="2441" spans="1:21" x14ac:dyDescent="0.25">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0.84499999999999997</v>
      </c>
      <c r="P2441" s="72">
        <f t="shared" si="907"/>
        <v>0</v>
      </c>
      <c r="Q2441" s="72">
        <f t="shared" si="908"/>
        <v>0</v>
      </c>
      <c r="R2441" s="72">
        <f t="shared" si="909"/>
        <v>0.625</v>
      </c>
      <c r="S2441" s="72">
        <f t="shared" si="910"/>
        <v>1.0438235294117648</v>
      </c>
      <c r="T2441" s="72">
        <f t="shared" si="911"/>
        <v>0.98646543956751187</v>
      </c>
      <c r="U2441" s="72">
        <f t="shared" si="912"/>
        <v>1.05</v>
      </c>
    </row>
    <row r="2442" spans="1:21" x14ac:dyDescent="0.25">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0.84499999999999997</v>
      </c>
      <c r="P2442" s="72">
        <f t="shared" si="907"/>
        <v>0</v>
      </c>
      <c r="Q2442" s="72">
        <f t="shared" si="908"/>
        <v>0</v>
      </c>
      <c r="R2442" s="72">
        <f t="shared" si="909"/>
        <v>0.54166666666666663</v>
      </c>
      <c r="S2442" s="72">
        <f t="shared" si="910"/>
        <v>1.0438235294117648</v>
      </c>
      <c r="T2442" s="72">
        <f t="shared" si="911"/>
        <v>0.98685802548590562</v>
      </c>
      <c r="U2442" s="72">
        <f t="shared" si="912"/>
        <v>1.05</v>
      </c>
    </row>
    <row r="2443" spans="1:21" x14ac:dyDescent="0.25">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0.84499999999999997</v>
      </c>
      <c r="P2443" s="72">
        <f t="shared" si="907"/>
        <v>0</v>
      </c>
      <c r="Q2443" s="72">
        <f t="shared" si="908"/>
        <v>0</v>
      </c>
      <c r="R2443" s="72">
        <f t="shared" si="909"/>
        <v>0.45833333333333331</v>
      </c>
      <c r="S2443" s="72">
        <f t="shared" si="910"/>
        <v>1.0438235294117648</v>
      </c>
      <c r="T2443" s="72">
        <f t="shared" si="911"/>
        <v>0.98725061140429915</v>
      </c>
      <c r="U2443" s="72">
        <f t="shared" si="912"/>
        <v>1.05</v>
      </c>
    </row>
    <row r="2444" spans="1:21" x14ac:dyDescent="0.25">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0.84499999999999997</v>
      </c>
      <c r="P2444" s="72">
        <f t="shared" si="907"/>
        <v>0</v>
      </c>
      <c r="Q2444" s="72">
        <f t="shared" si="908"/>
        <v>0</v>
      </c>
      <c r="R2444" s="72">
        <f t="shared" si="909"/>
        <v>0.375</v>
      </c>
      <c r="S2444" s="72">
        <f t="shared" si="910"/>
        <v>1.0438235294117648</v>
      </c>
      <c r="T2444" s="72">
        <f t="shared" si="911"/>
        <v>1.0370321148152915</v>
      </c>
      <c r="U2444" s="72">
        <f t="shared" si="912"/>
        <v>1.05</v>
      </c>
    </row>
    <row r="2445" spans="1:21" x14ac:dyDescent="0.25">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0.84499999999999997</v>
      </c>
      <c r="P2445" s="72">
        <f t="shared" si="907"/>
        <v>0</v>
      </c>
      <c r="Q2445" s="72">
        <f t="shared" si="908"/>
        <v>0</v>
      </c>
      <c r="R2445" s="72">
        <f t="shared" si="909"/>
        <v>0.29166666666666669</v>
      </c>
      <c r="S2445" s="72">
        <f t="shared" si="910"/>
        <v>1.0438235294117648</v>
      </c>
      <c r="T2445" s="72">
        <f t="shared" si="911"/>
        <v>1.0374443300296048</v>
      </c>
      <c r="U2445" s="72">
        <f t="shared" si="912"/>
        <v>1.05</v>
      </c>
    </row>
    <row r="2446" spans="1:21" x14ac:dyDescent="0.25">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0.84499999999999997</v>
      </c>
      <c r="P2446" s="72">
        <f t="shared" si="907"/>
        <v>0</v>
      </c>
      <c r="Q2446" s="72">
        <f t="shared" si="908"/>
        <v>0</v>
      </c>
      <c r="R2446" s="72">
        <f t="shared" si="909"/>
        <v>0.20833333333333334</v>
      </c>
      <c r="S2446" s="72">
        <f t="shared" si="910"/>
        <v>1.0438235294117648</v>
      </c>
      <c r="T2446" s="72">
        <f t="shared" si="911"/>
        <v>1.0378565452439181</v>
      </c>
      <c r="U2446" s="72">
        <f t="shared" si="912"/>
        <v>1.05</v>
      </c>
    </row>
    <row r="2447" spans="1:21" x14ac:dyDescent="0.25">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0.84499999999999997</v>
      </c>
      <c r="P2447" s="72">
        <f t="shared" si="907"/>
        <v>0</v>
      </c>
      <c r="Q2447" s="72">
        <f t="shared" si="908"/>
        <v>0</v>
      </c>
      <c r="R2447" s="72">
        <f t="shared" si="909"/>
        <v>0.125</v>
      </c>
      <c r="S2447" s="72">
        <f t="shared" si="910"/>
        <v>1.0438235294117648</v>
      </c>
      <c r="T2447" s="72">
        <f t="shared" si="911"/>
        <v>1.0382687604582315</v>
      </c>
      <c r="U2447" s="72">
        <f t="shared" si="912"/>
        <v>1.05</v>
      </c>
    </row>
    <row r="2448" spans="1:21" x14ac:dyDescent="0.25">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0.84499999999999997</v>
      </c>
      <c r="P2448" s="72">
        <f t="shared" si="907"/>
        <v>0</v>
      </c>
      <c r="Q2448" s="72">
        <f t="shared" si="908"/>
        <v>0</v>
      </c>
      <c r="R2448" s="72">
        <f t="shared" si="909"/>
        <v>4.1666666666666664E-2</v>
      </c>
      <c r="S2448" s="72">
        <f t="shared" si="910"/>
        <v>1.0438235294117648</v>
      </c>
      <c r="T2448" s="72">
        <f t="shared" si="911"/>
        <v>1.0386809756725448</v>
      </c>
      <c r="U2448" s="72">
        <f t="shared" si="912"/>
        <v>1.05</v>
      </c>
    </row>
    <row r="2449" spans="1:21" x14ac:dyDescent="0.25">
      <c r="A2449" s="77" t="s">
        <v>1209</v>
      </c>
      <c r="B2449" s="50">
        <f>EXP(SUMPRODUCT((rl_key=$A$2398)*(rl_cons="Y")*rl_ln1p))</f>
        <v>1.05</v>
      </c>
      <c r="C2449" s="50">
        <f>SUMPRODUCT($H$2401:$H$2448,$P$2401:$P$2448,$U$2401:$U$2448)/SUMPRODUCT($H$2401:$H$2448,$P$2401:$P$2448)</f>
        <v>1.0043402777777779</v>
      </c>
      <c r="D2449" s="50">
        <f>SUMPRODUCT($H$2401:$H$2448,$Q$2401:$Q$2448,$U$2401:$U$2448)/SUMPRODUCT($H$2401:$H$2448,$Q$2401:$Q$2448)</f>
        <v>1.0414930555555555</v>
      </c>
      <c r="E2449" s="50">
        <f>SUMPRODUCT($H$2401:$H$2448,$R$2401:$R$2448,$U$2401:$U$2448)/SUMPRODUCT($H$2401:$H$2448,$R$2401:$R$2448)</f>
        <v>1.05</v>
      </c>
      <c r="F2449" s="169">
        <f>SUMPRODUCT($H$2401:$H$2448,$Q$2401:$Q$2448,$O$2401:$O$2448)/SUMPRODUCT($H$2401:$H$2448,$Q$2401:$Q$2448)</f>
        <v>0.84099790299051769</v>
      </c>
      <c r="G2449" s="169">
        <f>SUMPRODUCT($H$2401:$H$2448,$R$2401:$R$2448,$O$2401:$O$2448)/SUMPRODUCT($H$2401:$H$2448,$R$2401:$R$2448)</f>
        <v>0.84432817818502282</v>
      </c>
    </row>
    <row r="2452" spans="1:21" x14ac:dyDescent="0.25">
      <c r="A2452" s="77" t="str">
        <f>INDEX(lr_key,45)</f>
        <v>BU-C|CO</v>
      </c>
      <c r="B2452" s="77" t="str">
        <f>INDEX(lr_state,45)</f>
        <v>CO</v>
      </c>
      <c r="C2452" s="52">
        <f>nr_TermMonths</f>
        <v>12</v>
      </c>
      <c r="D2452" s="52">
        <f>IF(COUNTIF(se_state,$B2452)=0,0,MATCH($B2452,se_state,0))</f>
        <v>0</v>
      </c>
      <c r="E2452" s="54">
        <f>IF($D2452=0,0,INDEX(se_sum,$D2452))</f>
        <v>0</v>
      </c>
      <c r="F2452" s="169">
        <f>IF(N(INDEX(lr_mind,45))=0,1,INDEX(lr_mind,45))</f>
        <v>0.85</v>
      </c>
      <c r="G2452" s="169">
        <f>IF(N(INDEX(lr_m0,45))=0,1,INDEX(lr_m0,45))</f>
        <v>0.84</v>
      </c>
      <c r="H2452" s="51">
        <f>IF(N(INDEX(lr_m0asof,45))=0,DATE(nr_PlanYear-1,10,1),INDEX(lr_m0asof,45))</f>
        <v>46295</v>
      </c>
      <c r="I2452" s="169">
        <f>IF(N(INDEX(lr_m1,45))=0,1,INDEX(lr_m1,45))</f>
        <v>0.86</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25">
      <c r="A2453" s="77">
        <f>EDATE($H$2452,-12)+1</f>
        <v>45931</v>
      </c>
      <c r="B2453" s="77">
        <f>$H$2452+1</f>
        <v>46296</v>
      </c>
      <c r="C2453" s="77">
        <f>DATE(nr_PlanYear,12,31)+1</f>
        <v>46753</v>
      </c>
      <c r="D2453" s="77">
        <f>DATE(nr_PlanYear+1,12,31)+1</f>
        <v>47119</v>
      </c>
      <c r="E2453" s="77">
        <f>IF(N($J$2452)=0,$F$2453-($G$2453-$F$2453)/($C$2453-$B$2453)*($B$2453-$A$2453),$J$2452)</f>
        <v>0.8240262582056892</v>
      </c>
      <c r="F2453" s="77">
        <f>$G$2452</f>
        <v>0.84</v>
      </c>
      <c r="G2453" s="77">
        <f>$I$2452</f>
        <v>0.86</v>
      </c>
      <c r="H2453" s="77">
        <f>IF(N($K$2452)=0,$I$2452,$K$2452)</f>
        <v>0.86</v>
      </c>
      <c r="I2453" s="77">
        <f>($F$2453-$E$2453)/($B$2453-$A$2453)</f>
        <v>4.3763676148796628E-5</v>
      </c>
      <c r="J2453" s="77">
        <f>($G$2453-$F$2453)/($C$2453-$B$2453)</f>
        <v>4.376367614879654E-5</v>
      </c>
      <c r="K2453" s="77">
        <f>($H$2453-$G$2453)/($D$2453-$C$2453)</f>
        <v>0</v>
      </c>
    </row>
    <row r="2454" spans="1:21" ht="24" x14ac:dyDescent="0.25">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25">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0.81275711159737407</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0.95618483717338132</v>
      </c>
      <c r="T2455" s="72">
        <f t="shared" ref="T2455:T2502" si="931">IF($G2455&lt;nr_MStartP,$S2455,$T2443*(1+IF($G2455&lt;nr_MStartP1,$M$2452,$N$2452)))</f>
        <v>0.95618483717338132</v>
      </c>
      <c r="U2455" s="72">
        <f t="shared" ref="U2455:U2502" si="932">IF($L$2452,$T2455,$N2455)</f>
        <v>1</v>
      </c>
    </row>
    <row r="2456" spans="1:21" x14ac:dyDescent="0.25">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0.81404814004376358</v>
      </c>
      <c r="P2456" s="72">
        <f t="shared" si="927"/>
        <v>0.125</v>
      </c>
      <c r="Q2456" s="72">
        <f t="shared" si="928"/>
        <v>0</v>
      </c>
      <c r="R2456" s="72">
        <f t="shared" si="929"/>
        <v>0</v>
      </c>
      <c r="S2456" s="72">
        <f t="shared" si="930"/>
        <v>0.9577036941691337</v>
      </c>
      <c r="T2456" s="72">
        <f t="shared" si="931"/>
        <v>0.9577036941691337</v>
      </c>
      <c r="U2456" s="72">
        <f t="shared" si="932"/>
        <v>1</v>
      </c>
    </row>
    <row r="2457" spans="1:21" x14ac:dyDescent="0.25">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0.81533916849015309</v>
      </c>
      <c r="P2457" s="72">
        <f t="shared" si="927"/>
        <v>0.20833333333333337</v>
      </c>
      <c r="Q2457" s="72">
        <f t="shared" si="928"/>
        <v>0</v>
      </c>
      <c r="R2457" s="72">
        <f t="shared" si="929"/>
        <v>0</v>
      </c>
      <c r="S2457" s="72">
        <f t="shared" si="930"/>
        <v>0.95922255116488597</v>
      </c>
      <c r="T2457" s="72">
        <f t="shared" si="931"/>
        <v>0.95922255116488597</v>
      </c>
      <c r="U2457" s="72">
        <f t="shared" si="932"/>
        <v>1</v>
      </c>
    </row>
    <row r="2458" spans="1:21" x14ac:dyDescent="0.25">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0.81667396061269137</v>
      </c>
      <c r="P2458" s="72">
        <f t="shared" si="927"/>
        <v>0.29166666666666663</v>
      </c>
      <c r="Q2458" s="72">
        <f t="shared" si="928"/>
        <v>0</v>
      </c>
      <c r="R2458" s="72">
        <f t="shared" si="929"/>
        <v>0</v>
      </c>
      <c r="S2458" s="72">
        <f t="shared" si="930"/>
        <v>0.96079289483846042</v>
      </c>
      <c r="T2458" s="72">
        <f t="shared" si="931"/>
        <v>0.96079289483846042</v>
      </c>
      <c r="U2458" s="72">
        <f t="shared" si="932"/>
        <v>1</v>
      </c>
    </row>
    <row r="2459" spans="1:21" x14ac:dyDescent="0.25">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0.81800875273522966</v>
      </c>
      <c r="P2459" s="72">
        <f t="shared" si="927"/>
        <v>0.375</v>
      </c>
      <c r="Q2459" s="72">
        <f t="shared" si="928"/>
        <v>0</v>
      </c>
      <c r="R2459" s="72">
        <f t="shared" si="929"/>
        <v>0</v>
      </c>
      <c r="S2459" s="72">
        <f t="shared" si="930"/>
        <v>0.96236323851203487</v>
      </c>
      <c r="T2459" s="72">
        <f t="shared" si="931"/>
        <v>0.96236323851203487</v>
      </c>
      <c r="U2459" s="72">
        <f t="shared" si="932"/>
        <v>1</v>
      </c>
    </row>
    <row r="2460" spans="1:21" x14ac:dyDescent="0.25">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0.81934354485776795</v>
      </c>
      <c r="P2460" s="72">
        <f t="shared" si="927"/>
        <v>0.45833333333333337</v>
      </c>
      <c r="Q2460" s="72">
        <f t="shared" si="928"/>
        <v>0</v>
      </c>
      <c r="R2460" s="72">
        <f t="shared" si="929"/>
        <v>0</v>
      </c>
      <c r="S2460" s="72">
        <f t="shared" si="930"/>
        <v>0.96393358218560943</v>
      </c>
      <c r="T2460" s="72">
        <f t="shared" si="931"/>
        <v>0.96393358218560943</v>
      </c>
      <c r="U2460" s="72">
        <f t="shared" si="932"/>
        <v>1</v>
      </c>
    </row>
    <row r="2461" spans="1:21" x14ac:dyDescent="0.25">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0.82067833698030623</v>
      </c>
      <c r="P2461" s="72">
        <f t="shared" si="927"/>
        <v>0.54166666666666674</v>
      </c>
      <c r="Q2461" s="72">
        <f t="shared" si="928"/>
        <v>0</v>
      </c>
      <c r="R2461" s="72">
        <f t="shared" si="929"/>
        <v>0</v>
      </c>
      <c r="S2461" s="72">
        <f t="shared" si="930"/>
        <v>0.96550392585918388</v>
      </c>
      <c r="T2461" s="72">
        <f t="shared" si="931"/>
        <v>0.96550392585918388</v>
      </c>
      <c r="U2461" s="72">
        <f t="shared" si="932"/>
        <v>1</v>
      </c>
    </row>
    <row r="2462" spans="1:21" x14ac:dyDescent="0.25">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0.82203501094091891</v>
      </c>
      <c r="P2462" s="72">
        <f t="shared" si="927"/>
        <v>0.625</v>
      </c>
      <c r="Q2462" s="72">
        <f t="shared" si="928"/>
        <v>0</v>
      </c>
      <c r="R2462" s="72">
        <f t="shared" si="929"/>
        <v>0</v>
      </c>
      <c r="S2462" s="72">
        <f t="shared" si="930"/>
        <v>0.96710001287166936</v>
      </c>
      <c r="T2462" s="72">
        <f t="shared" si="931"/>
        <v>0.96710001287166936</v>
      </c>
      <c r="U2462" s="72">
        <f t="shared" si="932"/>
        <v>1</v>
      </c>
    </row>
    <row r="2463" spans="1:21" x14ac:dyDescent="0.25">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0.8233698030634572</v>
      </c>
      <c r="P2463" s="72">
        <f t="shared" si="927"/>
        <v>0.70833333333333326</v>
      </c>
      <c r="Q2463" s="72">
        <f t="shared" si="928"/>
        <v>0</v>
      </c>
      <c r="R2463" s="72">
        <f t="shared" si="929"/>
        <v>0</v>
      </c>
      <c r="S2463" s="72">
        <f t="shared" si="930"/>
        <v>0.9686703565452438</v>
      </c>
      <c r="T2463" s="72">
        <f t="shared" si="931"/>
        <v>0.9686703565452438</v>
      </c>
      <c r="U2463" s="72">
        <f t="shared" si="932"/>
        <v>1</v>
      </c>
    </row>
    <row r="2464" spans="1:21" x14ac:dyDescent="0.25">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0.82470459518599559</v>
      </c>
      <c r="P2464" s="72">
        <f t="shared" si="927"/>
        <v>0.79166666666666663</v>
      </c>
      <c r="Q2464" s="72">
        <f t="shared" si="928"/>
        <v>0</v>
      </c>
      <c r="R2464" s="72">
        <f t="shared" si="929"/>
        <v>0</v>
      </c>
      <c r="S2464" s="72">
        <f t="shared" si="930"/>
        <v>0.97024070021881836</v>
      </c>
      <c r="T2464" s="72">
        <f t="shared" si="931"/>
        <v>0.97024070021881836</v>
      </c>
      <c r="U2464" s="72">
        <f t="shared" si="932"/>
        <v>1</v>
      </c>
    </row>
    <row r="2465" spans="1:21" x14ac:dyDescent="0.25">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0.82603938730853388</v>
      </c>
      <c r="P2465" s="72">
        <f t="shared" si="927"/>
        <v>0.875</v>
      </c>
      <c r="Q2465" s="72">
        <f t="shared" si="928"/>
        <v>0</v>
      </c>
      <c r="R2465" s="72">
        <f t="shared" si="929"/>
        <v>0</v>
      </c>
      <c r="S2465" s="72">
        <f t="shared" si="930"/>
        <v>0.97181104389239281</v>
      </c>
      <c r="T2465" s="72">
        <f t="shared" si="931"/>
        <v>0.97181104389239281</v>
      </c>
      <c r="U2465" s="72">
        <f t="shared" si="932"/>
        <v>1</v>
      </c>
    </row>
    <row r="2466" spans="1:21" x14ac:dyDescent="0.25">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0.82737417943107217</v>
      </c>
      <c r="P2466" s="72">
        <f t="shared" si="927"/>
        <v>0.95833333333333337</v>
      </c>
      <c r="Q2466" s="72">
        <f t="shared" si="928"/>
        <v>0</v>
      </c>
      <c r="R2466" s="72">
        <f t="shared" si="929"/>
        <v>0</v>
      </c>
      <c r="S2466" s="72">
        <f t="shared" si="930"/>
        <v>0.97338138756596726</v>
      </c>
      <c r="T2466" s="72">
        <f t="shared" si="931"/>
        <v>0.97338138756596726</v>
      </c>
      <c r="U2466" s="72">
        <f t="shared" si="932"/>
        <v>1</v>
      </c>
    </row>
    <row r="2467" spans="1:21" x14ac:dyDescent="0.25">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0.82873085339168484</v>
      </c>
      <c r="P2467" s="72">
        <f t="shared" si="927"/>
        <v>0.95833333333333337</v>
      </c>
      <c r="Q2467" s="72">
        <f t="shared" si="928"/>
        <v>4.166666666666663E-2</v>
      </c>
      <c r="R2467" s="72">
        <f t="shared" si="929"/>
        <v>0</v>
      </c>
      <c r="S2467" s="72">
        <f t="shared" si="930"/>
        <v>0.97497747457845274</v>
      </c>
      <c r="T2467" s="72">
        <f t="shared" si="931"/>
        <v>0.97497747457845274</v>
      </c>
      <c r="U2467" s="72">
        <f t="shared" si="932"/>
        <v>1</v>
      </c>
    </row>
    <row r="2468" spans="1:21" x14ac:dyDescent="0.25">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0.83002188183807435</v>
      </c>
      <c r="P2468" s="72">
        <f t="shared" si="927"/>
        <v>0.875</v>
      </c>
      <c r="Q2468" s="72">
        <f t="shared" si="928"/>
        <v>0.125</v>
      </c>
      <c r="R2468" s="72">
        <f t="shared" si="929"/>
        <v>0</v>
      </c>
      <c r="S2468" s="72">
        <f t="shared" si="930"/>
        <v>0.97649633157420512</v>
      </c>
      <c r="T2468" s="72">
        <f t="shared" si="931"/>
        <v>0.97649633157420512</v>
      </c>
      <c r="U2468" s="72">
        <f t="shared" si="932"/>
        <v>1</v>
      </c>
    </row>
    <row r="2469" spans="1:21" x14ac:dyDescent="0.25">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0.83131291028446386</v>
      </c>
      <c r="P2469" s="72">
        <f t="shared" si="927"/>
        <v>0.79166666666666663</v>
      </c>
      <c r="Q2469" s="72">
        <f t="shared" si="928"/>
        <v>0.20833333333333337</v>
      </c>
      <c r="R2469" s="72">
        <f t="shared" si="929"/>
        <v>0</v>
      </c>
      <c r="S2469" s="72">
        <f t="shared" si="930"/>
        <v>0.97801518856995751</v>
      </c>
      <c r="T2469" s="72">
        <f t="shared" si="931"/>
        <v>0.97801518856995751</v>
      </c>
      <c r="U2469" s="72">
        <f t="shared" si="932"/>
        <v>1</v>
      </c>
    </row>
    <row r="2470" spans="1:21" x14ac:dyDescent="0.25">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0.83264770240700214</v>
      </c>
      <c r="P2470" s="72">
        <f t="shared" si="927"/>
        <v>0.70833333333333337</v>
      </c>
      <c r="Q2470" s="72">
        <f t="shared" si="928"/>
        <v>0.29166666666666663</v>
      </c>
      <c r="R2470" s="72">
        <f t="shared" si="929"/>
        <v>0</v>
      </c>
      <c r="S2470" s="72">
        <f t="shared" si="930"/>
        <v>0.97958553224353195</v>
      </c>
      <c r="T2470" s="72">
        <f t="shared" si="931"/>
        <v>0.97958553224353195</v>
      </c>
      <c r="U2470" s="72">
        <f t="shared" si="932"/>
        <v>1</v>
      </c>
    </row>
    <row r="2471" spans="1:21" x14ac:dyDescent="0.25">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0.83398249452954043</v>
      </c>
      <c r="P2471" s="72">
        <f t="shared" si="927"/>
        <v>0.625</v>
      </c>
      <c r="Q2471" s="72">
        <f t="shared" si="928"/>
        <v>0.375</v>
      </c>
      <c r="R2471" s="72">
        <f t="shared" si="929"/>
        <v>0</v>
      </c>
      <c r="S2471" s="72">
        <f t="shared" si="930"/>
        <v>0.9811558759171064</v>
      </c>
      <c r="T2471" s="72">
        <f t="shared" si="931"/>
        <v>0.9811558759171064</v>
      </c>
      <c r="U2471" s="72">
        <f t="shared" si="932"/>
        <v>1</v>
      </c>
    </row>
    <row r="2472" spans="1:21" x14ac:dyDescent="0.25">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0.83531728665207872</v>
      </c>
      <c r="P2472" s="72">
        <f t="shared" si="927"/>
        <v>0.54166666666666663</v>
      </c>
      <c r="Q2472" s="72">
        <f t="shared" si="928"/>
        <v>0.45833333333333337</v>
      </c>
      <c r="R2472" s="72">
        <f t="shared" si="929"/>
        <v>0</v>
      </c>
      <c r="S2472" s="72">
        <f t="shared" si="930"/>
        <v>0.98272621959068085</v>
      </c>
      <c r="T2472" s="72">
        <f t="shared" si="931"/>
        <v>0.98272621959068085</v>
      </c>
      <c r="U2472" s="72">
        <f t="shared" si="932"/>
        <v>1</v>
      </c>
    </row>
    <row r="2473" spans="1:21" x14ac:dyDescent="0.25">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0.836652078774617</v>
      </c>
      <c r="P2473" s="72">
        <f t="shared" si="927"/>
        <v>0.45833333333333331</v>
      </c>
      <c r="Q2473" s="72">
        <f t="shared" si="928"/>
        <v>0.54166666666666674</v>
      </c>
      <c r="R2473" s="72">
        <f t="shared" si="929"/>
        <v>0</v>
      </c>
      <c r="S2473" s="72">
        <f t="shared" si="930"/>
        <v>0.9842965632642553</v>
      </c>
      <c r="T2473" s="72">
        <f t="shared" si="931"/>
        <v>0.9842965632642553</v>
      </c>
      <c r="U2473" s="72">
        <f t="shared" si="932"/>
        <v>1</v>
      </c>
    </row>
    <row r="2474" spans="1:21" x14ac:dyDescent="0.25">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0.83800875273522968</v>
      </c>
      <c r="P2474" s="72">
        <f t="shared" si="927"/>
        <v>0.375</v>
      </c>
      <c r="Q2474" s="72">
        <f t="shared" si="928"/>
        <v>0.625</v>
      </c>
      <c r="R2474" s="72">
        <f t="shared" si="929"/>
        <v>0</v>
      </c>
      <c r="S2474" s="72">
        <f t="shared" si="930"/>
        <v>0.98589265027674078</v>
      </c>
      <c r="T2474" s="72">
        <f t="shared" si="931"/>
        <v>0.98589265027674078</v>
      </c>
      <c r="U2474" s="72">
        <f t="shared" si="932"/>
        <v>1</v>
      </c>
    </row>
    <row r="2475" spans="1:21" x14ac:dyDescent="0.25">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0.83934354485776796</v>
      </c>
      <c r="P2475" s="72">
        <f t="shared" si="927"/>
        <v>0.29166666666666669</v>
      </c>
      <c r="Q2475" s="72">
        <f t="shared" si="928"/>
        <v>0.70833333333333326</v>
      </c>
      <c r="R2475" s="72">
        <f t="shared" si="929"/>
        <v>0</v>
      </c>
      <c r="S2475" s="72">
        <f t="shared" si="930"/>
        <v>0.98746299395031523</v>
      </c>
      <c r="T2475" s="72">
        <f t="shared" si="931"/>
        <v>0.98746299395031523</v>
      </c>
      <c r="U2475" s="72">
        <f t="shared" si="932"/>
        <v>1</v>
      </c>
    </row>
    <row r="2476" spans="1:21" x14ac:dyDescent="0.25">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0.84067833698030636</v>
      </c>
      <c r="P2476" s="72">
        <f t="shared" si="927"/>
        <v>0.20833333333333334</v>
      </c>
      <c r="Q2476" s="72">
        <f t="shared" si="928"/>
        <v>0.79166666666666663</v>
      </c>
      <c r="R2476" s="72">
        <f t="shared" si="929"/>
        <v>0</v>
      </c>
      <c r="S2476" s="72">
        <f t="shared" si="930"/>
        <v>0.9890333376238899</v>
      </c>
      <c r="T2476" s="72">
        <f t="shared" si="931"/>
        <v>0.9890333376238899</v>
      </c>
      <c r="U2476" s="72">
        <f t="shared" si="932"/>
        <v>1</v>
      </c>
    </row>
    <row r="2477" spans="1:21" x14ac:dyDescent="0.25">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0.84201312910284465</v>
      </c>
      <c r="P2477" s="72">
        <f t="shared" si="927"/>
        <v>0.125</v>
      </c>
      <c r="Q2477" s="72">
        <f t="shared" si="928"/>
        <v>0.875</v>
      </c>
      <c r="R2477" s="72">
        <f t="shared" si="929"/>
        <v>0</v>
      </c>
      <c r="S2477" s="72">
        <f t="shared" si="930"/>
        <v>0.99060368129746434</v>
      </c>
      <c r="T2477" s="72">
        <f t="shared" si="931"/>
        <v>0.99060368129746434</v>
      </c>
      <c r="U2477" s="72">
        <f t="shared" si="932"/>
        <v>1</v>
      </c>
    </row>
    <row r="2478" spans="1:21" x14ac:dyDescent="0.25">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0.84334792122538293</v>
      </c>
      <c r="P2478" s="72">
        <f t="shared" si="927"/>
        <v>4.1666666666666664E-2</v>
      </c>
      <c r="Q2478" s="72">
        <f t="shared" si="928"/>
        <v>0.95833333333333337</v>
      </c>
      <c r="R2478" s="72">
        <f t="shared" si="929"/>
        <v>0</v>
      </c>
      <c r="S2478" s="72">
        <f t="shared" si="930"/>
        <v>0.99217402497103879</v>
      </c>
      <c r="T2478" s="72">
        <f t="shared" si="931"/>
        <v>0.99217402497103879</v>
      </c>
      <c r="U2478" s="72">
        <f t="shared" si="932"/>
        <v>1</v>
      </c>
    </row>
    <row r="2479" spans="1:21" x14ac:dyDescent="0.25">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0.84470459518599561</v>
      </c>
      <c r="P2479" s="72">
        <f t="shared" si="927"/>
        <v>0</v>
      </c>
      <c r="Q2479" s="72">
        <f t="shared" si="928"/>
        <v>0.95833333333333337</v>
      </c>
      <c r="R2479" s="72">
        <f t="shared" si="929"/>
        <v>4.166666666666663E-2</v>
      </c>
      <c r="S2479" s="72">
        <f t="shared" si="930"/>
        <v>0.99377011198352427</v>
      </c>
      <c r="T2479" s="72">
        <f t="shared" si="931"/>
        <v>0.97497747457845274</v>
      </c>
      <c r="U2479" s="72">
        <f t="shared" si="932"/>
        <v>1</v>
      </c>
    </row>
    <row r="2480" spans="1:21" x14ac:dyDescent="0.25">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0.84599562363238512</v>
      </c>
      <c r="P2480" s="72">
        <f t="shared" si="927"/>
        <v>0</v>
      </c>
      <c r="Q2480" s="72">
        <f t="shared" si="928"/>
        <v>0.875</v>
      </c>
      <c r="R2480" s="72">
        <f t="shared" si="929"/>
        <v>0.125</v>
      </c>
      <c r="S2480" s="72">
        <f t="shared" si="930"/>
        <v>0.99528896897927666</v>
      </c>
      <c r="T2480" s="72">
        <f t="shared" si="931"/>
        <v>0.97649633157420512</v>
      </c>
      <c r="U2480" s="72">
        <f t="shared" si="932"/>
        <v>1</v>
      </c>
    </row>
    <row r="2481" spans="1:21" x14ac:dyDescent="0.25">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0.84728665207877463</v>
      </c>
      <c r="P2481" s="72">
        <f t="shared" si="927"/>
        <v>0</v>
      </c>
      <c r="Q2481" s="72">
        <f t="shared" si="928"/>
        <v>0.79166666666666663</v>
      </c>
      <c r="R2481" s="72">
        <f t="shared" si="929"/>
        <v>0.20833333333333337</v>
      </c>
      <c r="S2481" s="72">
        <f t="shared" si="930"/>
        <v>0.99680782597502904</v>
      </c>
      <c r="T2481" s="72">
        <f t="shared" si="931"/>
        <v>0.97801518856995751</v>
      </c>
      <c r="U2481" s="72">
        <f t="shared" si="932"/>
        <v>1</v>
      </c>
    </row>
    <row r="2482" spans="1:21" x14ac:dyDescent="0.25">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0.84862144420131291</v>
      </c>
      <c r="P2482" s="72">
        <f t="shared" si="927"/>
        <v>0</v>
      </c>
      <c r="Q2482" s="72">
        <f t="shared" si="928"/>
        <v>0.70833333333333337</v>
      </c>
      <c r="R2482" s="72">
        <f t="shared" si="929"/>
        <v>0.29166666666666663</v>
      </c>
      <c r="S2482" s="72">
        <f t="shared" si="930"/>
        <v>0.99837816964860349</v>
      </c>
      <c r="T2482" s="72">
        <f t="shared" si="931"/>
        <v>0.97958553224353195</v>
      </c>
      <c r="U2482" s="72">
        <f t="shared" si="932"/>
        <v>1</v>
      </c>
    </row>
    <row r="2483" spans="1:21" x14ac:dyDescent="0.25">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0.8499562363238512</v>
      </c>
      <c r="P2483" s="72">
        <f t="shared" si="927"/>
        <v>0</v>
      </c>
      <c r="Q2483" s="72">
        <f t="shared" si="928"/>
        <v>0.625</v>
      </c>
      <c r="R2483" s="72">
        <f t="shared" si="929"/>
        <v>0.375</v>
      </c>
      <c r="S2483" s="72">
        <f t="shared" si="930"/>
        <v>0.99994851332217793</v>
      </c>
      <c r="T2483" s="72">
        <f t="shared" si="931"/>
        <v>0.9811558759171064</v>
      </c>
      <c r="U2483" s="72">
        <f t="shared" si="932"/>
        <v>1</v>
      </c>
    </row>
    <row r="2484" spans="1:21" x14ac:dyDescent="0.25">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0.85129102844638949</v>
      </c>
      <c r="P2484" s="72">
        <f t="shared" si="927"/>
        <v>0</v>
      </c>
      <c r="Q2484" s="72">
        <f t="shared" si="928"/>
        <v>0.54166666666666663</v>
      </c>
      <c r="R2484" s="72">
        <f t="shared" si="929"/>
        <v>0.45833333333333337</v>
      </c>
      <c r="S2484" s="72">
        <f t="shared" si="930"/>
        <v>1.0015188569957523</v>
      </c>
      <c r="T2484" s="72">
        <f t="shared" si="931"/>
        <v>0.98272621959068085</v>
      </c>
      <c r="U2484" s="72">
        <f t="shared" si="932"/>
        <v>1</v>
      </c>
    </row>
    <row r="2485" spans="1:21" x14ac:dyDescent="0.25">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0.85262582056892777</v>
      </c>
      <c r="P2485" s="72">
        <f t="shared" si="927"/>
        <v>0</v>
      </c>
      <c r="Q2485" s="72">
        <f t="shared" si="928"/>
        <v>0.45833333333333331</v>
      </c>
      <c r="R2485" s="72">
        <f t="shared" si="929"/>
        <v>0.54166666666666674</v>
      </c>
      <c r="S2485" s="72">
        <f t="shared" si="930"/>
        <v>1.0030892006693268</v>
      </c>
      <c r="T2485" s="72">
        <f t="shared" si="931"/>
        <v>0.9842965632642553</v>
      </c>
      <c r="U2485" s="72">
        <f t="shared" si="932"/>
        <v>1</v>
      </c>
    </row>
    <row r="2486" spans="1:21" x14ac:dyDescent="0.25">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0.85398249452954045</v>
      </c>
      <c r="P2486" s="72">
        <f t="shared" si="927"/>
        <v>0</v>
      </c>
      <c r="Q2486" s="72">
        <f t="shared" si="928"/>
        <v>0.375</v>
      </c>
      <c r="R2486" s="72">
        <f t="shared" si="929"/>
        <v>0.625</v>
      </c>
      <c r="S2486" s="72">
        <f t="shared" si="930"/>
        <v>1.0046852876818124</v>
      </c>
      <c r="T2486" s="72">
        <f t="shared" si="931"/>
        <v>0.98589265027674078</v>
      </c>
      <c r="U2486" s="72">
        <f t="shared" si="932"/>
        <v>1</v>
      </c>
    </row>
    <row r="2487" spans="1:21" x14ac:dyDescent="0.25">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0.85531728665207873</v>
      </c>
      <c r="P2487" s="72">
        <f t="shared" si="927"/>
        <v>0</v>
      </c>
      <c r="Q2487" s="72">
        <f t="shared" si="928"/>
        <v>0.29166666666666669</v>
      </c>
      <c r="R2487" s="72">
        <f t="shared" si="929"/>
        <v>0.70833333333333326</v>
      </c>
      <c r="S2487" s="72">
        <f t="shared" si="930"/>
        <v>1.0062556313553868</v>
      </c>
      <c r="T2487" s="72">
        <f t="shared" si="931"/>
        <v>0.98746299395031523</v>
      </c>
      <c r="U2487" s="72">
        <f t="shared" si="932"/>
        <v>1</v>
      </c>
    </row>
    <row r="2488" spans="1:21" x14ac:dyDescent="0.25">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0.85665207877461702</v>
      </c>
      <c r="P2488" s="72">
        <f t="shared" si="927"/>
        <v>0</v>
      </c>
      <c r="Q2488" s="72">
        <f t="shared" si="928"/>
        <v>0.20833333333333334</v>
      </c>
      <c r="R2488" s="72">
        <f t="shared" si="929"/>
        <v>0.79166666666666663</v>
      </c>
      <c r="S2488" s="72">
        <f t="shared" si="930"/>
        <v>1.0078259750289613</v>
      </c>
      <c r="T2488" s="72">
        <f t="shared" si="931"/>
        <v>0.9890333376238899</v>
      </c>
      <c r="U2488" s="72">
        <f t="shared" si="932"/>
        <v>1</v>
      </c>
    </row>
    <row r="2489" spans="1:21" x14ac:dyDescent="0.25">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0.85798687089715531</v>
      </c>
      <c r="P2489" s="72">
        <f t="shared" si="927"/>
        <v>0</v>
      </c>
      <c r="Q2489" s="72">
        <f t="shared" si="928"/>
        <v>0.125</v>
      </c>
      <c r="R2489" s="72">
        <f t="shared" si="929"/>
        <v>0.875</v>
      </c>
      <c r="S2489" s="72">
        <f t="shared" si="930"/>
        <v>1.0093963187025357</v>
      </c>
      <c r="T2489" s="72">
        <f t="shared" si="931"/>
        <v>0.99060368129746434</v>
      </c>
      <c r="U2489" s="72">
        <f t="shared" si="932"/>
        <v>1</v>
      </c>
    </row>
    <row r="2490" spans="1:21" x14ac:dyDescent="0.25">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0.85932166301969359</v>
      </c>
      <c r="P2490" s="72">
        <f t="shared" si="927"/>
        <v>0</v>
      </c>
      <c r="Q2490" s="72">
        <f t="shared" si="928"/>
        <v>4.1666666666666664E-2</v>
      </c>
      <c r="R2490" s="72">
        <f t="shared" si="929"/>
        <v>0.95833333333333337</v>
      </c>
      <c r="S2490" s="72">
        <f t="shared" si="930"/>
        <v>1.0109666623761102</v>
      </c>
      <c r="T2490" s="72">
        <f t="shared" si="931"/>
        <v>0.99217402497103879</v>
      </c>
      <c r="U2490" s="72">
        <f t="shared" si="932"/>
        <v>1</v>
      </c>
    </row>
    <row r="2491" spans="1:21" x14ac:dyDescent="0.25">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0.86</v>
      </c>
      <c r="P2491" s="72">
        <f t="shared" si="927"/>
        <v>0</v>
      </c>
      <c r="Q2491" s="72">
        <f t="shared" si="928"/>
        <v>0</v>
      </c>
      <c r="R2491" s="72">
        <f t="shared" si="929"/>
        <v>0.95833333333333337</v>
      </c>
      <c r="S2491" s="72">
        <f t="shared" si="930"/>
        <v>1.0117647058823529</v>
      </c>
      <c r="T2491" s="72">
        <f t="shared" si="931"/>
        <v>0.97497747457845274</v>
      </c>
      <c r="U2491" s="72">
        <f t="shared" si="932"/>
        <v>1</v>
      </c>
    </row>
    <row r="2492" spans="1:21" x14ac:dyDescent="0.25">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0.86</v>
      </c>
      <c r="P2492" s="72">
        <f t="shared" si="927"/>
        <v>0</v>
      </c>
      <c r="Q2492" s="72">
        <f t="shared" si="928"/>
        <v>0</v>
      </c>
      <c r="R2492" s="72">
        <f t="shared" si="929"/>
        <v>0.875</v>
      </c>
      <c r="S2492" s="72">
        <f t="shared" si="930"/>
        <v>1.0117647058823529</v>
      </c>
      <c r="T2492" s="72">
        <f t="shared" si="931"/>
        <v>0.97649633157420512</v>
      </c>
      <c r="U2492" s="72">
        <f t="shared" si="932"/>
        <v>1</v>
      </c>
    </row>
    <row r="2493" spans="1:21" x14ac:dyDescent="0.25">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0.86</v>
      </c>
      <c r="P2493" s="72">
        <f t="shared" si="927"/>
        <v>0</v>
      </c>
      <c r="Q2493" s="72">
        <f t="shared" si="928"/>
        <v>0</v>
      </c>
      <c r="R2493" s="72">
        <f t="shared" si="929"/>
        <v>0.79166666666666663</v>
      </c>
      <c r="S2493" s="72">
        <f t="shared" si="930"/>
        <v>1.0117647058823529</v>
      </c>
      <c r="T2493" s="72">
        <f t="shared" si="931"/>
        <v>0.97801518856995751</v>
      </c>
      <c r="U2493" s="72">
        <f t="shared" si="932"/>
        <v>1</v>
      </c>
    </row>
    <row r="2494" spans="1:21" x14ac:dyDescent="0.25">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0.86</v>
      </c>
      <c r="P2494" s="72">
        <f t="shared" si="927"/>
        <v>0</v>
      </c>
      <c r="Q2494" s="72">
        <f t="shared" si="928"/>
        <v>0</v>
      </c>
      <c r="R2494" s="72">
        <f t="shared" si="929"/>
        <v>0.70833333333333337</v>
      </c>
      <c r="S2494" s="72">
        <f t="shared" si="930"/>
        <v>1.0117647058823529</v>
      </c>
      <c r="T2494" s="72">
        <f t="shared" si="931"/>
        <v>0.97958553224353195</v>
      </c>
      <c r="U2494" s="72">
        <f t="shared" si="932"/>
        <v>1</v>
      </c>
    </row>
    <row r="2495" spans="1:21" x14ac:dyDescent="0.25">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0.86</v>
      </c>
      <c r="P2495" s="72">
        <f t="shared" si="927"/>
        <v>0</v>
      </c>
      <c r="Q2495" s="72">
        <f t="shared" si="928"/>
        <v>0</v>
      </c>
      <c r="R2495" s="72">
        <f t="shared" si="929"/>
        <v>0.625</v>
      </c>
      <c r="S2495" s="72">
        <f t="shared" si="930"/>
        <v>1.0117647058823529</v>
      </c>
      <c r="T2495" s="72">
        <f t="shared" si="931"/>
        <v>0.9811558759171064</v>
      </c>
      <c r="U2495" s="72">
        <f t="shared" si="932"/>
        <v>1</v>
      </c>
    </row>
    <row r="2496" spans="1:21" x14ac:dyDescent="0.25">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0.86</v>
      </c>
      <c r="P2496" s="72">
        <f t="shared" si="927"/>
        <v>0</v>
      </c>
      <c r="Q2496" s="72">
        <f t="shared" si="928"/>
        <v>0</v>
      </c>
      <c r="R2496" s="72">
        <f t="shared" si="929"/>
        <v>0.54166666666666663</v>
      </c>
      <c r="S2496" s="72">
        <f t="shared" si="930"/>
        <v>1.0117647058823529</v>
      </c>
      <c r="T2496" s="72">
        <f t="shared" si="931"/>
        <v>0.98272621959068085</v>
      </c>
      <c r="U2496" s="72">
        <f t="shared" si="932"/>
        <v>1</v>
      </c>
    </row>
    <row r="2497" spans="1:21" x14ac:dyDescent="0.25">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0.86</v>
      </c>
      <c r="P2497" s="72">
        <f t="shared" si="927"/>
        <v>0</v>
      </c>
      <c r="Q2497" s="72">
        <f t="shared" si="928"/>
        <v>0</v>
      </c>
      <c r="R2497" s="72">
        <f t="shared" si="929"/>
        <v>0.45833333333333331</v>
      </c>
      <c r="S2497" s="72">
        <f t="shared" si="930"/>
        <v>1.0117647058823529</v>
      </c>
      <c r="T2497" s="72">
        <f t="shared" si="931"/>
        <v>0.9842965632642553</v>
      </c>
      <c r="U2497" s="72">
        <f t="shared" si="932"/>
        <v>1</v>
      </c>
    </row>
    <row r="2498" spans="1:21" x14ac:dyDescent="0.25">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0.86</v>
      </c>
      <c r="P2498" s="72">
        <f t="shared" si="927"/>
        <v>0</v>
      </c>
      <c r="Q2498" s="72">
        <f t="shared" si="928"/>
        <v>0</v>
      </c>
      <c r="R2498" s="72">
        <f t="shared" si="929"/>
        <v>0.375</v>
      </c>
      <c r="S2498" s="72">
        <f t="shared" si="930"/>
        <v>1.0117647058823529</v>
      </c>
      <c r="T2498" s="72">
        <f t="shared" si="931"/>
        <v>0.98589265027674078</v>
      </c>
      <c r="U2498" s="72">
        <f t="shared" si="932"/>
        <v>1</v>
      </c>
    </row>
    <row r="2499" spans="1:21" x14ac:dyDescent="0.25">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0.86</v>
      </c>
      <c r="P2499" s="72">
        <f t="shared" si="927"/>
        <v>0</v>
      </c>
      <c r="Q2499" s="72">
        <f t="shared" si="928"/>
        <v>0</v>
      </c>
      <c r="R2499" s="72">
        <f t="shared" si="929"/>
        <v>0.29166666666666669</v>
      </c>
      <c r="S2499" s="72">
        <f t="shared" si="930"/>
        <v>1.0117647058823529</v>
      </c>
      <c r="T2499" s="72">
        <f t="shared" si="931"/>
        <v>0.98746299395031523</v>
      </c>
      <c r="U2499" s="72">
        <f t="shared" si="932"/>
        <v>1</v>
      </c>
    </row>
    <row r="2500" spans="1:21" x14ac:dyDescent="0.25">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0.86</v>
      </c>
      <c r="P2500" s="72">
        <f t="shared" si="927"/>
        <v>0</v>
      </c>
      <c r="Q2500" s="72">
        <f t="shared" si="928"/>
        <v>0</v>
      </c>
      <c r="R2500" s="72">
        <f t="shared" si="929"/>
        <v>0.20833333333333334</v>
      </c>
      <c r="S2500" s="72">
        <f t="shared" si="930"/>
        <v>1.0117647058823529</v>
      </c>
      <c r="T2500" s="72">
        <f t="shared" si="931"/>
        <v>0.9890333376238899</v>
      </c>
      <c r="U2500" s="72">
        <f t="shared" si="932"/>
        <v>1</v>
      </c>
    </row>
    <row r="2501" spans="1:21" x14ac:dyDescent="0.25">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0.86</v>
      </c>
      <c r="P2501" s="72">
        <f t="shared" si="927"/>
        <v>0</v>
      </c>
      <c r="Q2501" s="72">
        <f t="shared" si="928"/>
        <v>0</v>
      </c>
      <c r="R2501" s="72">
        <f t="shared" si="929"/>
        <v>0.125</v>
      </c>
      <c r="S2501" s="72">
        <f t="shared" si="930"/>
        <v>1.0117647058823529</v>
      </c>
      <c r="T2501" s="72">
        <f t="shared" si="931"/>
        <v>0.99060368129746434</v>
      </c>
      <c r="U2501" s="72">
        <f t="shared" si="932"/>
        <v>1</v>
      </c>
    </row>
    <row r="2502" spans="1:21" x14ac:dyDescent="0.25">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0.86</v>
      </c>
      <c r="P2502" s="72">
        <f t="shared" si="927"/>
        <v>0</v>
      </c>
      <c r="Q2502" s="72">
        <f t="shared" si="928"/>
        <v>0</v>
      </c>
      <c r="R2502" s="72">
        <f t="shared" si="929"/>
        <v>4.1666666666666664E-2</v>
      </c>
      <c r="S2502" s="72">
        <f t="shared" si="930"/>
        <v>1.0117647058823529</v>
      </c>
      <c r="T2502" s="72">
        <f t="shared" si="931"/>
        <v>0.99217402497103879</v>
      </c>
      <c r="U2502" s="72">
        <f t="shared" si="932"/>
        <v>1</v>
      </c>
    </row>
    <row r="2503" spans="1:21" x14ac:dyDescent="0.25">
      <c r="A2503" s="77" t="s">
        <v>1209</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0.84399161196207151</v>
      </c>
      <c r="G2503" s="169">
        <f>SUMPRODUCT($H$2455:$H$2502,$R$2455:$R$2502,$O$2455:$O$2502)/SUMPRODUCT($H$2455:$H$2502,$R$2455:$R$2502)</f>
        <v>0.85731271274009246</v>
      </c>
    </row>
    <row r="2506" spans="1:21" x14ac:dyDescent="0.25">
      <c r="A2506" s="77" t="str">
        <f>INDEX(lr_key,46)</f>
        <v>BU-C|CT</v>
      </c>
      <c r="B2506" s="77" t="str">
        <f>INDEX(lr_state,46)</f>
        <v>CT</v>
      </c>
      <c r="C2506" s="52">
        <f>nr_TermMonths</f>
        <v>12</v>
      </c>
      <c r="D2506" s="52">
        <f>IF(COUNTIF(se_state,$B2506)=0,0,MATCH($B2506,se_state,0))</f>
        <v>0</v>
      </c>
      <c r="E2506" s="54">
        <f>IF($D2506=0,0,INDEX(se_sum,$D2506))</f>
        <v>0</v>
      </c>
      <c r="F2506" s="169">
        <f>IF(N(INDEX(lr_mind,46))=0,1,INDEX(lr_mind,46))</f>
        <v>0.85</v>
      </c>
      <c r="G2506" s="169">
        <f>IF(N(INDEX(lr_m0,46))=0,1,INDEX(lr_m0,46))</f>
        <v>0.84</v>
      </c>
      <c r="H2506" s="51">
        <f>IF(N(INDEX(lr_m0asof,46))=0,DATE(nr_PlanYear-1,10,1),INDEX(lr_m0asof,46))</f>
        <v>46295</v>
      </c>
      <c r="I2506" s="169">
        <f>IF(N(INDEX(lr_m1,46))=0,1,INDEX(lr_m1,46))</f>
        <v>0.84</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25">
      <c r="A2507" s="77">
        <f>EDATE($H$2506,-12)+1</f>
        <v>45931</v>
      </c>
      <c r="B2507" s="77">
        <f>$H$2506+1</f>
        <v>46296</v>
      </c>
      <c r="C2507" s="77">
        <f>DATE(nr_PlanYear,12,31)+1</f>
        <v>46753</v>
      </c>
      <c r="D2507" s="77">
        <f>DATE(nr_PlanYear+1,12,31)+1</f>
        <v>47119</v>
      </c>
      <c r="E2507" s="77">
        <f>IF(N($J$2506)=0,$F$2507-($G$2507-$F$2507)/($C$2507-$B$2507)*($B$2507-$A$2507),$J$2506)</f>
        <v>0.84</v>
      </c>
      <c r="F2507" s="77">
        <f>$G$2506</f>
        <v>0.84</v>
      </c>
      <c r="G2507" s="77">
        <f>$I$2506</f>
        <v>0.84</v>
      </c>
      <c r="H2507" s="77">
        <f>IF(N($K$2506)=0,$I$2506,$K$2506)</f>
        <v>0.84</v>
      </c>
      <c r="I2507" s="77">
        <f>($F$2507-$E$2507)/($B$2507-$A$2507)</f>
        <v>0</v>
      </c>
      <c r="J2507" s="77">
        <f>($G$2507-$F$2507)/($C$2507-$B$2507)</f>
        <v>0</v>
      </c>
      <c r="K2507" s="77">
        <f>($H$2507-$G$2507)/($D$2507-$C$2507)</f>
        <v>0</v>
      </c>
    </row>
    <row r="2508" spans="1:21" ht="24" x14ac:dyDescent="0.25">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25">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0.84</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0.9882352941176471</v>
      </c>
      <c r="T2509" s="72">
        <f t="shared" ref="T2509:T2556" si="951">IF($G2509&lt;nr_MStartP,$S2509,$T2497*(1+IF($G2509&lt;nr_MStartP1,$M$2506,$N$2506)))</f>
        <v>0.9882352941176471</v>
      </c>
      <c r="U2509" s="72">
        <f t="shared" ref="U2509:U2556" si="952">IF($L$2506,$T2509,$N2509)</f>
        <v>1</v>
      </c>
    </row>
    <row r="2510" spans="1:21" x14ac:dyDescent="0.25">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0.84</v>
      </c>
      <c r="P2510" s="72">
        <f t="shared" si="947"/>
        <v>0.125</v>
      </c>
      <c r="Q2510" s="72">
        <f t="shared" si="948"/>
        <v>0</v>
      </c>
      <c r="R2510" s="72">
        <f t="shared" si="949"/>
        <v>0</v>
      </c>
      <c r="S2510" s="72">
        <f t="shared" si="950"/>
        <v>0.9882352941176471</v>
      </c>
      <c r="T2510" s="72">
        <f t="shared" si="951"/>
        <v>0.9882352941176471</v>
      </c>
      <c r="U2510" s="72">
        <f t="shared" si="952"/>
        <v>1</v>
      </c>
    </row>
    <row r="2511" spans="1:21" x14ac:dyDescent="0.25">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0.84</v>
      </c>
      <c r="P2511" s="72">
        <f t="shared" si="947"/>
        <v>0.20833333333333337</v>
      </c>
      <c r="Q2511" s="72">
        <f t="shared" si="948"/>
        <v>0</v>
      </c>
      <c r="R2511" s="72">
        <f t="shared" si="949"/>
        <v>0</v>
      </c>
      <c r="S2511" s="72">
        <f t="shared" si="950"/>
        <v>0.9882352941176471</v>
      </c>
      <c r="T2511" s="72">
        <f t="shared" si="951"/>
        <v>0.9882352941176471</v>
      </c>
      <c r="U2511" s="72">
        <f t="shared" si="952"/>
        <v>1</v>
      </c>
    </row>
    <row r="2512" spans="1:21" x14ac:dyDescent="0.25">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0.84</v>
      </c>
      <c r="P2512" s="72">
        <f t="shared" si="947"/>
        <v>0.29166666666666663</v>
      </c>
      <c r="Q2512" s="72">
        <f t="shared" si="948"/>
        <v>0</v>
      </c>
      <c r="R2512" s="72">
        <f t="shared" si="949"/>
        <v>0</v>
      </c>
      <c r="S2512" s="72">
        <f t="shared" si="950"/>
        <v>0.9882352941176471</v>
      </c>
      <c r="T2512" s="72">
        <f t="shared" si="951"/>
        <v>0.9882352941176471</v>
      </c>
      <c r="U2512" s="72">
        <f t="shared" si="952"/>
        <v>1</v>
      </c>
    </row>
    <row r="2513" spans="1:21" x14ac:dyDescent="0.25">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0.84</v>
      </c>
      <c r="P2513" s="72">
        <f t="shared" si="947"/>
        <v>0.375</v>
      </c>
      <c r="Q2513" s="72">
        <f t="shared" si="948"/>
        <v>0</v>
      </c>
      <c r="R2513" s="72">
        <f t="shared" si="949"/>
        <v>0</v>
      </c>
      <c r="S2513" s="72">
        <f t="shared" si="950"/>
        <v>0.9882352941176471</v>
      </c>
      <c r="T2513" s="72">
        <f t="shared" si="951"/>
        <v>0.9882352941176471</v>
      </c>
      <c r="U2513" s="72">
        <f t="shared" si="952"/>
        <v>1</v>
      </c>
    </row>
    <row r="2514" spans="1:21" x14ac:dyDescent="0.25">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0.84</v>
      </c>
      <c r="P2514" s="72">
        <f t="shared" si="947"/>
        <v>0.45833333333333337</v>
      </c>
      <c r="Q2514" s="72">
        <f t="shared" si="948"/>
        <v>0</v>
      </c>
      <c r="R2514" s="72">
        <f t="shared" si="949"/>
        <v>0</v>
      </c>
      <c r="S2514" s="72">
        <f t="shared" si="950"/>
        <v>0.9882352941176471</v>
      </c>
      <c r="T2514" s="72">
        <f t="shared" si="951"/>
        <v>0.9882352941176471</v>
      </c>
      <c r="U2514" s="72">
        <f t="shared" si="952"/>
        <v>1</v>
      </c>
    </row>
    <row r="2515" spans="1:21" x14ac:dyDescent="0.25">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0.84</v>
      </c>
      <c r="P2515" s="72">
        <f t="shared" si="947"/>
        <v>0.54166666666666674</v>
      </c>
      <c r="Q2515" s="72">
        <f t="shared" si="948"/>
        <v>0</v>
      </c>
      <c r="R2515" s="72">
        <f t="shared" si="949"/>
        <v>0</v>
      </c>
      <c r="S2515" s="72">
        <f t="shared" si="950"/>
        <v>0.9882352941176471</v>
      </c>
      <c r="T2515" s="72">
        <f t="shared" si="951"/>
        <v>0.9882352941176471</v>
      </c>
      <c r="U2515" s="72">
        <f t="shared" si="952"/>
        <v>1</v>
      </c>
    </row>
    <row r="2516" spans="1:21" x14ac:dyDescent="0.25">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0.84</v>
      </c>
      <c r="P2516" s="72">
        <f t="shared" si="947"/>
        <v>0.625</v>
      </c>
      <c r="Q2516" s="72">
        <f t="shared" si="948"/>
        <v>0</v>
      </c>
      <c r="R2516" s="72">
        <f t="shared" si="949"/>
        <v>0</v>
      </c>
      <c r="S2516" s="72">
        <f t="shared" si="950"/>
        <v>0.9882352941176471</v>
      </c>
      <c r="T2516" s="72">
        <f t="shared" si="951"/>
        <v>0.9882352941176471</v>
      </c>
      <c r="U2516" s="72">
        <f t="shared" si="952"/>
        <v>1</v>
      </c>
    </row>
    <row r="2517" spans="1:21" x14ac:dyDescent="0.25">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0.84</v>
      </c>
      <c r="P2517" s="72">
        <f t="shared" si="947"/>
        <v>0.70833333333333326</v>
      </c>
      <c r="Q2517" s="72">
        <f t="shared" si="948"/>
        <v>0</v>
      </c>
      <c r="R2517" s="72">
        <f t="shared" si="949"/>
        <v>0</v>
      </c>
      <c r="S2517" s="72">
        <f t="shared" si="950"/>
        <v>0.9882352941176471</v>
      </c>
      <c r="T2517" s="72">
        <f t="shared" si="951"/>
        <v>0.9882352941176471</v>
      </c>
      <c r="U2517" s="72">
        <f t="shared" si="952"/>
        <v>1</v>
      </c>
    </row>
    <row r="2518" spans="1:21" x14ac:dyDescent="0.25">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0.84</v>
      </c>
      <c r="P2518" s="72">
        <f t="shared" si="947"/>
        <v>0.79166666666666663</v>
      </c>
      <c r="Q2518" s="72">
        <f t="shared" si="948"/>
        <v>0</v>
      </c>
      <c r="R2518" s="72">
        <f t="shared" si="949"/>
        <v>0</v>
      </c>
      <c r="S2518" s="72">
        <f t="shared" si="950"/>
        <v>0.9882352941176471</v>
      </c>
      <c r="T2518" s="72">
        <f t="shared" si="951"/>
        <v>0.9882352941176471</v>
      </c>
      <c r="U2518" s="72">
        <f t="shared" si="952"/>
        <v>1</v>
      </c>
    </row>
    <row r="2519" spans="1:21" x14ac:dyDescent="0.25">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0.84</v>
      </c>
      <c r="P2519" s="72">
        <f t="shared" si="947"/>
        <v>0.875</v>
      </c>
      <c r="Q2519" s="72">
        <f t="shared" si="948"/>
        <v>0</v>
      </c>
      <c r="R2519" s="72">
        <f t="shared" si="949"/>
        <v>0</v>
      </c>
      <c r="S2519" s="72">
        <f t="shared" si="950"/>
        <v>0.9882352941176471</v>
      </c>
      <c r="T2519" s="72">
        <f t="shared" si="951"/>
        <v>0.9882352941176471</v>
      </c>
      <c r="U2519" s="72">
        <f t="shared" si="952"/>
        <v>1</v>
      </c>
    </row>
    <row r="2520" spans="1:21" x14ac:dyDescent="0.25">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0.84</v>
      </c>
      <c r="P2520" s="72">
        <f t="shared" si="947"/>
        <v>0.95833333333333337</v>
      </c>
      <c r="Q2520" s="72">
        <f t="shared" si="948"/>
        <v>0</v>
      </c>
      <c r="R2520" s="72">
        <f t="shared" si="949"/>
        <v>0</v>
      </c>
      <c r="S2520" s="72">
        <f t="shared" si="950"/>
        <v>0.9882352941176471</v>
      </c>
      <c r="T2520" s="72">
        <f t="shared" si="951"/>
        <v>0.9882352941176471</v>
      </c>
      <c r="U2520" s="72">
        <f t="shared" si="952"/>
        <v>1</v>
      </c>
    </row>
    <row r="2521" spans="1:21" x14ac:dyDescent="0.25">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0.84</v>
      </c>
      <c r="P2521" s="72">
        <f t="shared" si="947"/>
        <v>0.95833333333333337</v>
      </c>
      <c r="Q2521" s="72">
        <f t="shared" si="948"/>
        <v>4.166666666666663E-2</v>
      </c>
      <c r="R2521" s="72">
        <f t="shared" si="949"/>
        <v>0</v>
      </c>
      <c r="S2521" s="72">
        <f t="shared" si="950"/>
        <v>0.9882352941176471</v>
      </c>
      <c r="T2521" s="72">
        <f t="shared" si="951"/>
        <v>0.9882352941176471</v>
      </c>
      <c r="U2521" s="72">
        <f t="shared" si="952"/>
        <v>1</v>
      </c>
    </row>
    <row r="2522" spans="1:21" x14ac:dyDescent="0.25">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0.84</v>
      </c>
      <c r="P2522" s="72">
        <f t="shared" si="947"/>
        <v>0.875</v>
      </c>
      <c r="Q2522" s="72">
        <f t="shared" si="948"/>
        <v>0.125</v>
      </c>
      <c r="R2522" s="72">
        <f t="shared" si="949"/>
        <v>0</v>
      </c>
      <c r="S2522" s="72">
        <f t="shared" si="950"/>
        <v>0.9882352941176471</v>
      </c>
      <c r="T2522" s="72">
        <f t="shared" si="951"/>
        <v>0.9882352941176471</v>
      </c>
      <c r="U2522" s="72">
        <f t="shared" si="952"/>
        <v>1</v>
      </c>
    </row>
    <row r="2523" spans="1:21" x14ac:dyDescent="0.25">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0.84</v>
      </c>
      <c r="P2523" s="72">
        <f t="shared" si="947"/>
        <v>0.79166666666666663</v>
      </c>
      <c r="Q2523" s="72">
        <f t="shared" si="948"/>
        <v>0.20833333333333337</v>
      </c>
      <c r="R2523" s="72">
        <f t="shared" si="949"/>
        <v>0</v>
      </c>
      <c r="S2523" s="72">
        <f t="shared" si="950"/>
        <v>0.9882352941176471</v>
      </c>
      <c r="T2523" s="72">
        <f t="shared" si="951"/>
        <v>0.9882352941176471</v>
      </c>
      <c r="U2523" s="72">
        <f t="shared" si="952"/>
        <v>1</v>
      </c>
    </row>
    <row r="2524" spans="1:21" x14ac:dyDescent="0.25">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0.84</v>
      </c>
      <c r="P2524" s="72">
        <f t="shared" si="947"/>
        <v>0.70833333333333337</v>
      </c>
      <c r="Q2524" s="72">
        <f t="shared" si="948"/>
        <v>0.29166666666666663</v>
      </c>
      <c r="R2524" s="72">
        <f t="shared" si="949"/>
        <v>0</v>
      </c>
      <c r="S2524" s="72">
        <f t="shared" si="950"/>
        <v>0.9882352941176471</v>
      </c>
      <c r="T2524" s="72">
        <f t="shared" si="951"/>
        <v>0.9882352941176471</v>
      </c>
      <c r="U2524" s="72">
        <f t="shared" si="952"/>
        <v>1</v>
      </c>
    </row>
    <row r="2525" spans="1:21" x14ac:dyDescent="0.25">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0.84</v>
      </c>
      <c r="P2525" s="72">
        <f t="shared" si="947"/>
        <v>0.625</v>
      </c>
      <c r="Q2525" s="72">
        <f t="shared" si="948"/>
        <v>0.375</v>
      </c>
      <c r="R2525" s="72">
        <f t="shared" si="949"/>
        <v>0</v>
      </c>
      <c r="S2525" s="72">
        <f t="shared" si="950"/>
        <v>0.9882352941176471</v>
      </c>
      <c r="T2525" s="72">
        <f t="shared" si="951"/>
        <v>0.9882352941176471</v>
      </c>
      <c r="U2525" s="72">
        <f t="shared" si="952"/>
        <v>1</v>
      </c>
    </row>
    <row r="2526" spans="1:21" x14ac:dyDescent="0.25">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0.84</v>
      </c>
      <c r="P2526" s="72">
        <f t="shared" si="947"/>
        <v>0.54166666666666663</v>
      </c>
      <c r="Q2526" s="72">
        <f t="shared" si="948"/>
        <v>0.45833333333333337</v>
      </c>
      <c r="R2526" s="72">
        <f t="shared" si="949"/>
        <v>0</v>
      </c>
      <c r="S2526" s="72">
        <f t="shared" si="950"/>
        <v>0.9882352941176471</v>
      </c>
      <c r="T2526" s="72">
        <f t="shared" si="951"/>
        <v>0.9882352941176471</v>
      </c>
      <c r="U2526" s="72">
        <f t="shared" si="952"/>
        <v>1</v>
      </c>
    </row>
    <row r="2527" spans="1:21" x14ac:dyDescent="0.25">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0.84</v>
      </c>
      <c r="P2527" s="72">
        <f t="shared" si="947"/>
        <v>0.45833333333333331</v>
      </c>
      <c r="Q2527" s="72">
        <f t="shared" si="948"/>
        <v>0.54166666666666674</v>
      </c>
      <c r="R2527" s="72">
        <f t="shared" si="949"/>
        <v>0</v>
      </c>
      <c r="S2527" s="72">
        <f t="shared" si="950"/>
        <v>0.9882352941176471</v>
      </c>
      <c r="T2527" s="72">
        <f t="shared" si="951"/>
        <v>0.9882352941176471</v>
      </c>
      <c r="U2527" s="72">
        <f t="shared" si="952"/>
        <v>1</v>
      </c>
    </row>
    <row r="2528" spans="1:21" x14ac:dyDescent="0.25">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0.84</v>
      </c>
      <c r="P2528" s="72">
        <f t="shared" si="947"/>
        <v>0.375</v>
      </c>
      <c r="Q2528" s="72">
        <f t="shared" si="948"/>
        <v>0.625</v>
      </c>
      <c r="R2528" s="72">
        <f t="shared" si="949"/>
        <v>0</v>
      </c>
      <c r="S2528" s="72">
        <f t="shared" si="950"/>
        <v>0.9882352941176471</v>
      </c>
      <c r="T2528" s="72">
        <f t="shared" si="951"/>
        <v>0.9882352941176471</v>
      </c>
      <c r="U2528" s="72">
        <f t="shared" si="952"/>
        <v>1</v>
      </c>
    </row>
    <row r="2529" spans="1:21" x14ac:dyDescent="0.25">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0.84</v>
      </c>
      <c r="P2529" s="72">
        <f t="shared" si="947"/>
        <v>0.29166666666666669</v>
      </c>
      <c r="Q2529" s="72">
        <f t="shared" si="948"/>
        <v>0.70833333333333326</v>
      </c>
      <c r="R2529" s="72">
        <f t="shared" si="949"/>
        <v>0</v>
      </c>
      <c r="S2529" s="72">
        <f t="shared" si="950"/>
        <v>0.9882352941176471</v>
      </c>
      <c r="T2529" s="72">
        <f t="shared" si="951"/>
        <v>0.9882352941176471</v>
      </c>
      <c r="U2529" s="72">
        <f t="shared" si="952"/>
        <v>1</v>
      </c>
    </row>
    <row r="2530" spans="1:21" x14ac:dyDescent="0.25">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0.84</v>
      </c>
      <c r="P2530" s="72">
        <f t="shared" si="947"/>
        <v>0.20833333333333334</v>
      </c>
      <c r="Q2530" s="72">
        <f t="shared" si="948"/>
        <v>0.79166666666666663</v>
      </c>
      <c r="R2530" s="72">
        <f t="shared" si="949"/>
        <v>0</v>
      </c>
      <c r="S2530" s="72">
        <f t="shared" si="950"/>
        <v>1.008</v>
      </c>
      <c r="T2530" s="72">
        <f t="shared" si="951"/>
        <v>1.008</v>
      </c>
      <c r="U2530" s="72">
        <f t="shared" si="952"/>
        <v>1.02</v>
      </c>
    </row>
    <row r="2531" spans="1:21" x14ac:dyDescent="0.25">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0.84</v>
      </c>
      <c r="P2531" s="72">
        <f t="shared" si="947"/>
        <v>0.125</v>
      </c>
      <c r="Q2531" s="72">
        <f t="shared" si="948"/>
        <v>0.875</v>
      </c>
      <c r="R2531" s="72">
        <f t="shared" si="949"/>
        <v>0</v>
      </c>
      <c r="S2531" s="72">
        <f t="shared" si="950"/>
        <v>1.008</v>
      </c>
      <c r="T2531" s="72">
        <f t="shared" si="951"/>
        <v>1.008</v>
      </c>
      <c r="U2531" s="72">
        <f t="shared" si="952"/>
        <v>1.02</v>
      </c>
    </row>
    <row r="2532" spans="1:21" x14ac:dyDescent="0.25">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0.84</v>
      </c>
      <c r="P2532" s="72">
        <f t="shared" si="947"/>
        <v>4.1666666666666664E-2</v>
      </c>
      <c r="Q2532" s="72">
        <f t="shared" si="948"/>
        <v>0.95833333333333337</v>
      </c>
      <c r="R2532" s="72">
        <f t="shared" si="949"/>
        <v>0</v>
      </c>
      <c r="S2532" s="72">
        <f t="shared" si="950"/>
        <v>1.008</v>
      </c>
      <c r="T2532" s="72">
        <f t="shared" si="951"/>
        <v>1.008</v>
      </c>
      <c r="U2532" s="72">
        <f t="shared" si="952"/>
        <v>1.02</v>
      </c>
    </row>
    <row r="2533" spans="1:21" x14ac:dyDescent="0.25">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0.84</v>
      </c>
      <c r="P2533" s="72">
        <f t="shared" si="947"/>
        <v>0</v>
      </c>
      <c r="Q2533" s="72">
        <f t="shared" si="948"/>
        <v>0.95833333333333337</v>
      </c>
      <c r="R2533" s="72">
        <f t="shared" si="949"/>
        <v>4.166666666666663E-2</v>
      </c>
      <c r="S2533" s="72">
        <f t="shared" si="950"/>
        <v>1.008</v>
      </c>
      <c r="T2533" s="72">
        <f t="shared" si="951"/>
        <v>0.9882352941176471</v>
      </c>
      <c r="U2533" s="72">
        <f t="shared" si="952"/>
        <v>1.02</v>
      </c>
    </row>
    <row r="2534" spans="1:21" x14ac:dyDescent="0.25">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0.84</v>
      </c>
      <c r="P2534" s="72">
        <f t="shared" si="947"/>
        <v>0</v>
      </c>
      <c r="Q2534" s="72">
        <f t="shared" si="948"/>
        <v>0.875</v>
      </c>
      <c r="R2534" s="72">
        <f t="shared" si="949"/>
        <v>0.125</v>
      </c>
      <c r="S2534" s="72">
        <f t="shared" si="950"/>
        <v>1.008</v>
      </c>
      <c r="T2534" s="72">
        <f t="shared" si="951"/>
        <v>0.9882352941176471</v>
      </c>
      <c r="U2534" s="72">
        <f t="shared" si="952"/>
        <v>1.02</v>
      </c>
    </row>
    <row r="2535" spans="1:21" x14ac:dyDescent="0.25">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0.84</v>
      </c>
      <c r="P2535" s="72">
        <f t="shared" si="947"/>
        <v>0</v>
      </c>
      <c r="Q2535" s="72">
        <f t="shared" si="948"/>
        <v>0.79166666666666663</v>
      </c>
      <c r="R2535" s="72">
        <f t="shared" si="949"/>
        <v>0.20833333333333337</v>
      </c>
      <c r="S2535" s="72">
        <f t="shared" si="950"/>
        <v>1.008</v>
      </c>
      <c r="T2535" s="72">
        <f t="shared" si="951"/>
        <v>0.9882352941176471</v>
      </c>
      <c r="U2535" s="72">
        <f t="shared" si="952"/>
        <v>1.02</v>
      </c>
    </row>
    <row r="2536" spans="1:21" x14ac:dyDescent="0.25">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0.84</v>
      </c>
      <c r="P2536" s="72">
        <f t="shared" si="947"/>
        <v>0</v>
      </c>
      <c r="Q2536" s="72">
        <f t="shared" si="948"/>
        <v>0.70833333333333337</v>
      </c>
      <c r="R2536" s="72">
        <f t="shared" si="949"/>
        <v>0.29166666666666663</v>
      </c>
      <c r="S2536" s="72">
        <f t="shared" si="950"/>
        <v>1.008</v>
      </c>
      <c r="T2536" s="72">
        <f t="shared" si="951"/>
        <v>0.9882352941176471</v>
      </c>
      <c r="U2536" s="72">
        <f t="shared" si="952"/>
        <v>1.02</v>
      </c>
    </row>
    <row r="2537" spans="1:21" x14ac:dyDescent="0.25">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0.84</v>
      </c>
      <c r="P2537" s="72">
        <f t="shared" si="947"/>
        <v>0</v>
      </c>
      <c r="Q2537" s="72">
        <f t="shared" si="948"/>
        <v>0.625</v>
      </c>
      <c r="R2537" s="72">
        <f t="shared" si="949"/>
        <v>0.375</v>
      </c>
      <c r="S2537" s="72">
        <f t="shared" si="950"/>
        <v>1.008</v>
      </c>
      <c r="T2537" s="72">
        <f t="shared" si="951"/>
        <v>0.9882352941176471</v>
      </c>
      <c r="U2537" s="72">
        <f t="shared" si="952"/>
        <v>1.02</v>
      </c>
    </row>
    <row r="2538" spans="1:21" x14ac:dyDescent="0.25">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0.84</v>
      </c>
      <c r="P2538" s="72">
        <f t="shared" si="947"/>
        <v>0</v>
      </c>
      <c r="Q2538" s="72">
        <f t="shared" si="948"/>
        <v>0.54166666666666663</v>
      </c>
      <c r="R2538" s="72">
        <f t="shared" si="949"/>
        <v>0.45833333333333337</v>
      </c>
      <c r="S2538" s="72">
        <f t="shared" si="950"/>
        <v>1.0483199999999999</v>
      </c>
      <c r="T2538" s="72">
        <f t="shared" si="951"/>
        <v>0.9882352941176471</v>
      </c>
      <c r="U2538" s="72">
        <f t="shared" si="952"/>
        <v>1.0608</v>
      </c>
    </row>
    <row r="2539" spans="1:21" x14ac:dyDescent="0.25">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0.84</v>
      </c>
      <c r="P2539" s="72">
        <f t="shared" si="947"/>
        <v>0</v>
      </c>
      <c r="Q2539" s="72">
        <f t="shared" si="948"/>
        <v>0.45833333333333331</v>
      </c>
      <c r="R2539" s="72">
        <f t="shared" si="949"/>
        <v>0.54166666666666674</v>
      </c>
      <c r="S2539" s="72">
        <f t="shared" si="950"/>
        <v>1.0483199999999999</v>
      </c>
      <c r="T2539" s="72">
        <f t="shared" si="951"/>
        <v>0.9882352941176471</v>
      </c>
      <c r="U2539" s="72">
        <f t="shared" si="952"/>
        <v>1.0608</v>
      </c>
    </row>
    <row r="2540" spans="1:21" x14ac:dyDescent="0.25">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0.84</v>
      </c>
      <c r="P2540" s="72">
        <f t="shared" si="947"/>
        <v>0</v>
      </c>
      <c r="Q2540" s="72">
        <f t="shared" si="948"/>
        <v>0.375</v>
      </c>
      <c r="R2540" s="72">
        <f t="shared" si="949"/>
        <v>0.625</v>
      </c>
      <c r="S2540" s="72">
        <f t="shared" si="950"/>
        <v>1.0483199999999999</v>
      </c>
      <c r="T2540" s="72">
        <f t="shared" si="951"/>
        <v>0.9882352941176471</v>
      </c>
      <c r="U2540" s="72">
        <f t="shared" si="952"/>
        <v>1.0608</v>
      </c>
    </row>
    <row r="2541" spans="1:21" x14ac:dyDescent="0.25">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0.84</v>
      </c>
      <c r="P2541" s="72">
        <f t="shared" si="947"/>
        <v>0</v>
      </c>
      <c r="Q2541" s="72">
        <f t="shared" si="948"/>
        <v>0.29166666666666669</v>
      </c>
      <c r="R2541" s="72">
        <f t="shared" si="949"/>
        <v>0.70833333333333326</v>
      </c>
      <c r="S2541" s="72">
        <f t="shared" si="950"/>
        <v>1.0483199999999999</v>
      </c>
      <c r="T2541" s="72">
        <f t="shared" si="951"/>
        <v>0.9882352941176471</v>
      </c>
      <c r="U2541" s="72">
        <f t="shared" si="952"/>
        <v>1.0608</v>
      </c>
    </row>
    <row r="2542" spans="1:21" x14ac:dyDescent="0.25">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0.84</v>
      </c>
      <c r="P2542" s="72">
        <f t="shared" si="947"/>
        <v>0</v>
      </c>
      <c r="Q2542" s="72">
        <f t="shared" si="948"/>
        <v>0.20833333333333334</v>
      </c>
      <c r="R2542" s="72">
        <f t="shared" si="949"/>
        <v>0.79166666666666663</v>
      </c>
      <c r="S2542" s="72">
        <f t="shared" si="950"/>
        <v>1.0483199999999999</v>
      </c>
      <c r="T2542" s="72">
        <f t="shared" si="951"/>
        <v>1.008</v>
      </c>
      <c r="U2542" s="72">
        <f t="shared" si="952"/>
        <v>1.0608</v>
      </c>
    </row>
    <row r="2543" spans="1:21" x14ac:dyDescent="0.25">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0.84</v>
      </c>
      <c r="P2543" s="72">
        <f t="shared" si="947"/>
        <v>0</v>
      </c>
      <c r="Q2543" s="72">
        <f t="shared" si="948"/>
        <v>0.125</v>
      </c>
      <c r="R2543" s="72">
        <f t="shared" si="949"/>
        <v>0.875</v>
      </c>
      <c r="S2543" s="72">
        <f t="shared" si="950"/>
        <v>1.0483199999999999</v>
      </c>
      <c r="T2543" s="72">
        <f t="shared" si="951"/>
        <v>1.008</v>
      </c>
      <c r="U2543" s="72">
        <f t="shared" si="952"/>
        <v>1.0608</v>
      </c>
    </row>
    <row r="2544" spans="1:21" x14ac:dyDescent="0.25">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0.84</v>
      </c>
      <c r="P2544" s="72">
        <f t="shared" si="947"/>
        <v>0</v>
      </c>
      <c r="Q2544" s="72">
        <f t="shared" si="948"/>
        <v>4.1666666666666664E-2</v>
      </c>
      <c r="R2544" s="72">
        <f t="shared" si="949"/>
        <v>0.95833333333333337</v>
      </c>
      <c r="S2544" s="72">
        <f t="shared" si="950"/>
        <v>1.0483199999999999</v>
      </c>
      <c r="T2544" s="72">
        <f t="shared" si="951"/>
        <v>1.008</v>
      </c>
      <c r="U2544" s="72">
        <f t="shared" si="952"/>
        <v>1.0608</v>
      </c>
    </row>
    <row r="2545" spans="1:21" x14ac:dyDescent="0.25">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0.84</v>
      </c>
      <c r="P2545" s="72">
        <f t="shared" si="947"/>
        <v>0</v>
      </c>
      <c r="Q2545" s="72">
        <f t="shared" si="948"/>
        <v>0</v>
      </c>
      <c r="R2545" s="72">
        <f t="shared" si="949"/>
        <v>0.95833333333333337</v>
      </c>
      <c r="S2545" s="72">
        <f t="shared" si="950"/>
        <v>1.0483199999999999</v>
      </c>
      <c r="T2545" s="72">
        <f t="shared" si="951"/>
        <v>0.9882352941176471</v>
      </c>
      <c r="U2545" s="72">
        <f t="shared" si="952"/>
        <v>1.0608</v>
      </c>
    </row>
    <row r="2546" spans="1:21" x14ac:dyDescent="0.25">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0.84</v>
      </c>
      <c r="P2546" s="72">
        <f t="shared" si="947"/>
        <v>0</v>
      </c>
      <c r="Q2546" s="72">
        <f t="shared" si="948"/>
        <v>0</v>
      </c>
      <c r="R2546" s="72">
        <f t="shared" si="949"/>
        <v>0.875</v>
      </c>
      <c r="S2546" s="72">
        <f t="shared" si="950"/>
        <v>1.0483199999999999</v>
      </c>
      <c r="T2546" s="72">
        <f t="shared" si="951"/>
        <v>0.9882352941176471</v>
      </c>
      <c r="U2546" s="72">
        <f t="shared" si="952"/>
        <v>1.0608</v>
      </c>
    </row>
    <row r="2547" spans="1:21" x14ac:dyDescent="0.25">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0.84</v>
      </c>
      <c r="P2547" s="72">
        <f t="shared" si="947"/>
        <v>0</v>
      </c>
      <c r="Q2547" s="72">
        <f t="shared" si="948"/>
        <v>0</v>
      </c>
      <c r="R2547" s="72">
        <f t="shared" si="949"/>
        <v>0.79166666666666663</v>
      </c>
      <c r="S2547" s="72">
        <f t="shared" si="950"/>
        <v>1.0483199999999999</v>
      </c>
      <c r="T2547" s="72">
        <f t="shared" si="951"/>
        <v>0.9882352941176471</v>
      </c>
      <c r="U2547" s="72">
        <f t="shared" si="952"/>
        <v>1.0608</v>
      </c>
    </row>
    <row r="2548" spans="1:21" x14ac:dyDescent="0.25">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0.84</v>
      </c>
      <c r="P2548" s="72">
        <f t="shared" si="947"/>
        <v>0</v>
      </c>
      <c r="Q2548" s="72">
        <f t="shared" si="948"/>
        <v>0</v>
      </c>
      <c r="R2548" s="72">
        <f t="shared" si="949"/>
        <v>0.70833333333333337</v>
      </c>
      <c r="S2548" s="72">
        <f t="shared" si="950"/>
        <v>1.0483199999999999</v>
      </c>
      <c r="T2548" s="72">
        <f t="shared" si="951"/>
        <v>0.9882352941176471</v>
      </c>
      <c r="U2548" s="72">
        <f t="shared" si="952"/>
        <v>1.0608</v>
      </c>
    </row>
    <row r="2549" spans="1:21" x14ac:dyDescent="0.25">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0.84</v>
      </c>
      <c r="P2549" s="72">
        <f t="shared" si="947"/>
        <v>0</v>
      </c>
      <c r="Q2549" s="72">
        <f t="shared" si="948"/>
        <v>0</v>
      </c>
      <c r="R2549" s="72">
        <f t="shared" si="949"/>
        <v>0.625</v>
      </c>
      <c r="S2549" s="72">
        <f t="shared" si="950"/>
        <v>1.0483199999999999</v>
      </c>
      <c r="T2549" s="72">
        <f t="shared" si="951"/>
        <v>0.9882352941176471</v>
      </c>
      <c r="U2549" s="72">
        <f t="shared" si="952"/>
        <v>1.0608</v>
      </c>
    </row>
    <row r="2550" spans="1:21" x14ac:dyDescent="0.25">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0.84</v>
      </c>
      <c r="P2550" s="72">
        <f t="shared" si="947"/>
        <v>0</v>
      </c>
      <c r="Q2550" s="72">
        <f t="shared" si="948"/>
        <v>0</v>
      </c>
      <c r="R2550" s="72">
        <f t="shared" si="949"/>
        <v>0.54166666666666663</v>
      </c>
      <c r="S2550" s="72">
        <f t="shared" si="950"/>
        <v>1.0483199999999999</v>
      </c>
      <c r="T2550" s="72">
        <f t="shared" si="951"/>
        <v>0.9882352941176471</v>
      </c>
      <c r="U2550" s="72">
        <f t="shared" si="952"/>
        <v>1.0608</v>
      </c>
    </row>
    <row r="2551" spans="1:21" x14ac:dyDescent="0.25">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0.84</v>
      </c>
      <c r="P2551" s="72">
        <f t="shared" si="947"/>
        <v>0</v>
      </c>
      <c r="Q2551" s="72">
        <f t="shared" si="948"/>
        <v>0</v>
      </c>
      <c r="R2551" s="72">
        <f t="shared" si="949"/>
        <v>0.45833333333333331</v>
      </c>
      <c r="S2551" s="72">
        <f t="shared" si="950"/>
        <v>1.0483199999999999</v>
      </c>
      <c r="T2551" s="72">
        <f t="shared" si="951"/>
        <v>0.9882352941176471</v>
      </c>
      <c r="U2551" s="72">
        <f t="shared" si="952"/>
        <v>1.0608</v>
      </c>
    </row>
    <row r="2552" spans="1:21" x14ac:dyDescent="0.25">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0.84</v>
      </c>
      <c r="P2552" s="72">
        <f t="shared" si="947"/>
        <v>0</v>
      </c>
      <c r="Q2552" s="72">
        <f t="shared" si="948"/>
        <v>0</v>
      </c>
      <c r="R2552" s="72">
        <f t="shared" si="949"/>
        <v>0.375</v>
      </c>
      <c r="S2552" s="72">
        <f t="shared" si="950"/>
        <v>1.0483199999999999</v>
      </c>
      <c r="T2552" s="72">
        <f t="shared" si="951"/>
        <v>0.9882352941176471</v>
      </c>
      <c r="U2552" s="72">
        <f t="shared" si="952"/>
        <v>1.0608</v>
      </c>
    </row>
    <row r="2553" spans="1:21" x14ac:dyDescent="0.25">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0.84</v>
      </c>
      <c r="P2553" s="72">
        <f t="shared" si="947"/>
        <v>0</v>
      </c>
      <c r="Q2553" s="72">
        <f t="shared" si="948"/>
        <v>0</v>
      </c>
      <c r="R2553" s="72">
        <f t="shared" si="949"/>
        <v>0.29166666666666669</v>
      </c>
      <c r="S2553" s="72">
        <f t="shared" si="950"/>
        <v>1.0483199999999999</v>
      </c>
      <c r="T2553" s="72">
        <f t="shared" si="951"/>
        <v>0.9882352941176471</v>
      </c>
      <c r="U2553" s="72">
        <f t="shared" si="952"/>
        <v>1.0608</v>
      </c>
    </row>
    <row r="2554" spans="1:21" x14ac:dyDescent="0.25">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0.84</v>
      </c>
      <c r="P2554" s="72">
        <f t="shared" si="947"/>
        <v>0</v>
      </c>
      <c r="Q2554" s="72">
        <f t="shared" si="948"/>
        <v>0</v>
      </c>
      <c r="R2554" s="72">
        <f t="shared" si="949"/>
        <v>0.20833333333333334</v>
      </c>
      <c r="S2554" s="72">
        <f t="shared" si="950"/>
        <v>1.0483199999999999</v>
      </c>
      <c r="T2554" s="72">
        <f t="shared" si="951"/>
        <v>1.008</v>
      </c>
      <c r="U2554" s="72">
        <f t="shared" si="952"/>
        <v>1.0608</v>
      </c>
    </row>
    <row r="2555" spans="1:21" x14ac:dyDescent="0.25">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0.84</v>
      </c>
      <c r="P2555" s="72">
        <f t="shared" si="947"/>
        <v>0</v>
      </c>
      <c r="Q2555" s="72">
        <f t="shared" si="948"/>
        <v>0</v>
      </c>
      <c r="R2555" s="72">
        <f t="shared" si="949"/>
        <v>0.125</v>
      </c>
      <c r="S2555" s="72">
        <f t="shared" si="950"/>
        <v>1.0483199999999999</v>
      </c>
      <c r="T2555" s="72">
        <f t="shared" si="951"/>
        <v>1.008</v>
      </c>
      <c r="U2555" s="72">
        <f t="shared" si="952"/>
        <v>1.0608</v>
      </c>
    </row>
    <row r="2556" spans="1:21" x14ac:dyDescent="0.25">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0.84</v>
      </c>
      <c r="P2556" s="72">
        <f t="shared" si="947"/>
        <v>0</v>
      </c>
      <c r="Q2556" s="72">
        <f t="shared" si="948"/>
        <v>0</v>
      </c>
      <c r="R2556" s="72">
        <f t="shared" si="949"/>
        <v>4.1666666666666664E-2</v>
      </c>
      <c r="S2556" s="72">
        <f t="shared" si="950"/>
        <v>1.0483199999999999</v>
      </c>
      <c r="T2556" s="72">
        <f t="shared" si="951"/>
        <v>1.008</v>
      </c>
      <c r="U2556" s="72">
        <f t="shared" si="952"/>
        <v>1.0608</v>
      </c>
    </row>
    <row r="2557" spans="1:21" x14ac:dyDescent="0.25">
      <c r="A2557" s="77" t="s">
        <v>1209</v>
      </c>
      <c r="B2557" s="50">
        <f>EXP(SUMPRODUCT((rl_key=$A$2506)*(rl_cons="Y")*rl_ln1p))</f>
        <v>1.02</v>
      </c>
      <c r="C2557" s="50">
        <f>SUMPRODUCT($H$2509:$H$2556,$P$2509:$P$2556,$U$2509:$U$2556)/SUMPRODUCT($H$2509:$H$2556,$P$2509:$P$2556)</f>
        <v>1.0006250000000001</v>
      </c>
      <c r="D2557" s="50">
        <f>SUMPRODUCT($H$2509:$H$2556,$Q$2509:$Q$2556,$U$2509:$U$2556)/SUMPRODUCT($H$2509:$H$2556,$Q$2509:$Q$2556)</f>
        <v>1.0213166666666667</v>
      </c>
      <c r="E2557" s="50">
        <f>SUMPRODUCT($H$2509:$H$2556,$R$2509:$R$2556,$U$2509:$U$2556)/SUMPRODUCT($H$2509:$H$2556,$R$2509:$R$2556)</f>
        <v>1.0572583333333336</v>
      </c>
      <c r="F2557" s="169">
        <f>SUMPRODUCT($H$2509:$H$2556,$Q$2509:$Q$2556,$O$2509:$O$2556)/SUMPRODUCT($H$2509:$H$2556,$Q$2509:$Q$2556)</f>
        <v>0.84</v>
      </c>
      <c r="G2557" s="169">
        <f>SUMPRODUCT($H$2509:$H$2556,$R$2509:$R$2556,$O$2509:$O$2556)/SUMPRODUCT($H$2509:$H$2556,$R$2509:$R$2556)</f>
        <v>0.84</v>
      </c>
    </row>
    <row r="2560" spans="1:21" x14ac:dyDescent="0.25">
      <c r="A2560" s="77" t="str">
        <f>INDEX(lr_key,47)</f>
        <v>BU-C|FL</v>
      </c>
      <c r="B2560" s="77" t="str">
        <f>INDEX(lr_state,47)</f>
        <v>FL</v>
      </c>
      <c r="C2560" s="52">
        <f>nr_TermMonths</f>
        <v>12</v>
      </c>
      <c r="D2560" s="52">
        <f>IF(COUNTIF(se_state,$B2560)=0,0,MATCH($B2560,se_state,0))</f>
        <v>0</v>
      </c>
      <c r="E2560" s="54">
        <f>IF($D2560=0,0,INDEX(se_sum,$D2560))</f>
        <v>0</v>
      </c>
      <c r="F2560" s="169">
        <f>IF(N(INDEX(lr_mind,47))=0,1,INDEX(lr_mind,47))</f>
        <v>0.85</v>
      </c>
      <c r="G2560" s="169">
        <f>IF(N(INDEX(lr_m0,47))=0,1,INDEX(lr_m0,47))</f>
        <v>0.84</v>
      </c>
      <c r="H2560" s="51">
        <f>IF(N(INDEX(lr_m0asof,47))=0,DATE(nr_PlanYear-1,10,1),INDEX(lr_m0asof,47))</f>
        <v>46295</v>
      </c>
      <c r="I2560" s="169">
        <f>IF(N(INDEX(lr_m1,47))=0,1,INDEX(lr_m1,47))</f>
        <v>0.85499999999999998</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25">
      <c r="A2561" s="77">
        <f>EDATE($H$2560,-12)+1</f>
        <v>45931</v>
      </c>
      <c r="B2561" s="77">
        <f>$H$2560+1</f>
        <v>46296</v>
      </c>
      <c r="C2561" s="77">
        <f>DATE(nr_PlanYear,12,31)+1</f>
        <v>46753</v>
      </c>
      <c r="D2561" s="77">
        <f>DATE(nr_PlanYear+1,12,31)+1</f>
        <v>47119</v>
      </c>
      <c r="E2561" s="77">
        <f>IF(N($J$2560)=0,$F$2561-($G$2561-$F$2561)/($C$2561-$B$2561)*($B$2561-$A$2561),$J$2560)</f>
        <v>0.82801969365426686</v>
      </c>
      <c r="F2561" s="77">
        <f>$G$2560</f>
        <v>0.84</v>
      </c>
      <c r="G2561" s="77">
        <f>$I$2560</f>
        <v>0.85499999999999998</v>
      </c>
      <c r="H2561" s="77">
        <f>IF(N($K$2560)=0,$I$2560,$K$2560)</f>
        <v>0.85499999999999998</v>
      </c>
      <c r="I2561" s="77">
        <f>($F$2561-$E$2561)/($B$2561-$A$2561)</f>
        <v>3.2822757111597549E-5</v>
      </c>
      <c r="J2561" s="77">
        <f>($G$2561-$F$2561)/($C$2561-$B$2561)</f>
        <v>3.2822757111597407E-5</v>
      </c>
      <c r="K2561" s="77">
        <f>($H$2561-$G$2561)/($D$2561-$C$2561)</f>
        <v>0</v>
      </c>
    </row>
    <row r="2562" spans="1:21" ht="24" x14ac:dyDescent="0.25">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25">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0.81956783369803055</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0.96419745140944768</v>
      </c>
      <c r="T2563" s="72">
        <f t="shared" ref="T2563:T2610" si="971">IF($G2563&lt;nr_MStartP,$S2563,$T2551*(1+IF($G2563&lt;nr_MStartP1,$M$2560,$N$2560)))</f>
        <v>0.96419745140944768</v>
      </c>
      <c r="U2563" s="72">
        <f t="shared" ref="U2563:U2610" si="972">IF($L$2560,$T2563,$N2563)</f>
        <v>1</v>
      </c>
    </row>
    <row r="2564" spans="1:21" x14ac:dyDescent="0.25">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0.82053610503282259</v>
      </c>
      <c r="P2564" s="72">
        <f t="shared" si="967"/>
        <v>0.125</v>
      </c>
      <c r="Q2564" s="72">
        <f t="shared" si="968"/>
        <v>0</v>
      </c>
      <c r="R2564" s="72">
        <f t="shared" si="969"/>
        <v>0</v>
      </c>
      <c r="S2564" s="72">
        <f t="shared" si="970"/>
        <v>0.96533659415626194</v>
      </c>
      <c r="T2564" s="72">
        <f t="shared" si="971"/>
        <v>0.96533659415626194</v>
      </c>
      <c r="U2564" s="72">
        <f t="shared" si="972"/>
        <v>1</v>
      </c>
    </row>
    <row r="2565" spans="1:21" x14ac:dyDescent="0.25">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0.82150437636761475</v>
      </c>
      <c r="P2565" s="72">
        <f t="shared" si="967"/>
        <v>0.20833333333333337</v>
      </c>
      <c r="Q2565" s="72">
        <f t="shared" si="968"/>
        <v>0</v>
      </c>
      <c r="R2565" s="72">
        <f t="shared" si="969"/>
        <v>0</v>
      </c>
      <c r="S2565" s="72">
        <f t="shared" si="970"/>
        <v>0.9664757369030762</v>
      </c>
      <c r="T2565" s="72">
        <f t="shared" si="971"/>
        <v>0.9664757369030762</v>
      </c>
      <c r="U2565" s="72">
        <f t="shared" si="972"/>
        <v>1</v>
      </c>
    </row>
    <row r="2566" spans="1:21" x14ac:dyDescent="0.25">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0.8225054704595185</v>
      </c>
      <c r="P2566" s="72">
        <f t="shared" si="967"/>
        <v>0.29166666666666663</v>
      </c>
      <c r="Q2566" s="72">
        <f t="shared" si="968"/>
        <v>0</v>
      </c>
      <c r="R2566" s="72">
        <f t="shared" si="969"/>
        <v>0</v>
      </c>
      <c r="S2566" s="72">
        <f t="shared" si="970"/>
        <v>0.96765349465825712</v>
      </c>
      <c r="T2566" s="72">
        <f t="shared" si="971"/>
        <v>0.96765349465825712</v>
      </c>
      <c r="U2566" s="72">
        <f t="shared" si="972"/>
        <v>1</v>
      </c>
    </row>
    <row r="2567" spans="1:21" x14ac:dyDescent="0.25">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0.82350656455142224</v>
      </c>
      <c r="P2567" s="72">
        <f t="shared" si="967"/>
        <v>0.375</v>
      </c>
      <c r="Q2567" s="72">
        <f t="shared" si="968"/>
        <v>0</v>
      </c>
      <c r="R2567" s="72">
        <f t="shared" si="969"/>
        <v>0</v>
      </c>
      <c r="S2567" s="72">
        <f t="shared" si="970"/>
        <v>0.96883125241343793</v>
      </c>
      <c r="T2567" s="72">
        <f t="shared" si="971"/>
        <v>0.96883125241343793</v>
      </c>
      <c r="U2567" s="72">
        <f t="shared" si="972"/>
        <v>1</v>
      </c>
    </row>
    <row r="2568" spans="1:21" x14ac:dyDescent="0.25">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0.82450765864332598</v>
      </c>
      <c r="P2568" s="72">
        <f t="shared" si="967"/>
        <v>0.45833333333333337</v>
      </c>
      <c r="Q2568" s="72">
        <f t="shared" si="968"/>
        <v>0</v>
      </c>
      <c r="R2568" s="72">
        <f t="shared" si="969"/>
        <v>0</v>
      </c>
      <c r="S2568" s="72">
        <f t="shared" si="970"/>
        <v>0.97000901016861885</v>
      </c>
      <c r="T2568" s="72">
        <f t="shared" si="971"/>
        <v>0.97000901016861885</v>
      </c>
      <c r="U2568" s="72">
        <f t="shared" si="972"/>
        <v>1</v>
      </c>
    </row>
    <row r="2569" spans="1:21" x14ac:dyDescent="0.25">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0.82550875273522961</v>
      </c>
      <c r="P2569" s="72">
        <f t="shared" si="967"/>
        <v>0.54166666666666674</v>
      </c>
      <c r="Q2569" s="72">
        <f t="shared" si="968"/>
        <v>0</v>
      </c>
      <c r="R2569" s="72">
        <f t="shared" si="969"/>
        <v>0</v>
      </c>
      <c r="S2569" s="72">
        <f t="shared" si="970"/>
        <v>0.97118676792379954</v>
      </c>
      <c r="T2569" s="72">
        <f t="shared" si="971"/>
        <v>0.97118676792379954</v>
      </c>
      <c r="U2569" s="72">
        <f t="shared" si="972"/>
        <v>1</v>
      </c>
    </row>
    <row r="2570" spans="1:21" x14ac:dyDescent="0.25">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0.82652625820568915</v>
      </c>
      <c r="P2570" s="72">
        <f t="shared" si="967"/>
        <v>0.625</v>
      </c>
      <c r="Q2570" s="72">
        <f t="shared" si="968"/>
        <v>0</v>
      </c>
      <c r="R2570" s="72">
        <f t="shared" si="969"/>
        <v>0</v>
      </c>
      <c r="S2570" s="72">
        <f t="shared" si="970"/>
        <v>0.97238383318316368</v>
      </c>
      <c r="T2570" s="72">
        <f t="shared" si="971"/>
        <v>0.97238383318316368</v>
      </c>
      <c r="U2570" s="72">
        <f t="shared" si="972"/>
        <v>1</v>
      </c>
    </row>
    <row r="2571" spans="1:21" x14ac:dyDescent="0.25">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0.82752735229759289</v>
      </c>
      <c r="P2571" s="72">
        <f t="shared" si="967"/>
        <v>0.70833333333333326</v>
      </c>
      <c r="Q2571" s="72">
        <f t="shared" si="968"/>
        <v>0</v>
      </c>
      <c r="R2571" s="72">
        <f t="shared" si="969"/>
        <v>0</v>
      </c>
      <c r="S2571" s="72">
        <f t="shared" si="970"/>
        <v>0.9735615909383446</v>
      </c>
      <c r="T2571" s="72">
        <f t="shared" si="971"/>
        <v>0.9735615909383446</v>
      </c>
      <c r="U2571" s="72">
        <f t="shared" si="972"/>
        <v>1</v>
      </c>
    </row>
    <row r="2572" spans="1:21" x14ac:dyDescent="0.25">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0.82852844638949663</v>
      </c>
      <c r="P2572" s="72">
        <f t="shared" si="967"/>
        <v>0.79166666666666663</v>
      </c>
      <c r="Q2572" s="72">
        <f t="shared" si="968"/>
        <v>0</v>
      </c>
      <c r="R2572" s="72">
        <f t="shared" si="969"/>
        <v>0</v>
      </c>
      <c r="S2572" s="72">
        <f t="shared" si="970"/>
        <v>0.97473934869352552</v>
      </c>
      <c r="T2572" s="72">
        <f t="shared" si="971"/>
        <v>0.97473934869352552</v>
      </c>
      <c r="U2572" s="72">
        <f t="shared" si="972"/>
        <v>1</v>
      </c>
    </row>
    <row r="2573" spans="1:21" x14ac:dyDescent="0.25">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0.82952954048140037</v>
      </c>
      <c r="P2573" s="72">
        <f t="shared" si="967"/>
        <v>0.875</v>
      </c>
      <c r="Q2573" s="72">
        <f t="shared" si="968"/>
        <v>0</v>
      </c>
      <c r="R2573" s="72">
        <f t="shared" si="969"/>
        <v>0</v>
      </c>
      <c r="S2573" s="72">
        <f t="shared" si="970"/>
        <v>0.97591710644870633</v>
      </c>
      <c r="T2573" s="72">
        <f t="shared" si="971"/>
        <v>0.97591710644870633</v>
      </c>
      <c r="U2573" s="72">
        <f t="shared" si="972"/>
        <v>1</v>
      </c>
    </row>
    <row r="2574" spans="1:21" x14ac:dyDescent="0.25">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0.83053063457330412</v>
      </c>
      <c r="P2574" s="72">
        <f t="shared" si="967"/>
        <v>0.95833333333333337</v>
      </c>
      <c r="Q2574" s="72">
        <f t="shared" si="968"/>
        <v>0</v>
      </c>
      <c r="R2574" s="72">
        <f t="shared" si="969"/>
        <v>0</v>
      </c>
      <c r="S2574" s="72">
        <f t="shared" si="970"/>
        <v>0.97709486420388725</v>
      </c>
      <c r="T2574" s="72">
        <f t="shared" si="971"/>
        <v>0.97709486420388725</v>
      </c>
      <c r="U2574" s="72">
        <f t="shared" si="972"/>
        <v>1</v>
      </c>
    </row>
    <row r="2575" spans="1:21" x14ac:dyDescent="0.25">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0.83154814004376365</v>
      </c>
      <c r="P2575" s="72">
        <f t="shared" si="967"/>
        <v>0.95833333333333337</v>
      </c>
      <c r="Q2575" s="72">
        <f t="shared" si="968"/>
        <v>4.166666666666663E-2</v>
      </c>
      <c r="R2575" s="72">
        <f t="shared" si="969"/>
        <v>0</v>
      </c>
      <c r="S2575" s="72">
        <f t="shared" si="970"/>
        <v>0.97829192946325139</v>
      </c>
      <c r="T2575" s="72">
        <f t="shared" si="971"/>
        <v>0.97829192946325139</v>
      </c>
      <c r="U2575" s="72">
        <f t="shared" si="972"/>
        <v>1</v>
      </c>
    </row>
    <row r="2576" spans="1:21" x14ac:dyDescent="0.25">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0.8325164113785557</v>
      </c>
      <c r="P2576" s="72">
        <f t="shared" si="967"/>
        <v>0.875</v>
      </c>
      <c r="Q2576" s="72">
        <f t="shared" si="968"/>
        <v>0.125</v>
      </c>
      <c r="R2576" s="72">
        <f t="shared" si="969"/>
        <v>0</v>
      </c>
      <c r="S2576" s="72">
        <f t="shared" si="970"/>
        <v>0.97943107221006553</v>
      </c>
      <c r="T2576" s="72">
        <f t="shared" si="971"/>
        <v>0.97943107221006553</v>
      </c>
      <c r="U2576" s="72">
        <f t="shared" si="972"/>
        <v>1</v>
      </c>
    </row>
    <row r="2577" spans="1:21" x14ac:dyDescent="0.25">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0.83348468271334786</v>
      </c>
      <c r="P2577" s="72">
        <f t="shared" si="967"/>
        <v>0.79166666666666663</v>
      </c>
      <c r="Q2577" s="72">
        <f t="shared" si="968"/>
        <v>0.20833333333333337</v>
      </c>
      <c r="R2577" s="72">
        <f t="shared" si="969"/>
        <v>0</v>
      </c>
      <c r="S2577" s="72">
        <f t="shared" si="970"/>
        <v>0.9805702149568799</v>
      </c>
      <c r="T2577" s="72">
        <f t="shared" si="971"/>
        <v>0.9805702149568799</v>
      </c>
      <c r="U2577" s="72">
        <f t="shared" si="972"/>
        <v>1</v>
      </c>
    </row>
    <row r="2578" spans="1:21" x14ac:dyDescent="0.25">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0.8344857768052516</v>
      </c>
      <c r="P2578" s="72">
        <f t="shared" si="967"/>
        <v>0.70833333333333337</v>
      </c>
      <c r="Q2578" s="72">
        <f t="shared" si="968"/>
        <v>0.29166666666666663</v>
      </c>
      <c r="R2578" s="72">
        <f t="shared" si="969"/>
        <v>0</v>
      </c>
      <c r="S2578" s="72">
        <f t="shared" si="970"/>
        <v>0.98174797271206071</v>
      </c>
      <c r="T2578" s="72">
        <f t="shared" si="971"/>
        <v>0.98174797271206071</v>
      </c>
      <c r="U2578" s="72">
        <f t="shared" si="972"/>
        <v>1</v>
      </c>
    </row>
    <row r="2579" spans="1:21" x14ac:dyDescent="0.25">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0.83548687089715534</v>
      </c>
      <c r="P2579" s="72">
        <f t="shared" si="967"/>
        <v>0.625</v>
      </c>
      <c r="Q2579" s="72">
        <f t="shared" si="968"/>
        <v>0.375</v>
      </c>
      <c r="R2579" s="72">
        <f t="shared" si="969"/>
        <v>0</v>
      </c>
      <c r="S2579" s="72">
        <f t="shared" si="970"/>
        <v>0.98292573046724163</v>
      </c>
      <c r="T2579" s="72">
        <f t="shared" si="971"/>
        <v>0.98292573046724163</v>
      </c>
      <c r="U2579" s="72">
        <f t="shared" si="972"/>
        <v>1</v>
      </c>
    </row>
    <row r="2580" spans="1:21" x14ac:dyDescent="0.25">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0.83648796498905909</v>
      </c>
      <c r="P2580" s="72">
        <f t="shared" si="967"/>
        <v>0.54166666666666663</v>
      </c>
      <c r="Q2580" s="72">
        <f t="shared" si="968"/>
        <v>0.45833333333333337</v>
      </c>
      <c r="R2580" s="72">
        <f t="shared" si="969"/>
        <v>0</v>
      </c>
      <c r="S2580" s="72">
        <f t="shared" si="970"/>
        <v>0.98410348822242244</v>
      </c>
      <c r="T2580" s="72">
        <f t="shared" si="971"/>
        <v>0.98410348822242244</v>
      </c>
      <c r="U2580" s="72">
        <f t="shared" si="972"/>
        <v>1</v>
      </c>
    </row>
    <row r="2581" spans="1:21" x14ac:dyDescent="0.25">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0.83748905908096272</v>
      </c>
      <c r="P2581" s="72">
        <f t="shared" si="967"/>
        <v>0.45833333333333331</v>
      </c>
      <c r="Q2581" s="72">
        <f t="shared" si="968"/>
        <v>0.54166666666666674</v>
      </c>
      <c r="R2581" s="72">
        <f t="shared" si="969"/>
        <v>0</v>
      </c>
      <c r="S2581" s="72">
        <f t="shared" si="970"/>
        <v>0.98528124597760325</v>
      </c>
      <c r="T2581" s="72">
        <f t="shared" si="971"/>
        <v>0.98528124597760325</v>
      </c>
      <c r="U2581" s="72">
        <f t="shared" si="972"/>
        <v>1</v>
      </c>
    </row>
    <row r="2582" spans="1:21" x14ac:dyDescent="0.25">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0.83850656455142225</v>
      </c>
      <c r="P2582" s="72">
        <f t="shared" si="967"/>
        <v>0.375</v>
      </c>
      <c r="Q2582" s="72">
        <f t="shared" si="968"/>
        <v>0.625</v>
      </c>
      <c r="R2582" s="72">
        <f t="shared" si="969"/>
        <v>0</v>
      </c>
      <c r="S2582" s="72">
        <f t="shared" si="970"/>
        <v>0.98647831123696739</v>
      </c>
      <c r="T2582" s="72">
        <f t="shared" si="971"/>
        <v>0.98647831123696739</v>
      </c>
      <c r="U2582" s="72">
        <f t="shared" si="972"/>
        <v>1</v>
      </c>
    </row>
    <row r="2583" spans="1:21" x14ac:dyDescent="0.25">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0.83950765864332599</v>
      </c>
      <c r="P2583" s="72">
        <f t="shared" si="967"/>
        <v>0.29166666666666669</v>
      </c>
      <c r="Q2583" s="72">
        <f t="shared" si="968"/>
        <v>0.70833333333333326</v>
      </c>
      <c r="R2583" s="72">
        <f t="shared" si="969"/>
        <v>0</v>
      </c>
      <c r="S2583" s="72">
        <f t="shared" si="970"/>
        <v>0.98765606899214831</v>
      </c>
      <c r="T2583" s="72">
        <f t="shared" si="971"/>
        <v>0.98765606899214831</v>
      </c>
      <c r="U2583" s="72">
        <f t="shared" si="972"/>
        <v>1</v>
      </c>
    </row>
    <row r="2584" spans="1:21" x14ac:dyDescent="0.25">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0.84050875273522974</v>
      </c>
      <c r="P2584" s="72">
        <f t="shared" si="967"/>
        <v>0.20833333333333334</v>
      </c>
      <c r="Q2584" s="72">
        <f t="shared" si="968"/>
        <v>0.79166666666666663</v>
      </c>
      <c r="R2584" s="72">
        <f t="shared" si="969"/>
        <v>0</v>
      </c>
      <c r="S2584" s="72">
        <f t="shared" si="970"/>
        <v>0.98883382674732911</v>
      </c>
      <c r="T2584" s="72">
        <f t="shared" si="971"/>
        <v>0.98883382674732911</v>
      </c>
      <c r="U2584" s="72">
        <f t="shared" si="972"/>
        <v>1</v>
      </c>
    </row>
    <row r="2585" spans="1:21" x14ac:dyDescent="0.25">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0.84150984682713348</v>
      </c>
      <c r="P2585" s="72">
        <f t="shared" si="967"/>
        <v>0.125</v>
      </c>
      <c r="Q2585" s="72">
        <f t="shared" si="968"/>
        <v>0.875</v>
      </c>
      <c r="R2585" s="72">
        <f t="shared" si="969"/>
        <v>0</v>
      </c>
      <c r="S2585" s="72">
        <f t="shared" si="970"/>
        <v>0.99001158450251003</v>
      </c>
      <c r="T2585" s="72">
        <f t="shared" si="971"/>
        <v>0.99001158450251003</v>
      </c>
      <c r="U2585" s="72">
        <f t="shared" si="972"/>
        <v>1</v>
      </c>
    </row>
    <row r="2586" spans="1:21" x14ac:dyDescent="0.25">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0.84251094091903722</v>
      </c>
      <c r="P2586" s="72">
        <f t="shared" si="967"/>
        <v>4.1666666666666664E-2</v>
      </c>
      <c r="Q2586" s="72">
        <f t="shared" si="968"/>
        <v>0.95833333333333337</v>
      </c>
      <c r="R2586" s="72">
        <f t="shared" si="969"/>
        <v>0</v>
      </c>
      <c r="S2586" s="72">
        <f t="shared" si="970"/>
        <v>0.99118934225769084</v>
      </c>
      <c r="T2586" s="72">
        <f t="shared" si="971"/>
        <v>0.99118934225769084</v>
      </c>
      <c r="U2586" s="72">
        <f t="shared" si="972"/>
        <v>1</v>
      </c>
    </row>
    <row r="2587" spans="1:21" x14ac:dyDescent="0.25">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0.84352844638949664</v>
      </c>
      <c r="P2587" s="72">
        <f t="shared" si="967"/>
        <v>0</v>
      </c>
      <c r="Q2587" s="72">
        <f t="shared" si="968"/>
        <v>0.95833333333333337</v>
      </c>
      <c r="R2587" s="72">
        <f t="shared" si="969"/>
        <v>4.166666666666663E-2</v>
      </c>
      <c r="S2587" s="72">
        <f t="shared" si="970"/>
        <v>0.99238640751705487</v>
      </c>
      <c r="T2587" s="72">
        <f t="shared" si="971"/>
        <v>0.97829192946325139</v>
      </c>
      <c r="U2587" s="72">
        <f t="shared" si="972"/>
        <v>1</v>
      </c>
    </row>
    <row r="2588" spans="1:21" x14ac:dyDescent="0.25">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0.8444967177242888</v>
      </c>
      <c r="P2588" s="72">
        <f t="shared" si="967"/>
        <v>0</v>
      </c>
      <c r="Q2588" s="72">
        <f t="shared" si="968"/>
        <v>0.875</v>
      </c>
      <c r="R2588" s="72">
        <f t="shared" si="969"/>
        <v>0.125</v>
      </c>
      <c r="S2588" s="72">
        <f t="shared" si="970"/>
        <v>0.99352555026386924</v>
      </c>
      <c r="T2588" s="72">
        <f t="shared" si="971"/>
        <v>0.97943107221006553</v>
      </c>
      <c r="U2588" s="72">
        <f t="shared" si="972"/>
        <v>1</v>
      </c>
    </row>
    <row r="2589" spans="1:21" x14ac:dyDescent="0.25">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0.84546498905908096</v>
      </c>
      <c r="P2589" s="72">
        <f t="shared" si="967"/>
        <v>0</v>
      </c>
      <c r="Q2589" s="72">
        <f t="shared" si="968"/>
        <v>0.79166666666666663</v>
      </c>
      <c r="R2589" s="72">
        <f t="shared" si="969"/>
        <v>0.20833333333333337</v>
      </c>
      <c r="S2589" s="72">
        <f t="shared" si="970"/>
        <v>0.9946646930106835</v>
      </c>
      <c r="T2589" s="72">
        <f t="shared" si="971"/>
        <v>0.9805702149568799</v>
      </c>
      <c r="U2589" s="72">
        <f t="shared" si="972"/>
        <v>1</v>
      </c>
    </row>
    <row r="2590" spans="1:21" x14ac:dyDescent="0.25">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0.8464660831509847</v>
      </c>
      <c r="P2590" s="72">
        <f t="shared" si="967"/>
        <v>0</v>
      </c>
      <c r="Q2590" s="72">
        <f t="shared" si="968"/>
        <v>0.70833333333333337</v>
      </c>
      <c r="R2590" s="72">
        <f t="shared" si="969"/>
        <v>0.29166666666666663</v>
      </c>
      <c r="S2590" s="72">
        <f t="shared" si="970"/>
        <v>0.99584245076586442</v>
      </c>
      <c r="T2590" s="72">
        <f t="shared" si="971"/>
        <v>0.98174797271206071</v>
      </c>
      <c r="U2590" s="72">
        <f t="shared" si="972"/>
        <v>1</v>
      </c>
    </row>
    <row r="2591" spans="1:21" x14ac:dyDescent="0.25">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0.84746717724288834</v>
      </c>
      <c r="P2591" s="72">
        <f t="shared" si="967"/>
        <v>0</v>
      </c>
      <c r="Q2591" s="72">
        <f t="shared" si="968"/>
        <v>0.625</v>
      </c>
      <c r="R2591" s="72">
        <f t="shared" si="969"/>
        <v>0.375</v>
      </c>
      <c r="S2591" s="72">
        <f t="shared" si="970"/>
        <v>0.99702020852104511</v>
      </c>
      <c r="T2591" s="72">
        <f t="shared" si="971"/>
        <v>0.98292573046724163</v>
      </c>
      <c r="U2591" s="72">
        <f t="shared" si="972"/>
        <v>1</v>
      </c>
    </row>
    <row r="2592" spans="1:21" x14ac:dyDescent="0.25">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0.84846827133479208</v>
      </c>
      <c r="P2592" s="72">
        <f t="shared" si="967"/>
        <v>0</v>
      </c>
      <c r="Q2592" s="72">
        <f t="shared" si="968"/>
        <v>0.54166666666666663</v>
      </c>
      <c r="R2592" s="72">
        <f t="shared" si="969"/>
        <v>0.45833333333333337</v>
      </c>
      <c r="S2592" s="72">
        <f t="shared" si="970"/>
        <v>0.99819796627622603</v>
      </c>
      <c r="T2592" s="72">
        <f t="shared" si="971"/>
        <v>0.98410348822242244</v>
      </c>
      <c r="U2592" s="72">
        <f t="shared" si="972"/>
        <v>1</v>
      </c>
    </row>
    <row r="2593" spans="1:21" x14ac:dyDescent="0.25">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0.84946936542669582</v>
      </c>
      <c r="P2593" s="72">
        <f t="shared" si="967"/>
        <v>0</v>
      </c>
      <c r="Q2593" s="72">
        <f t="shared" si="968"/>
        <v>0.45833333333333331</v>
      </c>
      <c r="R2593" s="72">
        <f t="shared" si="969"/>
        <v>0.54166666666666674</v>
      </c>
      <c r="S2593" s="72">
        <f t="shared" si="970"/>
        <v>0.99937572403140684</v>
      </c>
      <c r="T2593" s="72">
        <f t="shared" si="971"/>
        <v>0.98528124597760325</v>
      </c>
      <c r="U2593" s="72">
        <f t="shared" si="972"/>
        <v>1</v>
      </c>
    </row>
    <row r="2594" spans="1:21" x14ac:dyDescent="0.25">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0.85048687089715536</v>
      </c>
      <c r="P2594" s="72">
        <f t="shared" si="967"/>
        <v>0</v>
      </c>
      <c r="Q2594" s="72">
        <f t="shared" si="968"/>
        <v>0.375</v>
      </c>
      <c r="R2594" s="72">
        <f t="shared" si="969"/>
        <v>0.625</v>
      </c>
      <c r="S2594" s="72">
        <f t="shared" si="970"/>
        <v>1.000572789290771</v>
      </c>
      <c r="T2594" s="72">
        <f t="shared" si="971"/>
        <v>0.98647831123696739</v>
      </c>
      <c r="U2594" s="72">
        <f t="shared" si="972"/>
        <v>1</v>
      </c>
    </row>
    <row r="2595" spans="1:21" x14ac:dyDescent="0.25">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0.8514879649890591</v>
      </c>
      <c r="P2595" s="72">
        <f t="shared" si="967"/>
        <v>0</v>
      </c>
      <c r="Q2595" s="72">
        <f t="shared" si="968"/>
        <v>0.29166666666666669</v>
      </c>
      <c r="R2595" s="72">
        <f t="shared" si="969"/>
        <v>0.70833333333333326</v>
      </c>
      <c r="S2595" s="72">
        <f t="shared" si="970"/>
        <v>1.001750547045952</v>
      </c>
      <c r="T2595" s="72">
        <f t="shared" si="971"/>
        <v>0.98765606899214831</v>
      </c>
      <c r="U2595" s="72">
        <f t="shared" si="972"/>
        <v>1</v>
      </c>
    </row>
    <row r="2596" spans="1:21" x14ac:dyDescent="0.25">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0.85248905908096273</v>
      </c>
      <c r="P2596" s="72">
        <f t="shared" si="967"/>
        <v>0</v>
      </c>
      <c r="Q2596" s="72">
        <f t="shared" si="968"/>
        <v>0.20833333333333334</v>
      </c>
      <c r="R2596" s="72">
        <f t="shared" si="969"/>
        <v>0.79166666666666663</v>
      </c>
      <c r="S2596" s="72">
        <f t="shared" si="970"/>
        <v>1.0029283048011326</v>
      </c>
      <c r="T2596" s="72">
        <f t="shared" si="971"/>
        <v>0.98883382674732911</v>
      </c>
      <c r="U2596" s="72">
        <f t="shared" si="972"/>
        <v>1</v>
      </c>
    </row>
    <row r="2597" spans="1:21" x14ac:dyDescent="0.25">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0.85349015317286647</v>
      </c>
      <c r="P2597" s="72">
        <f t="shared" si="967"/>
        <v>0</v>
      </c>
      <c r="Q2597" s="72">
        <f t="shared" si="968"/>
        <v>0.125</v>
      </c>
      <c r="R2597" s="72">
        <f t="shared" si="969"/>
        <v>0.875</v>
      </c>
      <c r="S2597" s="72">
        <f t="shared" si="970"/>
        <v>1.0041060625563136</v>
      </c>
      <c r="T2597" s="72">
        <f t="shared" si="971"/>
        <v>0.99001158450251003</v>
      </c>
      <c r="U2597" s="72">
        <f t="shared" si="972"/>
        <v>1</v>
      </c>
    </row>
    <row r="2598" spans="1:21" x14ac:dyDescent="0.25">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0.85449124726477022</v>
      </c>
      <c r="P2598" s="72">
        <f t="shared" si="967"/>
        <v>0</v>
      </c>
      <c r="Q2598" s="72">
        <f t="shared" si="968"/>
        <v>4.1666666666666664E-2</v>
      </c>
      <c r="R2598" s="72">
        <f t="shared" si="969"/>
        <v>0.95833333333333337</v>
      </c>
      <c r="S2598" s="72">
        <f t="shared" si="970"/>
        <v>1.0052838203114944</v>
      </c>
      <c r="T2598" s="72">
        <f t="shared" si="971"/>
        <v>0.99118934225769084</v>
      </c>
      <c r="U2598" s="72">
        <f t="shared" si="972"/>
        <v>1</v>
      </c>
    </row>
    <row r="2599" spans="1:21" x14ac:dyDescent="0.25">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0.85499999999999998</v>
      </c>
      <c r="P2599" s="72">
        <f t="shared" si="967"/>
        <v>0</v>
      </c>
      <c r="Q2599" s="72">
        <f t="shared" si="968"/>
        <v>0</v>
      </c>
      <c r="R2599" s="72">
        <f t="shared" si="969"/>
        <v>0.95833333333333337</v>
      </c>
      <c r="S2599" s="72">
        <f t="shared" si="970"/>
        <v>1.0058823529411764</v>
      </c>
      <c r="T2599" s="72">
        <f t="shared" si="971"/>
        <v>0.97829192946325139</v>
      </c>
      <c r="U2599" s="72">
        <f t="shared" si="972"/>
        <v>1</v>
      </c>
    </row>
    <row r="2600" spans="1:21" x14ac:dyDescent="0.25">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0.85499999999999998</v>
      </c>
      <c r="P2600" s="72">
        <f t="shared" si="967"/>
        <v>0</v>
      </c>
      <c r="Q2600" s="72">
        <f t="shared" si="968"/>
        <v>0</v>
      </c>
      <c r="R2600" s="72">
        <f t="shared" si="969"/>
        <v>0.875</v>
      </c>
      <c r="S2600" s="72">
        <f t="shared" si="970"/>
        <v>1.0058823529411764</v>
      </c>
      <c r="T2600" s="72">
        <f t="shared" si="971"/>
        <v>0.97943107221006553</v>
      </c>
      <c r="U2600" s="72">
        <f t="shared" si="972"/>
        <v>1</v>
      </c>
    </row>
    <row r="2601" spans="1:21" x14ac:dyDescent="0.25">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0.85499999999999998</v>
      </c>
      <c r="P2601" s="72">
        <f t="shared" si="967"/>
        <v>0</v>
      </c>
      <c r="Q2601" s="72">
        <f t="shared" si="968"/>
        <v>0</v>
      </c>
      <c r="R2601" s="72">
        <f t="shared" si="969"/>
        <v>0.79166666666666663</v>
      </c>
      <c r="S2601" s="72">
        <f t="shared" si="970"/>
        <v>1.0058823529411764</v>
      </c>
      <c r="T2601" s="72">
        <f t="shared" si="971"/>
        <v>0.9805702149568799</v>
      </c>
      <c r="U2601" s="72">
        <f t="shared" si="972"/>
        <v>1</v>
      </c>
    </row>
    <row r="2602" spans="1:21" x14ac:dyDescent="0.25">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0.85499999999999998</v>
      </c>
      <c r="P2602" s="72">
        <f t="shared" si="967"/>
        <v>0</v>
      </c>
      <c r="Q2602" s="72">
        <f t="shared" si="968"/>
        <v>0</v>
      </c>
      <c r="R2602" s="72">
        <f t="shared" si="969"/>
        <v>0.70833333333333337</v>
      </c>
      <c r="S2602" s="72">
        <f t="shared" si="970"/>
        <v>1.0058823529411764</v>
      </c>
      <c r="T2602" s="72">
        <f t="shared" si="971"/>
        <v>0.98174797271206071</v>
      </c>
      <c r="U2602" s="72">
        <f t="shared" si="972"/>
        <v>1</v>
      </c>
    </row>
    <row r="2603" spans="1:21" x14ac:dyDescent="0.25">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0.85499999999999998</v>
      </c>
      <c r="P2603" s="72">
        <f t="shared" si="967"/>
        <v>0</v>
      </c>
      <c r="Q2603" s="72">
        <f t="shared" si="968"/>
        <v>0</v>
      </c>
      <c r="R2603" s="72">
        <f t="shared" si="969"/>
        <v>0.625</v>
      </c>
      <c r="S2603" s="72">
        <f t="shared" si="970"/>
        <v>1.0058823529411764</v>
      </c>
      <c r="T2603" s="72">
        <f t="shared" si="971"/>
        <v>0.98292573046724163</v>
      </c>
      <c r="U2603" s="72">
        <f t="shared" si="972"/>
        <v>1</v>
      </c>
    </row>
    <row r="2604" spans="1:21" x14ac:dyDescent="0.25">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0.85499999999999998</v>
      </c>
      <c r="P2604" s="72">
        <f t="shared" si="967"/>
        <v>0</v>
      </c>
      <c r="Q2604" s="72">
        <f t="shared" si="968"/>
        <v>0</v>
      </c>
      <c r="R2604" s="72">
        <f t="shared" si="969"/>
        <v>0.54166666666666663</v>
      </c>
      <c r="S2604" s="72">
        <f t="shared" si="970"/>
        <v>1.0058823529411764</v>
      </c>
      <c r="T2604" s="72">
        <f t="shared" si="971"/>
        <v>0.98410348822242244</v>
      </c>
      <c r="U2604" s="72">
        <f t="shared" si="972"/>
        <v>1</v>
      </c>
    </row>
    <row r="2605" spans="1:21" x14ac:dyDescent="0.25">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0.85499999999999998</v>
      </c>
      <c r="P2605" s="72">
        <f t="shared" si="967"/>
        <v>0</v>
      </c>
      <c r="Q2605" s="72">
        <f t="shared" si="968"/>
        <v>0</v>
      </c>
      <c r="R2605" s="72">
        <f t="shared" si="969"/>
        <v>0.45833333333333331</v>
      </c>
      <c r="S2605" s="72">
        <f t="shared" si="970"/>
        <v>1.0058823529411764</v>
      </c>
      <c r="T2605" s="72">
        <f t="shared" si="971"/>
        <v>0.98528124597760325</v>
      </c>
      <c r="U2605" s="72">
        <f t="shared" si="972"/>
        <v>1</v>
      </c>
    </row>
    <row r="2606" spans="1:21" x14ac:dyDescent="0.25">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0.85499999999999998</v>
      </c>
      <c r="P2606" s="72">
        <f t="shared" si="967"/>
        <v>0</v>
      </c>
      <c r="Q2606" s="72">
        <f t="shared" si="968"/>
        <v>0</v>
      </c>
      <c r="R2606" s="72">
        <f t="shared" si="969"/>
        <v>0.375</v>
      </c>
      <c r="S2606" s="72">
        <f t="shared" si="970"/>
        <v>1.0058823529411764</v>
      </c>
      <c r="T2606" s="72">
        <f t="shared" si="971"/>
        <v>0.98647831123696739</v>
      </c>
      <c r="U2606" s="72">
        <f t="shared" si="972"/>
        <v>1</v>
      </c>
    </row>
    <row r="2607" spans="1:21" x14ac:dyDescent="0.25">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0.85499999999999998</v>
      </c>
      <c r="P2607" s="72">
        <f t="shared" si="967"/>
        <v>0</v>
      </c>
      <c r="Q2607" s="72">
        <f t="shared" si="968"/>
        <v>0</v>
      </c>
      <c r="R2607" s="72">
        <f t="shared" si="969"/>
        <v>0.29166666666666669</v>
      </c>
      <c r="S2607" s="72">
        <f t="shared" si="970"/>
        <v>1.0058823529411764</v>
      </c>
      <c r="T2607" s="72">
        <f t="shared" si="971"/>
        <v>0.98765606899214831</v>
      </c>
      <c r="U2607" s="72">
        <f t="shared" si="972"/>
        <v>1</v>
      </c>
    </row>
    <row r="2608" spans="1:21" x14ac:dyDescent="0.25">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0.85499999999999998</v>
      </c>
      <c r="P2608" s="72">
        <f t="shared" si="967"/>
        <v>0</v>
      </c>
      <c r="Q2608" s="72">
        <f t="shared" si="968"/>
        <v>0</v>
      </c>
      <c r="R2608" s="72">
        <f t="shared" si="969"/>
        <v>0.20833333333333334</v>
      </c>
      <c r="S2608" s="72">
        <f t="shared" si="970"/>
        <v>1.0058823529411764</v>
      </c>
      <c r="T2608" s="72">
        <f t="shared" si="971"/>
        <v>0.98883382674732911</v>
      </c>
      <c r="U2608" s="72">
        <f t="shared" si="972"/>
        <v>1</v>
      </c>
    </row>
    <row r="2609" spans="1:21" x14ac:dyDescent="0.25">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0.85499999999999998</v>
      </c>
      <c r="P2609" s="72">
        <f t="shared" si="967"/>
        <v>0</v>
      </c>
      <c r="Q2609" s="72">
        <f t="shared" si="968"/>
        <v>0</v>
      </c>
      <c r="R2609" s="72">
        <f t="shared" si="969"/>
        <v>0.125</v>
      </c>
      <c r="S2609" s="72">
        <f t="shared" si="970"/>
        <v>1.0058823529411764</v>
      </c>
      <c r="T2609" s="72">
        <f t="shared" si="971"/>
        <v>0.99001158450251003</v>
      </c>
      <c r="U2609" s="72">
        <f t="shared" si="972"/>
        <v>1</v>
      </c>
    </row>
    <row r="2610" spans="1:21" x14ac:dyDescent="0.25">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0.85499999999999998</v>
      </c>
      <c r="P2610" s="72">
        <f t="shared" si="967"/>
        <v>0</v>
      </c>
      <c r="Q2610" s="72">
        <f t="shared" si="968"/>
        <v>0</v>
      </c>
      <c r="R2610" s="72">
        <f t="shared" si="969"/>
        <v>4.1666666666666664E-2</v>
      </c>
      <c r="S2610" s="72">
        <f t="shared" si="970"/>
        <v>1.0058823529411764</v>
      </c>
      <c r="T2610" s="72">
        <f t="shared" si="971"/>
        <v>0.99118934225769084</v>
      </c>
      <c r="U2610" s="72">
        <f t="shared" si="972"/>
        <v>1</v>
      </c>
    </row>
    <row r="2611" spans="1:21" x14ac:dyDescent="0.25">
      <c r="A2611" s="77" t="s">
        <v>1209</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0.84299370897155379</v>
      </c>
      <c r="G2611" s="169">
        <f>SUMPRODUCT($H$2563:$H$2610,$R$2563:$R$2610,$O$2563:$O$2610)/SUMPRODUCT($H$2563:$H$2610,$R$2563:$R$2610)</f>
        <v>0.85298453455506928</v>
      </c>
    </row>
    <row r="2614" spans="1:21" x14ac:dyDescent="0.25">
      <c r="A2614" s="77" t="str">
        <f>INDEX(lr_key,48)</f>
        <v>BU-C|GA</v>
      </c>
      <c r="B2614" s="77" t="str">
        <f>INDEX(lr_state,48)</f>
        <v>GA</v>
      </c>
      <c r="C2614" s="52">
        <f>nr_TermMonths</f>
        <v>12</v>
      </c>
      <c r="D2614" s="52">
        <f>IF(COUNTIF(se_state,$B2614)=0,0,MATCH($B2614,se_state,0))</f>
        <v>0</v>
      </c>
      <c r="E2614" s="54">
        <f>IF($D2614=0,0,INDEX(se_sum,$D2614))</f>
        <v>0</v>
      </c>
      <c r="F2614" s="169">
        <f>IF(N(INDEX(lr_mind,48))=0,1,INDEX(lr_mind,48))</f>
        <v>0.85</v>
      </c>
      <c r="G2614" s="169">
        <f>IF(N(INDEX(lr_m0,48))=0,1,INDEX(lr_m0,48))</f>
        <v>0.84</v>
      </c>
      <c r="H2614" s="51">
        <f>IF(N(INDEX(lr_m0asof,48))=0,DATE(nr_PlanYear-1,10,1),INDEX(lr_m0asof,48))</f>
        <v>46295</v>
      </c>
      <c r="I2614" s="169">
        <f>IF(N(INDEX(lr_m1,48))=0,1,INDEX(lr_m1,48))</f>
        <v>0.83499999999999996</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25">
      <c r="A2615" s="77">
        <f>EDATE($H$2614,-12)+1</f>
        <v>45931</v>
      </c>
      <c r="B2615" s="77">
        <f>$H$2614+1</f>
        <v>46296</v>
      </c>
      <c r="C2615" s="77">
        <f>DATE(nr_PlanYear,12,31)+1</f>
        <v>46753</v>
      </c>
      <c r="D2615" s="77">
        <f>DATE(nr_PlanYear+1,12,31)+1</f>
        <v>47119</v>
      </c>
      <c r="E2615" s="77">
        <f>IF(N($J$2614)=0,$F$2615-($G$2615-$F$2615)/($C$2615-$B$2615)*($B$2615-$A$2615),$J$2614)</f>
        <v>0.84399343544857763</v>
      </c>
      <c r="F2615" s="77">
        <f>$G$2614</f>
        <v>0.84</v>
      </c>
      <c r="G2615" s="77">
        <f>$I$2614</f>
        <v>0.83499999999999996</v>
      </c>
      <c r="H2615" s="77">
        <f>IF(N($K$2614)=0,$I$2614,$K$2614)</f>
        <v>0.83499999999999996</v>
      </c>
      <c r="I2615" s="77">
        <f>($F$2615-$E$2615)/($B$2615-$A$2615)</f>
        <v>-1.0940919037199081E-5</v>
      </c>
      <c r="J2615" s="77">
        <f>($G$2615-$F$2615)/($C$2615-$B$2615)</f>
        <v>-1.0940919037199135E-5</v>
      </c>
      <c r="K2615" s="77">
        <f>($H$2615-$G$2615)/($D$2615-$C$2615)</f>
        <v>0</v>
      </c>
    </row>
    <row r="2616" spans="1:21" ht="24" x14ac:dyDescent="0.25">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25">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0.84681072210065644</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0.99624790835371346</v>
      </c>
      <c r="T2617" s="72">
        <f t="shared" ref="T2617:T2664" si="991">IF($G2617&lt;nr_MStartP,$S2617,$T2605*(1+IF($G2617&lt;nr_MStartP1,$M$2614,$N$2614)))</f>
        <v>0.99624790835371346</v>
      </c>
      <c r="U2617" s="72">
        <f t="shared" ref="U2617:U2664" si="992">IF($L$2614,$T2617,$N2617)</f>
        <v>1</v>
      </c>
    </row>
    <row r="2618" spans="1:21" x14ac:dyDescent="0.25">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0.84648796498905898</v>
      </c>
      <c r="P2618" s="72">
        <f t="shared" si="987"/>
        <v>0.125</v>
      </c>
      <c r="Q2618" s="72">
        <f t="shared" si="988"/>
        <v>0</v>
      </c>
      <c r="R2618" s="72">
        <f t="shared" si="989"/>
        <v>0</v>
      </c>
      <c r="S2618" s="72">
        <f t="shared" si="990"/>
        <v>0.99586819410477534</v>
      </c>
      <c r="T2618" s="72">
        <f t="shared" si="991"/>
        <v>0.99586819410477534</v>
      </c>
      <c r="U2618" s="72">
        <f t="shared" si="992"/>
        <v>1</v>
      </c>
    </row>
    <row r="2619" spans="1:21" x14ac:dyDescent="0.25">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0.84616520787746163</v>
      </c>
      <c r="P2619" s="72">
        <f t="shared" si="987"/>
        <v>0.20833333333333337</v>
      </c>
      <c r="Q2619" s="72">
        <f t="shared" si="988"/>
        <v>0</v>
      </c>
      <c r="R2619" s="72">
        <f t="shared" si="989"/>
        <v>0</v>
      </c>
      <c r="S2619" s="72">
        <f t="shared" si="990"/>
        <v>0.99548847985583722</v>
      </c>
      <c r="T2619" s="72">
        <f t="shared" si="991"/>
        <v>0.99548847985583722</v>
      </c>
      <c r="U2619" s="72">
        <f t="shared" si="992"/>
        <v>1</v>
      </c>
    </row>
    <row r="2620" spans="1:21" x14ac:dyDescent="0.25">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0.84583150984682709</v>
      </c>
      <c r="P2620" s="72">
        <f t="shared" si="987"/>
        <v>0.29166666666666663</v>
      </c>
      <c r="Q2620" s="72">
        <f t="shared" si="988"/>
        <v>0</v>
      </c>
      <c r="R2620" s="72">
        <f t="shared" si="989"/>
        <v>0</v>
      </c>
      <c r="S2620" s="72">
        <f t="shared" si="990"/>
        <v>0.99509589393744369</v>
      </c>
      <c r="T2620" s="72">
        <f t="shared" si="991"/>
        <v>0.99509589393744369</v>
      </c>
      <c r="U2620" s="72">
        <f t="shared" si="992"/>
        <v>1</v>
      </c>
    </row>
    <row r="2621" spans="1:21" x14ac:dyDescent="0.25">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0.84549781181619255</v>
      </c>
      <c r="P2621" s="72">
        <f t="shared" si="987"/>
        <v>0.375</v>
      </c>
      <c r="Q2621" s="72">
        <f t="shared" si="988"/>
        <v>0</v>
      </c>
      <c r="R2621" s="72">
        <f t="shared" si="989"/>
        <v>0</v>
      </c>
      <c r="S2621" s="72">
        <f t="shared" si="990"/>
        <v>0.99470330801905005</v>
      </c>
      <c r="T2621" s="72">
        <f t="shared" si="991"/>
        <v>0.99470330801905005</v>
      </c>
      <c r="U2621" s="72">
        <f t="shared" si="992"/>
        <v>1</v>
      </c>
    </row>
    <row r="2622" spans="1:21" x14ac:dyDescent="0.25">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0.84516411378555789</v>
      </c>
      <c r="P2622" s="72">
        <f t="shared" si="987"/>
        <v>0.45833333333333337</v>
      </c>
      <c r="Q2622" s="72">
        <f t="shared" si="988"/>
        <v>0</v>
      </c>
      <c r="R2622" s="72">
        <f t="shared" si="989"/>
        <v>0</v>
      </c>
      <c r="S2622" s="72">
        <f t="shared" si="990"/>
        <v>0.99431072210065641</v>
      </c>
      <c r="T2622" s="72">
        <f t="shared" si="991"/>
        <v>0.99431072210065641</v>
      </c>
      <c r="U2622" s="72">
        <f t="shared" si="992"/>
        <v>1</v>
      </c>
    </row>
    <row r="2623" spans="1:21" x14ac:dyDescent="0.25">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0.84483041575492335</v>
      </c>
      <c r="P2623" s="72">
        <f t="shared" si="987"/>
        <v>0.54166666666666674</v>
      </c>
      <c r="Q2623" s="72">
        <f t="shared" si="988"/>
        <v>0</v>
      </c>
      <c r="R2623" s="72">
        <f t="shared" si="989"/>
        <v>0</v>
      </c>
      <c r="S2623" s="72">
        <f t="shared" si="990"/>
        <v>0.99391813618226277</v>
      </c>
      <c r="T2623" s="72">
        <f t="shared" si="991"/>
        <v>0.99391813618226277</v>
      </c>
      <c r="U2623" s="72">
        <f t="shared" si="992"/>
        <v>1</v>
      </c>
    </row>
    <row r="2624" spans="1:21" x14ac:dyDescent="0.25">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0.84449124726477021</v>
      </c>
      <c r="P2624" s="72">
        <f t="shared" si="987"/>
        <v>0.625</v>
      </c>
      <c r="Q2624" s="72">
        <f t="shared" si="988"/>
        <v>0</v>
      </c>
      <c r="R2624" s="72">
        <f t="shared" si="989"/>
        <v>0</v>
      </c>
      <c r="S2624" s="72">
        <f t="shared" si="990"/>
        <v>0.99351911442914143</v>
      </c>
      <c r="T2624" s="72">
        <f t="shared" si="991"/>
        <v>0.99351911442914143</v>
      </c>
      <c r="U2624" s="72">
        <f t="shared" si="992"/>
        <v>1</v>
      </c>
    </row>
    <row r="2625" spans="1:21" x14ac:dyDescent="0.25">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0.84415754923413566</v>
      </c>
      <c r="P2625" s="72">
        <f t="shared" si="987"/>
        <v>0.70833333333333326</v>
      </c>
      <c r="Q2625" s="72">
        <f t="shared" si="988"/>
        <v>0</v>
      </c>
      <c r="R2625" s="72">
        <f t="shared" si="989"/>
        <v>0</v>
      </c>
      <c r="S2625" s="72">
        <f t="shared" si="990"/>
        <v>0.9931265285107479</v>
      </c>
      <c r="T2625" s="72">
        <f t="shared" si="991"/>
        <v>0.9931265285107479</v>
      </c>
      <c r="U2625" s="72">
        <f t="shared" si="992"/>
        <v>1</v>
      </c>
    </row>
    <row r="2626" spans="1:21" x14ac:dyDescent="0.25">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0.84382385120350101</v>
      </c>
      <c r="P2626" s="72">
        <f t="shared" si="987"/>
        <v>0.79166666666666663</v>
      </c>
      <c r="Q2626" s="72">
        <f t="shared" si="988"/>
        <v>0</v>
      </c>
      <c r="R2626" s="72">
        <f t="shared" si="989"/>
        <v>0</v>
      </c>
      <c r="S2626" s="72">
        <f t="shared" si="990"/>
        <v>0.99273394259235415</v>
      </c>
      <c r="T2626" s="72">
        <f t="shared" si="991"/>
        <v>0.99273394259235415</v>
      </c>
      <c r="U2626" s="72">
        <f t="shared" si="992"/>
        <v>1</v>
      </c>
    </row>
    <row r="2627" spans="1:21" x14ac:dyDescent="0.25">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0.84349015317286646</v>
      </c>
      <c r="P2627" s="72">
        <f t="shared" si="987"/>
        <v>0.875</v>
      </c>
      <c r="Q2627" s="72">
        <f t="shared" si="988"/>
        <v>0</v>
      </c>
      <c r="R2627" s="72">
        <f t="shared" si="989"/>
        <v>0</v>
      </c>
      <c r="S2627" s="72">
        <f t="shared" si="990"/>
        <v>0.99234135667396062</v>
      </c>
      <c r="T2627" s="72">
        <f t="shared" si="991"/>
        <v>0.99234135667396062</v>
      </c>
      <c r="U2627" s="72">
        <f t="shared" si="992"/>
        <v>1</v>
      </c>
    </row>
    <row r="2628" spans="1:21" x14ac:dyDescent="0.25">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0.84315645514223192</v>
      </c>
      <c r="P2628" s="72">
        <f t="shared" si="987"/>
        <v>0.95833333333333337</v>
      </c>
      <c r="Q2628" s="72">
        <f t="shared" si="988"/>
        <v>0</v>
      </c>
      <c r="R2628" s="72">
        <f t="shared" si="989"/>
        <v>0</v>
      </c>
      <c r="S2628" s="72">
        <f t="shared" si="990"/>
        <v>0.99194877075556698</v>
      </c>
      <c r="T2628" s="72">
        <f t="shared" si="991"/>
        <v>0.99194877075556698</v>
      </c>
      <c r="U2628" s="72">
        <f t="shared" si="992"/>
        <v>1</v>
      </c>
    </row>
    <row r="2629" spans="1:21" x14ac:dyDescent="0.25">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0.84281728665207878</v>
      </c>
      <c r="P2629" s="72">
        <f t="shared" si="987"/>
        <v>0.95833333333333337</v>
      </c>
      <c r="Q2629" s="72">
        <f t="shared" si="988"/>
        <v>4.166666666666663E-2</v>
      </c>
      <c r="R2629" s="72">
        <f t="shared" si="989"/>
        <v>0</v>
      </c>
      <c r="S2629" s="72">
        <f t="shared" si="990"/>
        <v>0.99154974900244564</v>
      </c>
      <c r="T2629" s="72">
        <f t="shared" si="991"/>
        <v>0.99154974900244564</v>
      </c>
      <c r="U2629" s="72">
        <f t="shared" si="992"/>
        <v>1</v>
      </c>
    </row>
    <row r="2630" spans="1:21" x14ac:dyDescent="0.25">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0.84249452954048132</v>
      </c>
      <c r="P2630" s="72">
        <f t="shared" si="987"/>
        <v>0.875</v>
      </c>
      <c r="Q2630" s="72">
        <f t="shared" si="988"/>
        <v>0.125</v>
      </c>
      <c r="R2630" s="72">
        <f t="shared" si="989"/>
        <v>0</v>
      </c>
      <c r="S2630" s="72">
        <f t="shared" si="990"/>
        <v>0.99117003475350751</v>
      </c>
      <c r="T2630" s="72">
        <f t="shared" si="991"/>
        <v>0.99117003475350751</v>
      </c>
      <c r="U2630" s="72">
        <f t="shared" si="992"/>
        <v>1</v>
      </c>
    </row>
    <row r="2631" spans="1:21" x14ac:dyDescent="0.25">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0.84217177242888397</v>
      </c>
      <c r="P2631" s="72">
        <f t="shared" si="987"/>
        <v>0.79166666666666663</v>
      </c>
      <c r="Q2631" s="72">
        <f t="shared" si="988"/>
        <v>0.20833333333333337</v>
      </c>
      <c r="R2631" s="72">
        <f t="shared" si="989"/>
        <v>0</v>
      </c>
      <c r="S2631" s="72">
        <f t="shared" si="990"/>
        <v>0.99079032050456939</v>
      </c>
      <c r="T2631" s="72">
        <f t="shared" si="991"/>
        <v>0.99079032050456939</v>
      </c>
      <c r="U2631" s="72">
        <f t="shared" si="992"/>
        <v>1</v>
      </c>
    </row>
    <row r="2632" spans="1:21" x14ac:dyDescent="0.25">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0.84183807439824943</v>
      </c>
      <c r="P2632" s="72">
        <f t="shared" si="987"/>
        <v>0.70833333333333337</v>
      </c>
      <c r="Q2632" s="72">
        <f t="shared" si="988"/>
        <v>0.29166666666666663</v>
      </c>
      <c r="R2632" s="72">
        <f t="shared" si="989"/>
        <v>0</v>
      </c>
      <c r="S2632" s="72">
        <f t="shared" si="990"/>
        <v>0.99039773458617586</v>
      </c>
      <c r="T2632" s="72">
        <f t="shared" si="991"/>
        <v>0.99039773458617586</v>
      </c>
      <c r="U2632" s="72">
        <f t="shared" si="992"/>
        <v>1</v>
      </c>
    </row>
    <row r="2633" spans="1:21" x14ac:dyDescent="0.25">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0.84150437636761488</v>
      </c>
      <c r="P2633" s="72">
        <f t="shared" si="987"/>
        <v>0.625</v>
      </c>
      <c r="Q2633" s="72">
        <f t="shared" si="988"/>
        <v>0.375</v>
      </c>
      <c r="R2633" s="72">
        <f t="shared" si="989"/>
        <v>0</v>
      </c>
      <c r="S2633" s="72">
        <f t="shared" si="990"/>
        <v>0.99000514866778222</v>
      </c>
      <c r="T2633" s="72">
        <f t="shared" si="991"/>
        <v>0.99000514866778222</v>
      </c>
      <c r="U2633" s="72">
        <f t="shared" si="992"/>
        <v>1</v>
      </c>
    </row>
    <row r="2634" spans="1:21" x14ac:dyDescent="0.25">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0.84117067833698023</v>
      </c>
      <c r="P2634" s="72">
        <f t="shared" si="987"/>
        <v>0.54166666666666663</v>
      </c>
      <c r="Q2634" s="72">
        <f t="shared" si="988"/>
        <v>0.45833333333333337</v>
      </c>
      <c r="R2634" s="72">
        <f t="shared" si="989"/>
        <v>0</v>
      </c>
      <c r="S2634" s="72">
        <f t="shared" si="990"/>
        <v>0.98961256274938858</v>
      </c>
      <c r="T2634" s="72">
        <f t="shared" si="991"/>
        <v>0.98961256274938858</v>
      </c>
      <c r="U2634" s="72">
        <f t="shared" si="992"/>
        <v>1</v>
      </c>
    </row>
    <row r="2635" spans="1:21" x14ac:dyDescent="0.25">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0.84083698030634568</v>
      </c>
      <c r="P2635" s="72">
        <f t="shared" si="987"/>
        <v>0.45833333333333331</v>
      </c>
      <c r="Q2635" s="72">
        <f t="shared" si="988"/>
        <v>0.54166666666666674</v>
      </c>
      <c r="R2635" s="72">
        <f t="shared" si="989"/>
        <v>0</v>
      </c>
      <c r="S2635" s="72">
        <f t="shared" si="990"/>
        <v>0.98921997683099494</v>
      </c>
      <c r="T2635" s="72">
        <f t="shared" si="991"/>
        <v>0.98921997683099494</v>
      </c>
      <c r="U2635" s="72">
        <f t="shared" si="992"/>
        <v>1</v>
      </c>
    </row>
    <row r="2636" spans="1:21" x14ac:dyDescent="0.25">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0.84049781181619254</v>
      </c>
      <c r="P2636" s="72">
        <f t="shared" si="987"/>
        <v>0.375</v>
      </c>
      <c r="Q2636" s="72">
        <f t="shared" si="988"/>
        <v>0.625</v>
      </c>
      <c r="R2636" s="72">
        <f t="shared" si="989"/>
        <v>0</v>
      </c>
      <c r="S2636" s="72">
        <f t="shared" si="990"/>
        <v>0.9888209550778736</v>
      </c>
      <c r="T2636" s="72">
        <f t="shared" si="991"/>
        <v>0.9888209550778736</v>
      </c>
      <c r="U2636" s="72">
        <f t="shared" si="992"/>
        <v>1</v>
      </c>
    </row>
    <row r="2637" spans="1:21" x14ac:dyDescent="0.25">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0.840164113785558</v>
      </c>
      <c r="P2637" s="72">
        <f t="shared" si="987"/>
        <v>0.29166666666666669</v>
      </c>
      <c r="Q2637" s="72">
        <f t="shared" si="988"/>
        <v>0.70833333333333326</v>
      </c>
      <c r="R2637" s="72">
        <f t="shared" si="989"/>
        <v>0</v>
      </c>
      <c r="S2637" s="72">
        <f t="shared" si="990"/>
        <v>0.98842836915948007</v>
      </c>
      <c r="T2637" s="72">
        <f t="shared" si="991"/>
        <v>0.98842836915948007</v>
      </c>
      <c r="U2637" s="72">
        <f t="shared" si="992"/>
        <v>1</v>
      </c>
    </row>
    <row r="2638" spans="1:21" x14ac:dyDescent="0.25">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0.83983041575492334</v>
      </c>
      <c r="P2638" s="72">
        <f t="shared" si="987"/>
        <v>0.20833333333333334</v>
      </c>
      <c r="Q2638" s="72">
        <f t="shared" si="988"/>
        <v>0.79166666666666663</v>
      </c>
      <c r="R2638" s="72">
        <f t="shared" si="989"/>
        <v>0</v>
      </c>
      <c r="S2638" s="72">
        <f t="shared" si="990"/>
        <v>0.98803578324108632</v>
      </c>
      <c r="T2638" s="72">
        <f t="shared" si="991"/>
        <v>0.98803578324108632</v>
      </c>
      <c r="U2638" s="72">
        <f t="shared" si="992"/>
        <v>1</v>
      </c>
    </row>
    <row r="2639" spans="1:21" x14ac:dyDescent="0.25">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0.8394967177242888</v>
      </c>
      <c r="P2639" s="72">
        <f t="shared" si="987"/>
        <v>0.125</v>
      </c>
      <c r="Q2639" s="72">
        <f t="shared" si="988"/>
        <v>0.875</v>
      </c>
      <c r="R2639" s="72">
        <f t="shared" si="989"/>
        <v>0</v>
      </c>
      <c r="S2639" s="72">
        <f t="shared" si="990"/>
        <v>0.98764319732269268</v>
      </c>
      <c r="T2639" s="72">
        <f t="shared" si="991"/>
        <v>0.98764319732269268</v>
      </c>
      <c r="U2639" s="72">
        <f t="shared" si="992"/>
        <v>1</v>
      </c>
    </row>
    <row r="2640" spans="1:21" x14ac:dyDescent="0.25">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0.83916301969365426</v>
      </c>
      <c r="P2640" s="72">
        <f t="shared" si="987"/>
        <v>4.1666666666666664E-2</v>
      </c>
      <c r="Q2640" s="72">
        <f t="shared" si="988"/>
        <v>0.95833333333333337</v>
      </c>
      <c r="R2640" s="72">
        <f t="shared" si="989"/>
        <v>0</v>
      </c>
      <c r="S2640" s="72">
        <f t="shared" si="990"/>
        <v>0.98725061140429915</v>
      </c>
      <c r="T2640" s="72">
        <f t="shared" si="991"/>
        <v>0.98725061140429915</v>
      </c>
      <c r="U2640" s="72">
        <f t="shared" si="992"/>
        <v>1</v>
      </c>
    </row>
    <row r="2641" spans="1:21" x14ac:dyDescent="0.25">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0.83882385120350111</v>
      </c>
      <c r="P2641" s="72">
        <f t="shared" si="987"/>
        <v>0</v>
      </c>
      <c r="Q2641" s="72">
        <f t="shared" si="988"/>
        <v>0.95833333333333337</v>
      </c>
      <c r="R2641" s="72">
        <f t="shared" si="989"/>
        <v>4.166666666666663E-2</v>
      </c>
      <c r="S2641" s="72">
        <f t="shared" si="990"/>
        <v>0.98685158965117781</v>
      </c>
      <c r="T2641" s="72">
        <f t="shared" si="991"/>
        <v>0.99154974900244564</v>
      </c>
      <c r="U2641" s="72">
        <f t="shared" si="992"/>
        <v>1</v>
      </c>
    </row>
    <row r="2642" spans="1:21" x14ac:dyDescent="0.25">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0.83850109409190365</v>
      </c>
      <c r="P2642" s="72">
        <f t="shared" si="987"/>
        <v>0</v>
      </c>
      <c r="Q2642" s="72">
        <f t="shared" si="988"/>
        <v>0.875</v>
      </c>
      <c r="R2642" s="72">
        <f t="shared" si="989"/>
        <v>0.125</v>
      </c>
      <c r="S2642" s="72">
        <f t="shared" si="990"/>
        <v>0.98647187540223957</v>
      </c>
      <c r="T2642" s="72">
        <f t="shared" si="991"/>
        <v>0.99117003475350751</v>
      </c>
      <c r="U2642" s="72">
        <f t="shared" si="992"/>
        <v>1</v>
      </c>
    </row>
    <row r="2643" spans="1:21" x14ac:dyDescent="0.25">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0.8381783369803063</v>
      </c>
      <c r="P2643" s="72">
        <f t="shared" si="987"/>
        <v>0</v>
      </c>
      <c r="Q2643" s="72">
        <f t="shared" si="988"/>
        <v>0.79166666666666663</v>
      </c>
      <c r="R2643" s="72">
        <f t="shared" si="989"/>
        <v>0.20833333333333337</v>
      </c>
      <c r="S2643" s="72">
        <f t="shared" si="990"/>
        <v>0.98609216115330156</v>
      </c>
      <c r="T2643" s="72">
        <f t="shared" si="991"/>
        <v>0.99079032050456939</v>
      </c>
      <c r="U2643" s="72">
        <f t="shared" si="992"/>
        <v>1</v>
      </c>
    </row>
    <row r="2644" spans="1:21" x14ac:dyDescent="0.25">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0.83784463894967176</v>
      </c>
      <c r="P2644" s="72">
        <f t="shared" si="987"/>
        <v>0</v>
      </c>
      <c r="Q2644" s="72">
        <f t="shared" si="988"/>
        <v>0.70833333333333337</v>
      </c>
      <c r="R2644" s="72">
        <f t="shared" si="989"/>
        <v>0.29166666666666663</v>
      </c>
      <c r="S2644" s="72">
        <f t="shared" si="990"/>
        <v>0.98569957523490803</v>
      </c>
      <c r="T2644" s="72">
        <f t="shared" si="991"/>
        <v>0.99039773458617586</v>
      </c>
      <c r="U2644" s="72">
        <f t="shared" si="992"/>
        <v>1</v>
      </c>
    </row>
    <row r="2645" spans="1:21" x14ac:dyDescent="0.25">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0.83751094091903722</v>
      </c>
      <c r="P2645" s="72">
        <f t="shared" si="987"/>
        <v>0</v>
      </c>
      <c r="Q2645" s="72">
        <f t="shared" si="988"/>
        <v>0.625</v>
      </c>
      <c r="R2645" s="72">
        <f t="shared" si="989"/>
        <v>0.375</v>
      </c>
      <c r="S2645" s="72">
        <f t="shared" si="990"/>
        <v>0.98530698931651439</v>
      </c>
      <c r="T2645" s="72">
        <f t="shared" si="991"/>
        <v>0.99000514866778222</v>
      </c>
      <c r="U2645" s="72">
        <f t="shared" si="992"/>
        <v>1</v>
      </c>
    </row>
    <row r="2646" spans="1:21" x14ac:dyDescent="0.25">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0.83717724288840256</v>
      </c>
      <c r="P2646" s="72">
        <f t="shared" si="987"/>
        <v>0</v>
      </c>
      <c r="Q2646" s="72">
        <f t="shared" si="988"/>
        <v>0.54166666666666663</v>
      </c>
      <c r="R2646" s="72">
        <f t="shared" si="989"/>
        <v>0.45833333333333337</v>
      </c>
      <c r="S2646" s="72">
        <f t="shared" si="990"/>
        <v>0.98491440339812064</v>
      </c>
      <c r="T2646" s="72">
        <f t="shared" si="991"/>
        <v>0.98961256274938858</v>
      </c>
      <c r="U2646" s="72">
        <f t="shared" si="992"/>
        <v>1</v>
      </c>
    </row>
    <row r="2647" spans="1:21" x14ac:dyDescent="0.25">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0.83684354485776802</v>
      </c>
      <c r="P2647" s="72">
        <f t="shared" si="987"/>
        <v>0</v>
      </c>
      <c r="Q2647" s="72">
        <f t="shared" si="988"/>
        <v>0.45833333333333331</v>
      </c>
      <c r="R2647" s="72">
        <f t="shared" si="989"/>
        <v>0.54166666666666674</v>
      </c>
      <c r="S2647" s="72">
        <f t="shared" si="990"/>
        <v>0.98452181747972711</v>
      </c>
      <c r="T2647" s="72">
        <f t="shared" si="991"/>
        <v>0.98921997683099494</v>
      </c>
      <c r="U2647" s="72">
        <f t="shared" si="992"/>
        <v>1</v>
      </c>
    </row>
    <row r="2648" spans="1:21" x14ac:dyDescent="0.25">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0.83650437636761488</v>
      </c>
      <c r="P2648" s="72">
        <f t="shared" si="987"/>
        <v>0</v>
      </c>
      <c r="Q2648" s="72">
        <f t="shared" si="988"/>
        <v>0.375</v>
      </c>
      <c r="R2648" s="72">
        <f t="shared" si="989"/>
        <v>0.625</v>
      </c>
      <c r="S2648" s="72">
        <f t="shared" si="990"/>
        <v>0.98412279572660577</v>
      </c>
      <c r="T2648" s="72">
        <f t="shared" si="991"/>
        <v>0.9888209550778736</v>
      </c>
      <c r="U2648" s="72">
        <f t="shared" si="992"/>
        <v>1</v>
      </c>
    </row>
    <row r="2649" spans="1:21" x14ac:dyDescent="0.25">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0.83617067833698022</v>
      </c>
      <c r="P2649" s="72">
        <f t="shared" si="987"/>
        <v>0</v>
      </c>
      <c r="Q2649" s="72">
        <f t="shared" si="988"/>
        <v>0.29166666666666669</v>
      </c>
      <c r="R2649" s="72">
        <f t="shared" si="989"/>
        <v>0.70833333333333326</v>
      </c>
      <c r="S2649" s="72">
        <f t="shared" si="990"/>
        <v>0.98373020980821202</v>
      </c>
      <c r="T2649" s="72">
        <f t="shared" si="991"/>
        <v>0.98842836915948007</v>
      </c>
      <c r="U2649" s="72">
        <f t="shared" si="992"/>
        <v>1</v>
      </c>
    </row>
    <row r="2650" spans="1:21" x14ac:dyDescent="0.25">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0.83583698030634568</v>
      </c>
      <c r="P2650" s="72">
        <f t="shared" si="987"/>
        <v>0</v>
      </c>
      <c r="Q2650" s="72">
        <f t="shared" si="988"/>
        <v>0.20833333333333334</v>
      </c>
      <c r="R2650" s="72">
        <f t="shared" si="989"/>
        <v>0.79166666666666663</v>
      </c>
      <c r="S2650" s="72">
        <f t="shared" si="990"/>
        <v>0.98333762388981849</v>
      </c>
      <c r="T2650" s="72">
        <f t="shared" si="991"/>
        <v>0.98803578324108632</v>
      </c>
      <c r="U2650" s="72">
        <f t="shared" si="992"/>
        <v>1</v>
      </c>
    </row>
    <row r="2651" spans="1:21" x14ac:dyDescent="0.25">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0.83550328227571113</v>
      </c>
      <c r="P2651" s="72">
        <f t="shared" si="987"/>
        <v>0</v>
      </c>
      <c r="Q2651" s="72">
        <f t="shared" si="988"/>
        <v>0.125</v>
      </c>
      <c r="R2651" s="72">
        <f t="shared" si="989"/>
        <v>0.875</v>
      </c>
      <c r="S2651" s="72">
        <f t="shared" si="990"/>
        <v>0.98294503797142485</v>
      </c>
      <c r="T2651" s="72">
        <f t="shared" si="991"/>
        <v>0.98764319732269268</v>
      </c>
      <c r="U2651" s="72">
        <f t="shared" si="992"/>
        <v>1</v>
      </c>
    </row>
    <row r="2652" spans="1:21" x14ac:dyDescent="0.25">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0.83516958424507659</v>
      </c>
      <c r="P2652" s="72">
        <f t="shared" si="987"/>
        <v>0</v>
      </c>
      <c r="Q2652" s="72">
        <f t="shared" si="988"/>
        <v>4.1666666666666664E-2</v>
      </c>
      <c r="R2652" s="72">
        <f t="shared" si="989"/>
        <v>0.95833333333333337</v>
      </c>
      <c r="S2652" s="72">
        <f t="shared" si="990"/>
        <v>0.98255245205303132</v>
      </c>
      <c r="T2652" s="72">
        <f t="shared" si="991"/>
        <v>0.98725061140429915</v>
      </c>
      <c r="U2652" s="72">
        <f t="shared" si="992"/>
        <v>1</v>
      </c>
    </row>
    <row r="2653" spans="1:21" x14ac:dyDescent="0.25">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0.83499999999999996</v>
      </c>
      <c r="P2653" s="72">
        <f t="shared" si="987"/>
        <v>0</v>
      </c>
      <c r="Q2653" s="72">
        <f t="shared" si="988"/>
        <v>0</v>
      </c>
      <c r="R2653" s="72">
        <f t="shared" si="989"/>
        <v>0.95833333333333337</v>
      </c>
      <c r="S2653" s="72">
        <f t="shared" si="990"/>
        <v>0.98235294117647054</v>
      </c>
      <c r="T2653" s="72">
        <f t="shared" si="991"/>
        <v>0.99154974900244564</v>
      </c>
      <c r="U2653" s="72">
        <f t="shared" si="992"/>
        <v>1</v>
      </c>
    </row>
    <row r="2654" spans="1:21" x14ac:dyDescent="0.25">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0.83499999999999996</v>
      </c>
      <c r="P2654" s="72">
        <f t="shared" si="987"/>
        <v>0</v>
      </c>
      <c r="Q2654" s="72">
        <f t="shared" si="988"/>
        <v>0</v>
      </c>
      <c r="R2654" s="72">
        <f t="shared" si="989"/>
        <v>0.875</v>
      </c>
      <c r="S2654" s="72">
        <f t="shared" si="990"/>
        <v>0.98235294117647054</v>
      </c>
      <c r="T2654" s="72">
        <f t="shared" si="991"/>
        <v>0.99117003475350751</v>
      </c>
      <c r="U2654" s="72">
        <f t="shared" si="992"/>
        <v>1</v>
      </c>
    </row>
    <row r="2655" spans="1:21" x14ac:dyDescent="0.25">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0.83499999999999996</v>
      </c>
      <c r="P2655" s="72">
        <f t="shared" si="987"/>
        <v>0</v>
      </c>
      <c r="Q2655" s="72">
        <f t="shared" si="988"/>
        <v>0</v>
      </c>
      <c r="R2655" s="72">
        <f t="shared" si="989"/>
        <v>0.79166666666666663</v>
      </c>
      <c r="S2655" s="72">
        <f t="shared" si="990"/>
        <v>0.98235294117647054</v>
      </c>
      <c r="T2655" s="72">
        <f t="shared" si="991"/>
        <v>0.99079032050456939</v>
      </c>
      <c r="U2655" s="72">
        <f t="shared" si="992"/>
        <v>1</v>
      </c>
    </row>
    <row r="2656" spans="1:21" x14ac:dyDescent="0.25">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0.83499999999999996</v>
      </c>
      <c r="P2656" s="72">
        <f t="shared" si="987"/>
        <v>0</v>
      </c>
      <c r="Q2656" s="72">
        <f t="shared" si="988"/>
        <v>0</v>
      </c>
      <c r="R2656" s="72">
        <f t="shared" si="989"/>
        <v>0.70833333333333337</v>
      </c>
      <c r="S2656" s="72">
        <f t="shared" si="990"/>
        <v>0.98235294117647054</v>
      </c>
      <c r="T2656" s="72">
        <f t="shared" si="991"/>
        <v>0.99039773458617586</v>
      </c>
      <c r="U2656" s="72">
        <f t="shared" si="992"/>
        <v>1</v>
      </c>
    </row>
    <row r="2657" spans="1:21" x14ac:dyDescent="0.25">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0.83499999999999996</v>
      </c>
      <c r="P2657" s="72">
        <f t="shared" si="987"/>
        <v>0</v>
      </c>
      <c r="Q2657" s="72">
        <f t="shared" si="988"/>
        <v>0</v>
      </c>
      <c r="R2657" s="72">
        <f t="shared" si="989"/>
        <v>0.625</v>
      </c>
      <c r="S2657" s="72">
        <f t="shared" si="990"/>
        <v>0.98235294117647054</v>
      </c>
      <c r="T2657" s="72">
        <f t="shared" si="991"/>
        <v>0.99000514866778222</v>
      </c>
      <c r="U2657" s="72">
        <f t="shared" si="992"/>
        <v>1</v>
      </c>
    </row>
    <row r="2658" spans="1:21" x14ac:dyDescent="0.25">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0.83499999999999996</v>
      </c>
      <c r="P2658" s="72">
        <f t="shared" si="987"/>
        <v>0</v>
      </c>
      <c r="Q2658" s="72">
        <f t="shared" si="988"/>
        <v>0</v>
      </c>
      <c r="R2658" s="72">
        <f t="shared" si="989"/>
        <v>0.54166666666666663</v>
      </c>
      <c r="S2658" s="72">
        <f t="shared" si="990"/>
        <v>0.98235294117647054</v>
      </c>
      <c r="T2658" s="72">
        <f t="shared" si="991"/>
        <v>0.98961256274938858</v>
      </c>
      <c r="U2658" s="72">
        <f t="shared" si="992"/>
        <v>1</v>
      </c>
    </row>
    <row r="2659" spans="1:21" x14ac:dyDescent="0.25">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0.83499999999999996</v>
      </c>
      <c r="P2659" s="72">
        <f t="shared" si="987"/>
        <v>0</v>
      </c>
      <c r="Q2659" s="72">
        <f t="shared" si="988"/>
        <v>0</v>
      </c>
      <c r="R2659" s="72">
        <f t="shared" si="989"/>
        <v>0.45833333333333331</v>
      </c>
      <c r="S2659" s="72">
        <f t="shared" si="990"/>
        <v>0.98235294117647054</v>
      </c>
      <c r="T2659" s="72">
        <f t="shared" si="991"/>
        <v>0.98921997683099494</v>
      </c>
      <c r="U2659" s="72">
        <f t="shared" si="992"/>
        <v>1</v>
      </c>
    </row>
    <row r="2660" spans="1:21" x14ac:dyDescent="0.25">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0.83499999999999996</v>
      </c>
      <c r="P2660" s="72">
        <f t="shared" si="987"/>
        <v>0</v>
      </c>
      <c r="Q2660" s="72">
        <f t="shared" si="988"/>
        <v>0</v>
      </c>
      <c r="R2660" s="72">
        <f t="shared" si="989"/>
        <v>0.375</v>
      </c>
      <c r="S2660" s="72">
        <f t="shared" si="990"/>
        <v>0.98235294117647054</v>
      </c>
      <c r="T2660" s="72">
        <f t="shared" si="991"/>
        <v>0.9888209550778736</v>
      </c>
      <c r="U2660" s="72">
        <f t="shared" si="992"/>
        <v>1</v>
      </c>
    </row>
    <row r="2661" spans="1:21" x14ac:dyDescent="0.25">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0.83499999999999996</v>
      </c>
      <c r="P2661" s="72">
        <f t="shared" si="987"/>
        <v>0</v>
      </c>
      <c r="Q2661" s="72">
        <f t="shared" si="988"/>
        <v>0</v>
      </c>
      <c r="R2661" s="72">
        <f t="shared" si="989"/>
        <v>0.29166666666666669</v>
      </c>
      <c r="S2661" s="72">
        <f t="shared" si="990"/>
        <v>0.98235294117647054</v>
      </c>
      <c r="T2661" s="72">
        <f t="shared" si="991"/>
        <v>0.98842836915948007</v>
      </c>
      <c r="U2661" s="72">
        <f t="shared" si="992"/>
        <v>1</v>
      </c>
    </row>
    <row r="2662" spans="1:21" x14ac:dyDescent="0.25">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0.83499999999999996</v>
      </c>
      <c r="P2662" s="72">
        <f t="shared" si="987"/>
        <v>0</v>
      </c>
      <c r="Q2662" s="72">
        <f t="shared" si="988"/>
        <v>0</v>
      </c>
      <c r="R2662" s="72">
        <f t="shared" si="989"/>
        <v>0.20833333333333334</v>
      </c>
      <c r="S2662" s="72">
        <f t="shared" si="990"/>
        <v>0.98235294117647054</v>
      </c>
      <c r="T2662" s="72">
        <f t="shared" si="991"/>
        <v>0.98803578324108632</v>
      </c>
      <c r="U2662" s="72">
        <f t="shared" si="992"/>
        <v>1</v>
      </c>
    </row>
    <row r="2663" spans="1:21" x14ac:dyDescent="0.25">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0.83499999999999996</v>
      </c>
      <c r="P2663" s="72">
        <f t="shared" si="987"/>
        <v>0</v>
      </c>
      <c r="Q2663" s="72">
        <f t="shared" si="988"/>
        <v>0</v>
      </c>
      <c r="R2663" s="72">
        <f t="shared" si="989"/>
        <v>0.125</v>
      </c>
      <c r="S2663" s="72">
        <f t="shared" si="990"/>
        <v>0.98235294117647054</v>
      </c>
      <c r="T2663" s="72">
        <f t="shared" si="991"/>
        <v>0.98764319732269268</v>
      </c>
      <c r="U2663" s="72">
        <f t="shared" si="992"/>
        <v>1</v>
      </c>
    </row>
    <row r="2664" spans="1:21" x14ac:dyDescent="0.25">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0.83499999999999996</v>
      </c>
      <c r="P2664" s="72">
        <f t="shared" si="987"/>
        <v>0</v>
      </c>
      <c r="Q2664" s="72">
        <f t="shared" si="988"/>
        <v>0</v>
      </c>
      <c r="R2664" s="72">
        <f t="shared" si="989"/>
        <v>4.1666666666666664E-2</v>
      </c>
      <c r="S2664" s="72">
        <f t="shared" si="990"/>
        <v>0.98235294117647054</v>
      </c>
      <c r="T2664" s="72">
        <f t="shared" si="991"/>
        <v>0.98725061140429915</v>
      </c>
      <c r="U2664" s="72">
        <f t="shared" si="992"/>
        <v>1</v>
      </c>
    </row>
    <row r="2665" spans="1:21" x14ac:dyDescent="0.25">
      <c r="A2665" s="77" t="s">
        <v>1209</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0.83900209700948214</v>
      </c>
      <c r="G2665" s="169">
        <f>SUMPRODUCT($H$2617:$H$2664,$R$2617:$R$2664,$O$2617:$O$2664)/SUMPRODUCT($H$2617:$H$2664,$R$2617:$R$2664)</f>
        <v>0.8356718218149769</v>
      </c>
    </row>
    <row r="2668" spans="1:21" x14ac:dyDescent="0.25">
      <c r="A2668" s="77" t="str">
        <f>INDEX(lr_key,49)</f>
        <v>BU-C|IL</v>
      </c>
      <c r="B2668" s="77" t="str">
        <f>INDEX(lr_state,49)</f>
        <v>IL</v>
      </c>
      <c r="C2668" s="52">
        <f>nr_TermMonths</f>
        <v>12</v>
      </c>
      <c r="D2668" s="52">
        <f>IF(COUNTIF(se_state,$B2668)=0,0,MATCH($B2668,se_state,0))</f>
        <v>1</v>
      </c>
      <c r="E2668" s="54">
        <f>IF($D2668=0,0,INDEX(se_sum,$D2668))</f>
        <v>11.999999999999998</v>
      </c>
      <c r="F2668" s="169">
        <f>IF(N(INDEX(lr_mind,49))=0,1,INDEX(lr_mind,49))</f>
        <v>0.85</v>
      </c>
      <c r="G2668" s="169">
        <f>IF(N(INDEX(lr_m0,49))=0,1,INDEX(lr_m0,49))</f>
        <v>0.84</v>
      </c>
      <c r="H2668" s="51">
        <f>IF(N(INDEX(lr_m0asof,49))=0,DATE(nr_PlanYear-1,10,1),INDEX(lr_m0asof,49))</f>
        <v>46295</v>
      </c>
      <c r="I2668" s="169">
        <f>IF(N(INDEX(lr_m1,49))=0,1,INDEX(lr_m1,49))</f>
        <v>0.85</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25">
      <c r="A2669" s="77">
        <f>EDATE($H$2668,-12)+1</f>
        <v>45931</v>
      </c>
      <c r="B2669" s="77">
        <f>$H$2668+1</f>
        <v>46296</v>
      </c>
      <c r="C2669" s="77">
        <f>DATE(nr_PlanYear,12,31)+1</f>
        <v>46753</v>
      </c>
      <c r="D2669" s="77">
        <f>DATE(nr_PlanYear+1,12,31)+1</f>
        <v>47119</v>
      </c>
      <c r="E2669" s="77">
        <f>IF(N($J$2668)=0,$F$2669-($G$2669-$F$2669)/($C$2669-$B$2669)*($B$2669-$A$2669),$J$2668)</f>
        <v>0.83201312910284464</v>
      </c>
      <c r="F2669" s="77">
        <f>$G$2668</f>
        <v>0.84</v>
      </c>
      <c r="G2669" s="77">
        <f>$I$2668</f>
        <v>0.85</v>
      </c>
      <c r="H2669" s="77">
        <f>IF(N($K$2668)=0,$I$2668,$K$2668)</f>
        <v>0.85</v>
      </c>
      <c r="I2669" s="77">
        <f>($F$2669-$E$2669)/($B$2669-$A$2669)</f>
        <v>2.1881838074398162E-5</v>
      </c>
      <c r="J2669" s="77">
        <f>($G$2669-$F$2669)/($C$2669-$B$2669)</f>
        <v>2.188183807439827E-5</v>
      </c>
      <c r="K2669" s="77">
        <f>($H$2669-$G$2669)/($D$2669-$C$2669)</f>
        <v>0</v>
      </c>
    </row>
    <row r="2670" spans="1:21" ht="24" x14ac:dyDescent="0.25">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25">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0.82637855579868713</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0.97221006564551427</v>
      </c>
      <c r="T2671" s="72">
        <f t="shared" ref="T2671:T2718" si="1011">IF($G2671&lt;nr_MStartP,$S2671,$T2659*(1+IF($G2671&lt;nr_MStartP1,$M$2668,$N$2668)))</f>
        <v>0.97221006564551427</v>
      </c>
      <c r="U2671" s="72">
        <f t="shared" ref="U2671:U2718" si="1012">IF($L$2668,$T2671,$N2671)</f>
        <v>1</v>
      </c>
    </row>
    <row r="2672" spans="1:21" x14ac:dyDescent="0.25">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0.82702407002188183</v>
      </c>
      <c r="P2672" s="72">
        <f t="shared" si="1007"/>
        <v>0.125</v>
      </c>
      <c r="Q2672" s="72">
        <f t="shared" si="1008"/>
        <v>0</v>
      </c>
      <c r="R2672" s="72">
        <f t="shared" si="1009"/>
        <v>0</v>
      </c>
      <c r="S2672" s="72">
        <f t="shared" si="1010"/>
        <v>0.9729694941433904</v>
      </c>
      <c r="T2672" s="72">
        <f t="shared" si="1011"/>
        <v>0.9729694941433904</v>
      </c>
      <c r="U2672" s="72">
        <f t="shared" si="1012"/>
        <v>1</v>
      </c>
    </row>
    <row r="2673" spans="1:21" x14ac:dyDescent="0.25">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0.82766958424507664</v>
      </c>
      <c r="P2673" s="72">
        <f t="shared" si="1007"/>
        <v>0.20833333333333337</v>
      </c>
      <c r="Q2673" s="72">
        <f t="shared" si="1008"/>
        <v>0</v>
      </c>
      <c r="R2673" s="72">
        <f t="shared" si="1009"/>
        <v>0</v>
      </c>
      <c r="S2673" s="72">
        <f t="shared" si="1010"/>
        <v>0.97372892264126665</v>
      </c>
      <c r="T2673" s="72">
        <f t="shared" si="1011"/>
        <v>0.97372892264126665</v>
      </c>
      <c r="U2673" s="72">
        <f t="shared" si="1012"/>
        <v>1</v>
      </c>
    </row>
    <row r="2674" spans="1:21" x14ac:dyDescent="0.25">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0.82833698030634573</v>
      </c>
      <c r="P2674" s="72">
        <f t="shared" si="1007"/>
        <v>0.29166666666666663</v>
      </c>
      <c r="Q2674" s="72">
        <f t="shared" si="1008"/>
        <v>0</v>
      </c>
      <c r="R2674" s="72">
        <f t="shared" si="1009"/>
        <v>0</v>
      </c>
      <c r="S2674" s="72">
        <f t="shared" si="1010"/>
        <v>0.97451409447805382</v>
      </c>
      <c r="T2674" s="72">
        <f t="shared" si="1011"/>
        <v>0.97451409447805382</v>
      </c>
      <c r="U2674" s="72">
        <f t="shared" si="1012"/>
        <v>1</v>
      </c>
    </row>
    <row r="2675" spans="1:21" x14ac:dyDescent="0.25">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0.82900437636761493</v>
      </c>
      <c r="P2675" s="72">
        <f t="shared" si="1007"/>
        <v>0.375</v>
      </c>
      <c r="Q2675" s="72">
        <f t="shared" si="1008"/>
        <v>0</v>
      </c>
      <c r="R2675" s="72">
        <f t="shared" si="1009"/>
        <v>0</v>
      </c>
      <c r="S2675" s="72">
        <f t="shared" si="1010"/>
        <v>0.9752992663148411</v>
      </c>
      <c r="T2675" s="72">
        <f t="shared" si="1011"/>
        <v>0.9752992663148411</v>
      </c>
      <c r="U2675" s="72">
        <f t="shared" si="1012"/>
        <v>1</v>
      </c>
    </row>
    <row r="2676" spans="1:21" x14ac:dyDescent="0.25">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0.82967177242888401</v>
      </c>
      <c r="P2676" s="72">
        <f t="shared" si="1007"/>
        <v>0.45833333333333337</v>
      </c>
      <c r="Q2676" s="72">
        <f t="shared" si="1008"/>
        <v>0</v>
      </c>
      <c r="R2676" s="72">
        <f t="shared" si="1009"/>
        <v>0</v>
      </c>
      <c r="S2676" s="72">
        <f t="shared" si="1010"/>
        <v>0.97608443815162826</v>
      </c>
      <c r="T2676" s="72">
        <f t="shared" si="1011"/>
        <v>0.97608443815162826</v>
      </c>
      <c r="U2676" s="72">
        <f t="shared" si="1012"/>
        <v>1</v>
      </c>
    </row>
    <row r="2677" spans="1:21" x14ac:dyDescent="0.25">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0.83033916849015321</v>
      </c>
      <c r="P2677" s="72">
        <f t="shared" si="1007"/>
        <v>0.54166666666666674</v>
      </c>
      <c r="Q2677" s="72">
        <f t="shared" si="1008"/>
        <v>0</v>
      </c>
      <c r="R2677" s="72">
        <f t="shared" si="1009"/>
        <v>0</v>
      </c>
      <c r="S2677" s="72">
        <f t="shared" si="1010"/>
        <v>0.97686960998841554</v>
      </c>
      <c r="T2677" s="72">
        <f t="shared" si="1011"/>
        <v>0.97686960998841554</v>
      </c>
      <c r="U2677" s="72">
        <f t="shared" si="1012"/>
        <v>1</v>
      </c>
    </row>
    <row r="2678" spans="1:21" x14ac:dyDescent="0.25">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0.83101750547045949</v>
      </c>
      <c r="P2678" s="72">
        <f t="shared" si="1007"/>
        <v>0.625</v>
      </c>
      <c r="Q2678" s="72">
        <f t="shared" si="1008"/>
        <v>0</v>
      </c>
      <c r="R2678" s="72">
        <f t="shared" si="1009"/>
        <v>0</v>
      </c>
      <c r="S2678" s="72">
        <f t="shared" si="1010"/>
        <v>0.97766765349465823</v>
      </c>
      <c r="T2678" s="72">
        <f t="shared" si="1011"/>
        <v>0.97766765349465823</v>
      </c>
      <c r="U2678" s="72">
        <f t="shared" si="1012"/>
        <v>1</v>
      </c>
    </row>
    <row r="2679" spans="1:21" x14ac:dyDescent="0.25">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0.83168490153172869</v>
      </c>
      <c r="P2679" s="72">
        <f t="shared" si="1007"/>
        <v>0.70833333333333326</v>
      </c>
      <c r="Q2679" s="72">
        <f t="shared" si="1008"/>
        <v>0</v>
      </c>
      <c r="R2679" s="72">
        <f t="shared" si="1009"/>
        <v>0</v>
      </c>
      <c r="S2679" s="72">
        <f t="shared" si="1010"/>
        <v>0.97845282533144551</v>
      </c>
      <c r="T2679" s="72">
        <f t="shared" si="1011"/>
        <v>0.97845282533144551</v>
      </c>
      <c r="U2679" s="72">
        <f t="shared" si="1012"/>
        <v>1</v>
      </c>
    </row>
    <row r="2680" spans="1:21" x14ac:dyDescent="0.25">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0.83235229759299778</v>
      </c>
      <c r="P2680" s="72">
        <f t="shared" si="1007"/>
        <v>0.79166666666666663</v>
      </c>
      <c r="Q2680" s="72">
        <f t="shared" si="1008"/>
        <v>0</v>
      </c>
      <c r="R2680" s="72">
        <f t="shared" si="1009"/>
        <v>0</v>
      </c>
      <c r="S2680" s="72">
        <f t="shared" si="1010"/>
        <v>0.97923799716823268</v>
      </c>
      <c r="T2680" s="72">
        <f t="shared" si="1011"/>
        <v>0.97923799716823268</v>
      </c>
      <c r="U2680" s="72">
        <f t="shared" si="1012"/>
        <v>1</v>
      </c>
    </row>
    <row r="2681" spans="1:21" x14ac:dyDescent="0.25">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0.83301969365426698</v>
      </c>
      <c r="P2681" s="72">
        <f t="shared" si="1007"/>
        <v>0.875</v>
      </c>
      <c r="Q2681" s="72">
        <f t="shared" si="1008"/>
        <v>0</v>
      </c>
      <c r="R2681" s="72">
        <f t="shared" si="1009"/>
        <v>0</v>
      </c>
      <c r="S2681" s="72">
        <f t="shared" si="1010"/>
        <v>0.98002316900501996</v>
      </c>
      <c r="T2681" s="72">
        <f t="shared" si="1011"/>
        <v>0.98002316900501996</v>
      </c>
      <c r="U2681" s="72">
        <f t="shared" si="1012"/>
        <v>1</v>
      </c>
    </row>
    <row r="2682" spans="1:21" x14ac:dyDescent="0.25">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0.83368708971553607</v>
      </c>
      <c r="P2682" s="72">
        <f t="shared" si="1007"/>
        <v>0.95833333333333337</v>
      </c>
      <c r="Q2682" s="72">
        <f t="shared" si="1008"/>
        <v>0</v>
      </c>
      <c r="R2682" s="72">
        <f t="shared" si="1009"/>
        <v>0</v>
      </c>
      <c r="S2682" s="72">
        <f t="shared" si="1010"/>
        <v>0.98080834084180712</v>
      </c>
      <c r="T2682" s="72">
        <f t="shared" si="1011"/>
        <v>0.98080834084180712</v>
      </c>
      <c r="U2682" s="72">
        <f t="shared" si="1012"/>
        <v>1</v>
      </c>
    </row>
    <row r="2683" spans="1:21" x14ac:dyDescent="0.25">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0.83436542669584246</v>
      </c>
      <c r="P2683" s="72">
        <f t="shared" si="1007"/>
        <v>0.95833333333333337</v>
      </c>
      <c r="Q2683" s="72">
        <f t="shared" si="1008"/>
        <v>4.166666666666663E-2</v>
      </c>
      <c r="R2683" s="72">
        <f t="shared" si="1009"/>
        <v>0</v>
      </c>
      <c r="S2683" s="72">
        <f t="shared" si="1010"/>
        <v>0.98160638434805003</v>
      </c>
      <c r="T2683" s="72">
        <f t="shared" si="1011"/>
        <v>0.98160638434805003</v>
      </c>
      <c r="U2683" s="72">
        <f t="shared" si="1012"/>
        <v>1</v>
      </c>
    </row>
    <row r="2684" spans="1:21" x14ac:dyDescent="0.25">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0.83501094091903716</v>
      </c>
      <c r="P2684" s="72">
        <f t="shared" si="1007"/>
        <v>0.875</v>
      </c>
      <c r="Q2684" s="72">
        <f t="shared" si="1008"/>
        <v>0.125</v>
      </c>
      <c r="R2684" s="72">
        <f t="shared" si="1009"/>
        <v>0</v>
      </c>
      <c r="S2684" s="72">
        <f t="shared" si="1010"/>
        <v>0.98236581284592606</v>
      </c>
      <c r="T2684" s="72">
        <f t="shared" si="1011"/>
        <v>0.98236581284592606</v>
      </c>
      <c r="U2684" s="72">
        <f t="shared" si="1012"/>
        <v>1</v>
      </c>
    </row>
    <row r="2685" spans="1:21" x14ac:dyDescent="0.25">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0.83565645514223197</v>
      </c>
      <c r="P2685" s="72">
        <f t="shared" si="1007"/>
        <v>0.79166666666666663</v>
      </c>
      <c r="Q2685" s="72">
        <f t="shared" si="1008"/>
        <v>0.20833333333333337</v>
      </c>
      <c r="R2685" s="72">
        <f t="shared" si="1009"/>
        <v>0</v>
      </c>
      <c r="S2685" s="72">
        <f t="shared" si="1010"/>
        <v>0.9831252413438023</v>
      </c>
      <c r="T2685" s="72">
        <f t="shared" si="1011"/>
        <v>0.9831252413438023</v>
      </c>
      <c r="U2685" s="72">
        <f t="shared" si="1012"/>
        <v>1</v>
      </c>
    </row>
    <row r="2686" spans="1:21" x14ac:dyDescent="0.25">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0.83632385120350106</v>
      </c>
      <c r="P2686" s="72">
        <f t="shared" si="1007"/>
        <v>0.70833333333333337</v>
      </c>
      <c r="Q2686" s="72">
        <f t="shared" si="1008"/>
        <v>0.29166666666666663</v>
      </c>
      <c r="R2686" s="72">
        <f t="shared" si="1009"/>
        <v>0</v>
      </c>
      <c r="S2686" s="72">
        <f t="shared" si="1010"/>
        <v>0.98391041318058947</v>
      </c>
      <c r="T2686" s="72">
        <f t="shared" si="1011"/>
        <v>0.98391041318058947</v>
      </c>
      <c r="U2686" s="72">
        <f t="shared" si="1012"/>
        <v>1</v>
      </c>
    </row>
    <row r="2687" spans="1:21" x14ac:dyDescent="0.25">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0.83699124726477026</v>
      </c>
      <c r="P2687" s="72">
        <f t="shared" si="1007"/>
        <v>0.625</v>
      </c>
      <c r="Q2687" s="72">
        <f t="shared" si="1008"/>
        <v>0.375</v>
      </c>
      <c r="R2687" s="72">
        <f t="shared" si="1009"/>
        <v>0</v>
      </c>
      <c r="S2687" s="72">
        <f t="shared" si="1010"/>
        <v>0.98469558501737675</v>
      </c>
      <c r="T2687" s="72">
        <f t="shared" si="1011"/>
        <v>0.98469558501737675</v>
      </c>
      <c r="U2687" s="72">
        <f t="shared" si="1012"/>
        <v>1</v>
      </c>
    </row>
    <row r="2688" spans="1:21" x14ac:dyDescent="0.25">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0.83765864332603934</v>
      </c>
      <c r="P2688" s="72">
        <f t="shared" si="1007"/>
        <v>0.54166666666666663</v>
      </c>
      <c r="Q2688" s="72">
        <f t="shared" si="1008"/>
        <v>0.45833333333333337</v>
      </c>
      <c r="R2688" s="72">
        <f t="shared" si="1009"/>
        <v>0</v>
      </c>
      <c r="S2688" s="72">
        <f t="shared" si="1010"/>
        <v>0.98548075685416392</v>
      </c>
      <c r="T2688" s="72">
        <f t="shared" si="1011"/>
        <v>0.98548075685416392</v>
      </c>
      <c r="U2688" s="72">
        <f t="shared" si="1012"/>
        <v>1</v>
      </c>
    </row>
    <row r="2689" spans="1:21" x14ac:dyDescent="0.25">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0.83832603938730854</v>
      </c>
      <c r="P2689" s="72">
        <f t="shared" si="1007"/>
        <v>0.45833333333333331</v>
      </c>
      <c r="Q2689" s="72">
        <f t="shared" si="1008"/>
        <v>0.54166666666666674</v>
      </c>
      <c r="R2689" s="72">
        <f t="shared" si="1009"/>
        <v>0</v>
      </c>
      <c r="S2689" s="72">
        <f t="shared" si="1010"/>
        <v>1.050373214055863</v>
      </c>
      <c r="T2689" s="72">
        <f t="shared" si="1011"/>
        <v>1.050373214055863</v>
      </c>
      <c r="U2689" s="72">
        <f t="shared" si="1012"/>
        <v>1.0649999999999999</v>
      </c>
    </row>
    <row r="2690" spans="1:21" x14ac:dyDescent="0.25">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0.83900437636761482</v>
      </c>
      <c r="P2690" s="72">
        <f t="shared" si="1007"/>
        <v>0.375</v>
      </c>
      <c r="Q2690" s="72">
        <f t="shared" si="1008"/>
        <v>0.625</v>
      </c>
      <c r="R2690" s="72">
        <f t="shared" si="1009"/>
        <v>0</v>
      </c>
      <c r="S2690" s="72">
        <f t="shared" si="1010"/>
        <v>1.0512231303900115</v>
      </c>
      <c r="T2690" s="72">
        <f t="shared" si="1011"/>
        <v>1.0512231303900115</v>
      </c>
      <c r="U2690" s="72">
        <f t="shared" si="1012"/>
        <v>1.0649999999999999</v>
      </c>
    </row>
    <row r="2691" spans="1:21" x14ac:dyDescent="0.25">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0.83967177242888402</v>
      </c>
      <c r="P2691" s="72">
        <f t="shared" si="1007"/>
        <v>0.29166666666666669</v>
      </c>
      <c r="Q2691" s="72">
        <f t="shared" si="1008"/>
        <v>0.70833333333333326</v>
      </c>
      <c r="R2691" s="72">
        <f t="shared" si="1009"/>
        <v>0</v>
      </c>
      <c r="S2691" s="72">
        <f t="shared" si="1010"/>
        <v>1.05205933839619</v>
      </c>
      <c r="T2691" s="72">
        <f t="shared" si="1011"/>
        <v>1.05205933839619</v>
      </c>
      <c r="U2691" s="72">
        <f t="shared" si="1012"/>
        <v>1.0649999999999999</v>
      </c>
    </row>
    <row r="2692" spans="1:21" x14ac:dyDescent="0.25">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0.84033916849015311</v>
      </c>
      <c r="P2692" s="72">
        <f t="shared" si="1007"/>
        <v>0.20833333333333334</v>
      </c>
      <c r="Q2692" s="72">
        <f t="shared" si="1008"/>
        <v>0.79166666666666663</v>
      </c>
      <c r="R2692" s="72">
        <f t="shared" si="1009"/>
        <v>0</v>
      </c>
      <c r="S2692" s="72">
        <f t="shared" si="1010"/>
        <v>1.0528955464023684</v>
      </c>
      <c r="T2692" s="72">
        <f t="shared" si="1011"/>
        <v>1.0528955464023684</v>
      </c>
      <c r="U2692" s="72">
        <f t="shared" si="1012"/>
        <v>1.0649999999999999</v>
      </c>
    </row>
    <row r="2693" spans="1:21" x14ac:dyDescent="0.25">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0.84100656455142231</v>
      </c>
      <c r="P2693" s="72">
        <f t="shared" si="1007"/>
        <v>0.125</v>
      </c>
      <c r="Q2693" s="72">
        <f t="shared" si="1008"/>
        <v>0.875</v>
      </c>
      <c r="R2693" s="72">
        <f t="shared" si="1009"/>
        <v>0</v>
      </c>
      <c r="S2693" s="72">
        <f t="shared" si="1010"/>
        <v>1.0537317544085467</v>
      </c>
      <c r="T2693" s="72">
        <f t="shared" si="1011"/>
        <v>1.0537317544085467</v>
      </c>
      <c r="U2693" s="72">
        <f t="shared" si="1012"/>
        <v>1.0649999999999999</v>
      </c>
    </row>
    <row r="2694" spans="1:21" x14ac:dyDescent="0.25">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0.8416739606126914</v>
      </c>
      <c r="P2694" s="72">
        <f t="shared" si="1007"/>
        <v>4.1666666666666664E-2</v>
      </c>
      <c r="Q2694" s="72">
        <f t="shared" si="1008"/>
        <v>0.95833333333333337</v>
      </c>
      <c r="R2694" s="72">
        <f t="shared" si="1009"/>
        <v>0</v>
      </c>
      <c r="S2694" s="72">
        <f t="shared" si="1010"/>
        <v>1.0545679624147251</v>
      </c>
      <c r="T2694" s="72">
        <f t="shared" si="1011"/>
        <v>1.0545679624147251</v>
      </c>
      <c r="U2694" s="72">
        <f t="shared" si="1012"/>
        <v>1.0649999999999999</v>
      </c>
    </row>
    <row r="2695" spans="1:21" x14ac:dyDescent="0.25">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0.84235229759299779</v>
      </c>
      <c r="P2695" s="72">
        <f t="shared" si="1007"/>
        <v>0</v>
      </c>
      <c r="Q2695" s="72">
        <f t="shared" si="1008"/>
        <v>0.95833333333333337</v>
      </c>
      <c r="R2695" s="72">
        <f t="shared" si="1009"/>
        <v>4.166666666666663E-2</v>
      </c>
      <c r="S2695" s="72">
        <f t="shared" si="1010"/>
        <v>1.0554178787488737</v>
      </c>
      <c r="T2695" s="72">
        <f t="shared" si="1011"/>
        <v>0.98160638434805003</v>
      </c>
      <c r="U2695" s="72">
        <f t="shared" si="1012"/>
        <v>1.0649999999999999</v>
      </c>
    </row>
    <row r="2696" spans="1:21" x14ac:dyDescent="0.25">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0.84299781181619249</v>
      </c>
      <c r="P2696" s="72">
        <f t="shared" si="1007"/>
        <v>0</v>
      </c>
      <c r="Q2696" s="72">
        <f t="shared" si="1008"/>
        <v>0.875</v>
      </c>
      <c r="R2696" s="72">
        <f t="shared" si="1009"/>
        <v>0.125</v>
      </c>
      <c r="S2696" s="72">
        <f t="shared" si="1010"/>
        <v>1.0562266700991119</v>
      </c>
      <c r="T2696" s="72">
        <f t="shared" si="1011"/>
        <v>0.98236581284592606</v>
      </c>
      <c r="U2696" s="72">
        <f t="shared" si="1012"/>
        <v>1.0649999999999999</v>
      </c>
    </row>
    <row r="2697" spans="1:21" x14ac:dyDescent="0.25">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0.8436433260393873</v>
      </c>
      <c r="P2697" s="72">
        <f t="shared" si="1007"/>
        <v>0</v>
      </c>
      <c r="Q2697" s="72">
        <f t="shared" si="1008"/>
        <v>0.79166666666666663</v>
      </c>
      <c r="R2697" s="72">
        <f t="shared" si="1009"/>
        <v>0.20833333333333337</v>
      </c>
      <c r="S2697" s="72">
        <f t="shared" si="1010"/>
        <v>1.05703546144935</v>
      </c>
      <c r="T2697" s="72">
        <f t="shared" si="1011"/>
        <v>0.9831252413438023</v>
      </c>
      <c r="U2697" s="72">
        <f t="shared" si="1012"/>
        <v>1.0649999999999999</v>
      </c>
    </row>
    <row r="2698" spans="1:21" x14ac:dyDescent="0.25">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0.84431072210065639</v>
      </c>
      <c r="P2698" s="72">
        <f t="shared" si="1007"/>
        <v>0</v>
      </c>
      <c r="Q2698" s="72">
        <f t="shared" si="1008"/>
        <v>0.70833333333333337</v>
      </c>
      <c r="R2698" s="72">
        <f t="shared" si="1009"/>
        <v>0.29166666666666663</v>
      </c>
      <c r="S2698" s="72">
        <f t="shared" si="1010"/>
        <v>1.0578716694555284</v>
      </c>
      <c r="T2698" s="72">
        <f t="shared" si="1011"/>
        <v>0.98391041318058947</v>
      </c>
      <c r="U2698" s="72">
        <f t="shared" si="1012"/>
        <v>1.0649999999999999</v>
      </c>
    </row>
    <row r="2699" spans="1:21" x14ac:dyDescent="0.25">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0.84497811816192558</v>
      </c>
      <c r="P2699" s="72">
        <f t="shared" si="1007"/>
        <v>0</v>
      </c>
      <c r="Q2699" s="72">
        <f t="shared" si="1008"/>
        <v>0.625</v>
      </c>
      <c r="R2699" s="72">
        <f t="shared" si="1009"/>
        <v>0.375</v>
      </c>
      <c r="S2699" s="72">
        <f t="shared" si="1010"/>
        <v>1.0587078774617067</v>
      </c>
      <c r="T2699" s="72">
        <f t="shared" si="1011"/>
        <v>0.98469558501737675</v>
      </c>
      <c r="U2699" s="72">
        <f t="shared" si="1012"/>
        <v>1.0649999999999999</v>
      </c>
    </row>
    <row r="2700" spans="1:21" x14ac:dyDescent="0.25">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0.84564551422319467</v>
      </c>
      <c r="P2700" s="72">
        <f t="shared" si="1007"/>
        <v>0</v>
      </c>
      <c r="Q2700" s="72">
        <f t="shared" si="1008"/>
        <v>0.54166666666666663</v>
      </c>
      <c r="R2700" s="72">
        <f t="shared" si="1009"/>
        <v>0.45833333333333337</v>
      </c>
      <c r="S2700" s="72">
        <f t="shared" si="1010"/>
        <v>1.059544085467885</v>
      </c>
      <c r="T2700" s="72">
        <f t="shared" si="1011"/>
        <v>0.98548075685416392</v>
      </c>
      <c r="U2700" s="72">
        <f t="shared" si="1012"/>
        <v>1.0649999999999999</v>
      </c>
    </row>
    <row r="2701" spans="1:21" x14ac:dyDescent="0.25">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0.84631291028446387</v>
      </c>
      <c r="P2701" s="72">
        <f t="shared" si="1007"/>
        <v>0</v>
      </c>
      <c r="Q2701" s="72">
        <f t="shared" si="1008"/>
        <v>0.45833333333333331</v>
      </c>
      <c r="R2701" s="72">
        <f t="shared" si="1009"/>
        <v>0.54166666666666674</v>
      </c>
      <c r="S2701" s="72">
        <f t="shared" si="1010"/>
        <v>1.0603802934740636</v>
      </c>
      <c r="T2701" s="72">
        <f t="shared" si="1011"/>
        <v>1.050373214055863</v>
      </c>
      <c r="U2701" s="72">
        <f t="shared" si="1012"/>
        <v>1.0649999999999999</v>
      </c>
    </row>
    <row r="2702" spans="1:21" x14ac:dyDescent="0.25">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0.84699124726477026</v>
      </c>
      <c r="P2702" s="72">
        <f t="shared" si="1007"/>
        <v>0</v>
      </c>
      <c r="Q2702" s="72">
        <f t="shared" si="1008"/>
        <v>0.375</v>
      </c>
      <c r="R2702" s="72">
        <f t="shared" si="1009"/>
        <v>0.625</v>
      </c>
      <c r="S2702" s="72">
        <f t="shared" si="1010"/>
        <v>1.061230209808212</v>
      </c>
      <c r="T2702" s="72">
        <f t="shared" si="1011"/>
        <v>1.0512231303900115</v>
      </c>
      <c r="U2702" s="72">
        <f t="shared" si="1012"/>
        <v>1.0649999999999999</v>
      </c>
    </row>
    <row r="2703" spans="1:21" x14ac:dyDescent="0.25">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0.84765864332603935</v>
      </c>
      <c r="P2703" s="72">
        <f t="shared" si="1007"/>
        <v>0</v>
      </c>
      <c r="Q2703" s="72">
        <f t="shared" si="1008"/>
        <v>0.29166666666666669</v>
      </c>
      <c r="R2703" s="72">
        <f t="shared" si="1009"/>
        <v>0.70833333333333326</v>
      </c>
      <c r="S2703" s="72">
        <f t="shared" si="1010"/>
        <v>1.0620664178143904</v>
      </c>
      <c r="T2703" s="72">
        <f t="shared" si="1011"/>
        <v>1.05205933839619</v>
      </c>
      <c r="U2703" s="72">
        <f t="shared" si="1012"/>
        <v>1.0649999999999999</v>
      </c>
    </row>
    <row r="2704" spans="1:21" x14ac:dyDescent="0.25">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0.84832603938730855</v>
      </c>
      <c r="P2704" s="72">
        <f t="shared" si="1007"/>
        <v>0</v>
      </c>
      <c r="Q2704" s="72">
        <f t="shared" si="1008"/>
        <v>0.20833333333333334</v>
      </c>
      <c r="R2704" s="72">
        <f t="shared" si="1009"/>
        <v>0.79166666666666663</v>
      </c>
      <c r="S2704" s="72">
        <f t="shared" si="1010"/>
        <v>1.0629026258205689</v>
      </c>
      <c r="T2704" s="72">
        <f t="shared" si="1011"/>
        <v>1.0528955464023684</v>
      </c>
      <c r="U2704" s="72">
        <f t="shared" si="1012"/>
        <v>1.0649999999999999</v>
      </c>
    </row>
    <row r="2705" spans="1:21" x14ac:dyDescent="0.25">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0.84899343544857764</v>
      </c>
      <c r="P2705" s="72">
        <f t="shared" si="1007"/>
        <v>0</v>
      </c>
      <c r="Q2705" s="72">
        <f t="shared" si="1008"/>
        <v>0.125</v>
      </c>
      <c r="R2705" s="72">
        <f t="shared" si="1009"/>
        <v>0.875</v>
      </c>
      <c r="S2705" s="72">
        <f t="shared" si="1010"/>
        <v>1.0637388338267473</v>
      </c>
      <c r="T2705" s="72">
        <f t="shared" si="1011"/>
        <v>1.0537317544085467</v>
      </c>
      <c r="U2705" s="72">
        <f t="shared" si="1012"/>
        <v>1.0649999999999999</v>
      </c>
    </row>
    <row r="2706" spans="1:21" x14ac:dyDescent="0.25">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0.84966083150984684</v>
      </c>
      <c r="P2706" s="72">
        <f t="shared" si="1007"/>
        <v>0</v>
      </c>
      <c r="Q2706" s="72">
        <f t="shared" si="1008"/>
        <v>4.1666666666666664E-2</v>
      </c>
      <c r="R2706" s="72">
        <f t="shared" si="1009"/>
        <v>0.95833333333333337</v>
      </c>
      <c r="S2706" s="72">
        <f t="shared" si="1010"/>
        <v>1.0645750418329256</v>
      </c>
      <c r="T2706" s="72">
        <f t="shared" si="1011"/>
        <v>1.0545679624147251</v>
      </c>
      <c r="U2706" s="72">
        <f t="shared" si="1012"/>
        <v>1.0649999999999999</v>
      </c>
    </row>
    <row r="2707" spans="1:21" x14ac:dyDescent="0.25">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0.85</v>
      </c>
      <c r="P2707" s="72">
        <f t="shared" si="1007"/>
        <v>0</v>
      </c>
      <c r="Q2707" s="72">
        <f t="shared" si="1008"/>
        <v>0</v>
      </c>
      <c r="R2707" s="72">
        <f t="shared" si="1009"/>
        <v>0.95833333333333337</v>
      </c>
      <c r="S2707" s="72">
        <f t="shared" si="1010"/>
        <v>1.0649999999999999</v>
      </c>
      <c r="T2707" s="72">
        <f t="shared" si="1011"/>
        <v>0.98160638434805003</v>
      </c>
      <c r="U2707" s="72">
        <f t="shared" si="1012"/>
        <v>1.0649999999999999</v>
      </c>
    </row>
    <row r="2708" spans="1:21" x14ac:dyDescent="0.25">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0.85</v>
      </c>
      <c r="P2708" s="72">
        <f t="shared" si="1007"/>
        <v>0</v>
      </c>
      <c r="Q2708" s="72">
        <f t="shared" si="1008"/>
        <v>0</v>
      </c>
      <c r="R2708" s="72">
        <f t="shared" si="1009"/>
        <v>0.875</v>
      </c>
      <c r="S2708" s="72">
        <f t="shared" si="1010"/>
        <v>1.0649999999999999</v>
      </c>
      <c r="T2708" s="72">
        <f t="shared" si="1011"/>
        <v>0.98236581284592606</v>
      </c>
      <c r="U2708" s="72">
        <f t="shared" si="1012"/>
        <v>1.0649999999999999</v>
      </c>
    </row>
    <row r="2709" spans="1:21" x14ac:dyDescent="0.25">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0.85</v>
      </c>
      <c r="P2709" s="72">
        <f t="shared" si="1007"/>
        <v>0</v>
      </c>
      <c r="Q2709" s="72">
        <f t="shared" si="1008"/>
        <v>0</v>
      </c>
      <c r="R2709" s="72">
        <f t="shared" si="1009"/>
        <v>0.79166666666666663</v>
      </c>
      <c r="S2709" s="72">
        <f t="shared" si="1010"/>
        <v>1.0649999999999999</v>
      </c>
      <c r="T2709" s="72">
        <f t="shared" si="1011"/>
        <v>0.9831252413438023</v>
      </c>
      <c r="U2709" s="72">
        <f t="shared" si="1012"/>
        <v>1.0649999999999999</v>
      </c>
    </row>
    <row r="2710" spans="1:21" x14ac:dyDescent="0.25">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0.85</v>
      </c>
      <c r="P2710" s="72">
        <f t="shared" si="1007"/>
        <v>0</v>
      </c>
      <c r="Q2710" s="72">
        <f t="shared" si="1008"/>
        <v>0</v>
      </c>
      <c r="R2710" s="72">
        <f t="shared" si="1009"/>
        <v>0.70833333333333337</v>
      </c>
      <c r="S2710" s="72">
        <f t="shared" si="1010"/>
        <v>1.0649999999999999</v>
      </c>
      <c r="T2710" s="72">
        <f t="shared" si="1011"/>
        <v>0.98391041318058947</v>
      </c>
      <c r="U2710" s="72">
        <f t="shared" si="1012"/>
        <v>1.0649999999999999</v>
      </c>
    </row>
    <row r="2711" spans="1:21" x14ac:dyDescent="0.25">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0.85</v>
      </c>
      <c r="P2711" s="72">
        <f t="shared" si="1007"/>
        <v>0</v>
      </c>
      <c r="Q2711" s="72">
        <f t="shared" si="1008"/>
        <v>0</v>
      </c>
      <c r="R2711" s="72">
        <f t="shared" si="1009"/>
        <v>0.625</v>
      </c>
      <c r="S2711" s="72">
        <f t="shared" si="1010"/>
        <v>1.0649999999999999</v>
      </c>
      <c r="T2711" s="72">
        <f t="shared" si="1011"/>
        <v>0.98469558501737675</v>
      </c>
      <c r="U2711" s="72">
        <f t="shared" si="1012"/>
        <v>1.0649999999999999</v>
      </c>
    </row>
    <row r="2712" spans="1:21" x14ac:dyDescent="0.25">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0.85</v>
      </c>
      <c r="P2712" s="72">
        <f t="shared" si="1007"/>
        <v>0</v>
      </c>
      <c r="Q2712" s="72">
        <f t="shared" si="1008"/>
        <v>0</v>
      </c>
      <c r="R2712" s="72">
        <f t="shared" si="1009"/>
        <v>0.54166666666666663</v>
      </c>
      <c r="S2712" s="72">
        <f t="shared" si="1010"/>
        <v>1.0649999999999999</v>
      </c>
      <c r="T2712" s="72">
        <f t="shared" si="1011"/>
        <v>0.98548075685416392</v>
      </c>
      <c r="U2712" s="72">
        <f t="shared" si="1012"/>
        <v>1.0649999999999999</v>
      </c>
    </row>
    <row r="2713" spans="1:21" x14ac:dyDescent="0.25">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0.85</v>
      </c>
      <c r="P2713" s="72">
        <f t="shared" si="1007"/>
        <v>0</v>
      </c>
      <c r="Q2713" s="72">
        <f t="shared" si="1008"/>
        <v>0</v>
      </c>
      <c r="R2713" s="72">
        <f t="shared" si="1009"/>
        <v>0.45833333333333331</v>
      </c>
      <c r="S2713" s="72">
        <f t="shared" si="1010"/>
        <v>1.0649999999999999</v>
      </c>
      <c r="T2713" s="72">
        <f t="shared" si="1011"/>
        <v>1.050373214055863</v>
      </c>
      <c r="U2713" s="72">
        <f t="shared" si="1012"/>
        <v>1.0649999999999999</v>
      </c>
    </row>
    <row r="2714" spans="1:21" x14ac:dyDescent="0.25">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0.85</v>
      </c>
      <c r="P2714" s="72">
        <f t="shared" si="1007"/>
        <v>0</v>
      </c>
      <c r="Q2714" s="72">
        <f t="shared" si="1008"/>
        <v>0</v>
      </c>
      <c r="R2714" s="72">
        <f t="shared" si="1009"/>
        <v>0.375</v>
      </c>
      <c r="S2714" s="72">
        <f t="shared" si="1010"/>
        <v>1.0649999999999999</v>
      </c>
      <c r="T2714" s="72">
        <f t="shared" si="1011"/>
        <v>1.0512231303900115</v>
      </c>
      <c r="U2714" s="72">
        <f t="shared" si="1012"/>
        <v>1.0649999999999999</v>
      </c>
    </row>
    <row r="2715" spans="1:21" x14ac:dyDescent="0.25">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0.85</v>
      </c>
      <c r="P2715" s="72">
        <f t="shared" si="1007"/>
        <v>0</v>
      </c>
      <c r="Q2715" s="72">
        <f t="shared" si="1008"/>
        <v>0</v>
      </c>
      <c r="R2715" s="72">
        <f t="shared" si="1009"/>
        <v>0.29166666666666669</v>
      </c>
      <c r="S2715" s="72">
        <f t="shared" si="1010"/>
        <v>1.0649999999999999</v>
      </c>
      <c r="T2715" s="72">
        <f t="shared" si="1011"/>
        <v>1.05205933839619</v>
      </c>
      <c r="U2715" s="72">
        <f t="shared" si="1012"/>
        <v>1.0649999999999999</v>
      </c>
    </row>
    <row r="2716" spans="1:21" x14ac:dyDescent="0.25">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0.85</v>
      </c>
      <c r="P2716" s="72">
        <f t="shared" si="1007"/>
        <v>0</v>
      </c>
      <c r="Q2716" s="72">
        <f t="shared" si="1008"/>
        <v>0</v>
      </c>
      <c r="R2716" s="72">
        <f t="shared" si="1009"/>
        <v>0.20833333333333334</v>
      </c>
      <c r="S2716" s="72">
        <f t="shared" si="1010"/>
        <v>1.0649999999999999</v>
      </c>
      <c r="T2716" s="72">
        <f t="shared" si="1011"/>
        <v>1.0528955464023684</v>
      </c>
      <c r="U2716" s="72">
        <f t="shared" si="1012"/>
        <v>1.0649999999999999</v>
      </c>
    </row>
    <row r="2717" spans="1:21" x14ac:dyDescent="0.25">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0.85</v>
      </c>
      <c r="P2717" s="72">
        <f t="shared" si="1007"/>
        <v>0</v>
      </c>
      <c r="Q2717" s="72">
        <f t="shared" si="1008"/>
        <v>0</v>
      </c>
      <c r="R2717" s="72">
        <f t="shared" si="1009"/>
        <v>0.125</v>
      </c>
      <c r="S2717" s="72">
        <f t="shared" si="1010"/>
        <v>1.0649999999999999</v>
      </c>
      <c r="T2717" s="72">
        <f t="shared" si="1011"/>
        <v>1.0537317544085467</v>
      </c>
      <c r="U2717" s="72">
        <f t="shared" si="1012"/>
        <v>1.0649999999999999</v>
      </c>
    </row>
    <row r="2718" spans="1:21" x14ac:dyDescent="0.25">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0.85</v>
      </c>
      <c r="P2718" s="72">
        <f t="shared" si="1007"/>
        <v>0</v>
      </c>
      <c r="Q2718" s="72">
        <f t="shared" si="1008"/>
        <v>0</v>
      </c>
      <c r="R2718" s="72">
        <f t="shared" si="1009"/>
        <v>4.1666666666666664E-2</v>
      </c>
      <c r="S2718" s="72">
        <f t="shared" si="1010"/>
        <v>1.0649999999999999</v>
      </c>
      <c r="T2718" s="72">
        <f t="shared" si="1011"/>
        <v>1.0545679624147251</v>
      </c>
      <c r="U2718" s="72">
        <f t="shared" si="1012"/>
        <v>1.0649999999999999</v>
      </c>
    </row>
    <row r="2719" spans="1:21" x14ac:dyDescent="0.25">
      <c r="A2719" s="77" t="s">
        <v>1209</v>
      </c>
      <c r="B2719" s="50">
        <f>EXP(SUMPRODUCT((rl_key=$A$2668)*(rl_cons="Y")*rl_ln1p))</f>
        <v>1</v>
      </c>
      <c r="C2719" s="50">
        <f>SUMPRODUCT($H$2671:$H$2718,$P$2671:$P$2718,$U$2671:$U$2718)/SUMPRODUCT($H$2671:$H$2718,$P$2671:$P$2718)</f>
        <v>1.0081249999999999</v>
      </c>
      <c r="D2719" s="50">
        <f>SUMPRODUCT($H$2671:$H$2718,$Q$2671:$Q$2718,$U$2671:$U$2718)/SUMPRODUCT($H$2671:$H$2718,$Q$2671:$Q$2718)</f>
        <v>1.056875</v>
      </c>
      <c r="E2719" s="50">
        <f>SUMPRODUCT($H$2671:$H$2718,$R$2671:$R$2718,$U$2671:$U$2718)/SUMPRODUCT($H$2671:$H$2718,$R$2671:$R$2718)</f>
        <v>1.0649999999999999</v>
      </c>
      <c r="F2719" s="169">
        <f>SUMPRODUCT($H$2671:$H$2718,$Q$2671:$Q$2718,$O$2671:$O$2718)/SUMPRODUCT($H$2671:$H$2718,$Q$2671:$Q$2718)</f>
        <v>0.84199580598103541</v>
      </c>
      <c r="G2719" s="169">
        <f>SUMPRODUCT($H$2671:$H$2718,$R$2671:$R$2718,$O$2671:$O$2718)/SUMPRODUCT($H$2671:$H$2718,$R$2671:$R$2718)</f>
        <v>0.84865635637004611</v>
      </c>
    </row>
    <row r="2722" spans="1:21" x14ac:dyDescent="0.25">
      <c r="A2722" s="77" t="str">
        <f>INDEX(lr_key,50)</f>
        <v>BU-C|IN</v>
      </c>
      <c r="B2722" s="77" t="str">
        <f>INDEX(lr_state,50)</f>
        <v>IN</v>
      </c>
      <c r="C2722" s="52">
        <f>nr_TermMonths</f>
        <v>12</v>
      </c>
      <c r="D2722" s="52">
        <f>IF(COUNTIF(se_state,$B2722)=0,0,MATCH($B2722,se_state,0))</f>
        <v>2</v>
      </c>
      <c r="E2722" s="54">
        <f>IF($D2722=0,0,INDEX(se_sum,$D2722))</f>
        <v>11.999999999999998</v>
      </c>
      <c r="F2722" s="169">
        <f>IF(N(INDEX(lr_mind,50))=0,1,INDEX(lr_mind,50))</f>
        <v>0.85</v>
      </c>
      <c r="G2722" s="169">
        <f>IF(N(INDEX(lr_m0,50))=0,1,INDEX(lr_m0,50))</f>
        <v>0.84</v>
      </c>
      <c r="H2722" s="51">
        <f>IF(N(INDEX(lr_m0asof,50))=0,DATE(nr_PlanYear-1,10,1),INDEX(lr_m0asof,50))</f>
        <v>46295</v>
      </c>
      <c r="I2722" s="169">
        <f>IF(N(INDEX(lr_m1,50))=0,1,INDEX(lr_m1,50))</f>
        <v>0.83</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25">
      <c r="A2723" s="77">
        <f>EDATE($H$2722,-12)+1</f>
        <v>45931</v>
      </c>
      <c r="B2723" s="77">
        <f>$H$2722+1</f>
        <v>46296</v>
      </c>
      <c r="C2723" s="77">
        <f>DATE(nr_PlanYear,12,31)+1</f>
        <v>46753</v>
      </c>
      <c r="D2723" s="77">
        <f>DATE(nr_PlanYear+1,12,31)+1</f>
        <v>47119</v>
      </c>
      <c r="E2723" s="77">
        <f>IF(N($J$2722)=0,$F$2723-($G$2723-$F$2723)/($C$2723-$B$2723)*($B$2723-$A$2723),$J$2722)</f>
        <v>0.8479868708971553</v>
      </c>
      <c r="F2723" s="77">
        <f>$G$2722</f>
        <v>0.84</v>
      </c>
      <c r="G2723" s="77">
        <f>$I$2722</f>
        <v>0.83</v>
      </c>
      <c r="H2723" s="77">
        <f>IF(N($K$2722)=0,$I$2722,$K$2722)</f>
        <v>0.83</v>
      </c>
      <c r="I2723" s="77">
        <f>($F$2723-$E$2723)/($B$2723-$A$2723)</f>
        <v>-2.1881838074398162E-5</v>
      </c>
      <c r="J2723" s="77">
        <f>($G$2723-$F$2723)/($C$2723-$B$2723)</f>
        <v>-2.188183807439827E-5</v>
      </c>
      <c r="K2723" s="77">
        <f>($H$2723-$G$2723)/($D$2723-$C$2723)</f>
        <v>0</v>
      </c>
    </row>
    <row r="2724" spans="1:21" ht="24" x14ac:dyDescent="0.25">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25">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0.85362144420131281</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1.0042605225897798</v>
      </c>
      <c r="T2725" s="72">
        <f t="shared" ref="T2725:T2772" si="1031">IF($G2725&lt;nr_MStartP,$S2725,$T2713*(1+IF($G2725&lt;nr_MStartP1,$M$2722,$N$2722)))</f>
        <v>1.0042605225897798</v>
      </c>
      <c r="U2725" s="72">
        <f t="shared" ref="U2725:U2772" si="1032">IF($L$2722,$T2725,$N2725)</f>
        <v>1</v>
      </c>
    </row>
    <row r="2726" spans="1:21" x14ac:dyDescent="0.25">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0.85297592997811811</v>
      </c>
      <c r="P2726" s="72">
        <f t="shared" si="1027"/>
        <v>0.125</v>
      </c>
      <c r="Q2726" s="72">
        <f t="shared" si="1028"/>
        <v>0</v>
      </c>
      <c r="R2726" s="72">
        <f t="shared" si="1029"/>
        <v>0</v>
      </c>
      <c r="S2726" s="72">
        <f t="shared" si="1030"/>
        <v>1.0035010940919036</v>
      </c>
      <c r="T2726" s="72">
        <f t="shared" si="1031"/>
        <v>1.0035010940919036</v>
      </c>
      <c r="U2726" s="72">
        <f t="shared" si="1032"/>
        <v>1</v>
      </c>
    </row>
    <row r="2727" spans="1:21" x14ac:dyDescent="0.25">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0.8523304157549233</v>
      </c>
      <c r="P2727" s="72">
        <f t="shared" si="1027"/>
        <v>0.20833333333333337</v>
      </c>
      <c r="Q2727" s="72">
        <f t="shared" si="1028"/>
        <v>0</v>
      </c>
      <c r="R2727" s="72">
        <f t="shared" si="1029"/>
        <v>0</v>
      </c>
      <c r="S2727" s="72">
        <f t="shared" si="1030"/>
        <v>1.0027416655940273</v>
      </c>
      <c r="T2727" s="72">
        <f t="shared" si="1031"/>
        <v>1.0027416655940273</v>
      </c>
      <c r="U2727" s="72">
        <f t="shared" si="1032"/>
        <v>1</v>
      </c>
    </row>
    <row r="2728" spans="1:21" x14ac:dyDescent="0.25">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0.85166301969365421</v>
      </c>
      <c r="P2728" s="72">
        <f t="shared" si="1027"/>
        <v>0.29166666666666663</v>
      </c>
      <c r="Q2728" s="72">
        <f t="shared" si="1028"/>
        <v>0</v>
      </c>
      <c r="R2728" s="72">
        <f t="shared" si="1029"/>
        <v>0</v>
      </c>
      <c r="S2728" s="72">
        <f t="shared" si="1030"/>
        <v>1.0019564937572403</v>
      </c>
      <c r="T2728" s="72">
        <f t="shared" si="1031"/>
        <v>1.0019564937572403</v>
      </c>
      <c r="U2728" s="72">
        <f t="shared" si="1032"/>
        <v>1</v>
      </c>
    </row>
    <row r="2729" spans="1:21" x14ac:dyDescent="0.25">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0.85099562363238501</v>
      </c>
      <c r="P2729" s="72">
        <f t="shared" si="1027"/>
        <v>0.375</v>
      </c>
      <c r="Q2729" s="72">
        <f t="shared" si="1028"/>
        <v>0</v>
      </c>
      <c r="R2729" s="72">
        <f t="shared" si="1029"/>
        <v>0</v>
      </c>
      <c r="S2729" s="72">
        <f t="shared" si="1030"/>
        <v>1.001171321920453</v>
      </c>
      <c r="T2729" s="72">
        <f t="shared" si="1031"/>
        <v>1.001171321920453</v>
      </c>
      <c r="U2729" s="72">
        <f t="shared" si="1032"/>
        <v>1</v>
      </c>
    </row>
    <row r="2730" spans="1:21" x14ac:dyDescent="0.25">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0.85032822757111592</v>
      </c>
      <c r="P2730" s="72">
        <f t="shared" si="1027"/>
        <v>0.45833333333333337</v>
      </c>
      <c r="Q2730" s="72">
        <f t="shared" si="1028"/>
        <v>0</v>
      </c>
      <c r="R2730" s="72">
        <f t="shared" si="1029"/>
        <v>0</v>
      </c>
      <c r="S2730" s="72">
        <f t="shared" si="1030"/>
        <v>1.0003861500836657</v>
      </c>
      <c r="T2730" s="72">
        <f t="shared" si="1031"/>
        <v>1.0003861500836657</v>
      </c>
      <c r="U2730" s="72">
        <f t="shared" si="1032"/>
        <v>1</v>
      </c>
    </row>
    <row r="2731" spans="1:21" x14ac:dyDescent="0.25">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0.84966083150984673</v>
      </c>
      <c r="P2731" s="72">
        <f t="shared" si="1027"/>
        <v>0.54166666666666674</v>
      </c>
      <c r="Q2731" s="72">
        <f t="shared" si="1028"/>
        <v>0</v>
      </c>
      <c r="R2731" s="72">
        <f t="shared" si="1029"/>
        <v>0</v>
      </c>
      <c r="S2731" s="72">
        <f t="shared" si="1030"/>
        <v>0.99960097824687855</v>
      </c>
      <c r="T2731" s="72">
        <f t="shared" si="1031"/>
        <v>0.99960097824687855</v>
      </c>
      <c r="U2731" s="72">
        <f t="shared" si="1032"/>
        <v>1</v>
      </c>
    </row>
    <row r="2732" spans="1:21" x14ac:dyDescent="0.25">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0.84898249452954044</v>
      </c>
      <c r="P2732" s="72">
        <f t="shared" si="1027"/>
        <v>0.625</v>
      </c>
      <c r="Q2732" s="72">
        <f t="shared" si="1028"/>
        <v>0</v>
      </c>
      <c r="R2732" s="72">
        <f t="shared" si="1029"/>
        <v>0</v>
      </c>
      <c r="S2732" s="72">
        <f t="shared" si="1030"/>
        <v>0.99880293474063586</v>
      </c>
      <c r="T2732" s="72">
        <f t="shared" si="1031"/>
        <v>0.99880293474063586</v>
      </c>
      <c r="U2732" s="72">
        <f t="shared" si="1032"/>
        <v>1</v>
      </c>
    </row>
    <row r="2733" spans="1:21" x14ac:dyDescent="0.25">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0.84831509846827124</v>
      </c>
      <c r="P2733" s="72">
        <f t="shared" si="1027"/>
        <v>0.70833333333333326</v>
      </c>
      <c r="Q2733" s="72">
        <f t="shared" si="1028"/>
        <v>0</v>
      </c>
      <c r="R2733" s="72">
        <f t="shared" si="1029"/>
        <v>0</v>
      </c>
      <c r="S2733" s="72">
        <f t="shared" si="1030"/>
        <v>0.99801776290384858</v>
      </c>
      <c r="T2733" s="72">
        <f t="shared" si="1031"/>
        <v>0.99801776290384858</v>
      </c>
      <c r="U2733" s="72">
        <f t="shared" si="1032"/>
        <v>1</v>
      </c>
    </row>
    <row r="2734" spans="1:21" x14ac:dyDescent="0.25">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0.84764770240700216</v>
      </c>
      <c r="P2734" s="72">
        <f t="shared" si="1027"/>
        <v>0.79166666666666663</v>
      </c>
      <c r="Q2734" s="72">
        <f t="shared" si="1028"/>
        <v>0</v>
      </c>
      <c r="R2734" s="72">
        <f t="shared" si="1029"/>
        <v>0</v>
      </c>
      <c r="S2734" s="72">
        <f t="shared" si="1030"/>
        <v>0.99723259106706141</v>
      </c>
      <c r="T2734" s="72">
        <f t="shared" si="1031"/>
        <v>0.99723259106706141</v>
      </c>
      <c r="U2734" s="72">
        <f t="shared" si="1032"/>
        <v>1</v>
      </c>
    </row>
    <row r="2735" spans="1:21" x14ac:dyDescent="0.25">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0.84698030634573296</v>
      </c>
      <c r="P2735" s="72">
        <f t="shared" si="1027"/>
        <v>0.875</v>
      </c>
      <c r="Q2735" s="72">
        <f t="shared" si="1028"/>
        <v>0</v>
      </c>
      <c r="R2735" s="72">
        <f t="shared" si="1029"/>
        <v>0</v>
      </c>
      <c r="S2735" s="72">
        <f t="shared" si="1030"/>
        <v>0.99644741923027413</v>
      </c>
      <c r="T2735" s="72">
        <f t="shared" si="1031"/>
        <v>0.99644741923027413</v>
      </c>
      <c r="U2735" s="72">
        <f t="shared" si="1032"/>
        <v>1</v>
      </c>
    </row>
    <row r="2736" spans="1:21" x14ac:dyDescent="0.25">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0.84631291028446387</v>
      </c>
      <c r="P2736" s="72">
        <f t="shared" si="1027"/>
        <v>0.95833333333333337</v>
      </c>
      <c r="Q2736" s="72">
        <f t="shared" si="1028"/>
        <v>0</v>
      </c>
      <c r="R2736" s="72">
        <f t="shared" si="1029"/>
        <v>0</v>
      </c>
      <c r="S2736" s="72">
        <f t="shared" si="1030"/>
        <v>0.99566224739348697</v>
      </c>
      <c r="T2736" s="72">
        <f t="shared" si="1031"/>
        <v>0.99566224739348697</v>
      </c>
      <c r="U2736" s="72">
        <f t="shared" si="1032"/>
        <v>1</v>
      </c>
    </row>
    <row r="2737" spans="1:21" x14ac:dyDescent="0.25">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0.84563457330415748</v>
      </c>
      <c r="P2737" s="72">
        <f t="shared" si="1027"/>
        <v>0.95833333333333337</v>
      </c>
      <c r="Q2737" s="72">
        <f t="shared" si="1028"/>
        <v>4.166666666666663E-2</v>
      </c>
      <c r="R2737" s="72">
        <f t="shared" si="1029"/>
        <v>0</v>
      </c>
      <c r="S2737" s="72">
        <f t="shared" si="1030"/>
        <v>0.99486420388724417</v>
      </c>
      <c r="T2737" s="72">
        <f t="shared" si="1031"/>
        <v>0.99486420388724417</v>
      </c>
      <c r="U2737" s="72">
        <f t="shared" si="1032"/>
        <v>1</v>
      </c>
    </row>
    <row r="2738" spans="1:21" x14ac:dyDescent="0.25">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0.84498905908096278</v>
      </c>
      <c r="P2738" s="72">
        <f t="shared" si="1027"/>
        <v>0.875</v>
      </c>
      <c r="Q2738" s="72">
        <f t="shared" si="1028"/>
        <v>0.125</v>
      </c>
      <c r="R2738" s="72">
        <f t="shared" si="1029"/>
        <v>0</v>
      </c>
      <c r="S2738" s="72">
        <f t="shared" si="1030"/>
        <v>1.0537510619127302</v>
      </c>
      <c r="T2738" s="72">
        <f t="shared" si="1031"/>
        <v>1.0537510619127302</v>
      </c>
      <c r="U2738" s="72">
        <f t="shared" si="1032"/>
        <v>1.06</v>
      </c>
    </row>
    <row r="2739" spans="1:21" x14ac:dyDescent="0.25">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0.84434354485776797</v>
      </c>
      <c r="P2739" s="72">
        <f t="shared" si="1027"/>
        <v>0.79166666666666663</v>
      </c>
      <c r="Q2739" s="72">
        <f t="shared" si="1028"/>
        <v>0.20833333333333337</v>
      </c>
      <c r="R2739" s="72">
        <f t="shared" si="1029"/>
        <v>0</v>
      </c>
      <c r="S2739" s="72">
        <f t="shared" si="1030"/>
        <v>1.0529460677049813</v>
      </c>
      <c r="T2739" s="72">
        <f t="shared" si="1031"/>
        <v>1.0529460677049813</v>
      </c>
      <c r="U2739" s="72">
        <f t="shared" si="1032"/>
        <v>1.06</v>
      </c>
    </row>
    <row r="2740" spans="1:21" x14ac:dyDescent="0.25">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0.84367614879649888</v>
      </c>
      <c r="P2740" s="72">
        <f t="shared" si="1027"/>
        <v>0.70833333333333337</v>
      </c>
      <c r="Q2740" s="72">
        <f t="shared" si="1028"/>
        <v>0.29166666666666663</v>
      </c>
      <c r="R2740" s="72">
        <f t="shared" si="1029"/>
        <v>0</v>
      </c>
      <c r="S2740" s="72">
        <f t="shared" si="1030"/>
        <v>1.052113785557987</v>
      </c>
      <c r="T2740" s="72">
        <f t="shared" si="1031"/>
        <v>1.052113785557987</v>
      </c>
      <c r="U2740" s="72">
        <f t="shared" si="1032"/>
        <v>1.06</v>
      </c>
    </row>
    <row r="2741" spans="1:21" x14ac:dyDescent="0.25">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0.84300875273522968</v>
      </c>
      <c r="P2741" s="72">
        <f t="shared" si="1027"/>
        <v>0.625</v>
      </c>
      <c r="Q2741" s="72">
        <f t="shared" si="1028"/>
        <v>0.375</v>
      </c>
      <c r="R2741" s="72">
        <f t="shared" si="1029"/>
        <v>0</v>
      </c>
      <c r="S2741" s="72">
        <f t="shared" si="1030"/>
        <v>1.0512815034109924</v>
      </c>
      <c r="T2741" s="72">
        <f t="shared" si="1031"/>
        <v>1.0512815034109924</v>
      </c>
      <c r="U2741" s="72">
        <f t="shared" si="1032"/>
        <v>1.06</v>
      </c>
    </row>
    <row r="2742" spans="1:21" x14ac:dyDescent="0.25">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0.8423413566739606</v>
      </c>
      <c r="P2742" s="72">
        <f t="shared" si="1027"/>
        <v>0.54166666666666663</v>
      </c>
      <c r="Q2742" s="72">
        <f t="shared" si="1028"/>
        <v>0.45833333333333337</v>
      </c>
      <c r="R2742" s="72">
        <f t="shared" si="1029"/>
        <v>0</v>
      </c>
      <c r="S2742" s="72">
        <f t="shared" si="1030"/>
        <v>1.050449221263998</v>
      </c>
      <c r="T2742" s="72">
        <f t="shared" si="1031"/>
        <v>1.050449221263998</v>
      </c>
      <c r="U2742" s="72">
        <f t="shared" si="1032"/>
        <v>1.06</v>
      </c>
    </row>
    <row r="2743" spans="1:21" x14ac:dyDescent="0.25">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0.8416739606126914</v>
      </c>
      <c r="P2743" s="72">
        <f t="shared" si="1027"/>
        <v>0.45833333333333331</v>
      </c>
      <c r="Q2743" s="72">
        <f t="shared" si="1028"/>
        <v>0.54166666666666674</v>
      </c>
      <c r="R2743" s="72">
        <f t="shared" si="1029"/>
        <v>0</v>
      </c>
      <c r="S2743" s="72">
        <f t="shared" si="1030"/>
        <v>1.0496169391170036</v>
      </c>
      <c r="T2743" s="72">
        <f t="shared" si="1031"/>
        <v>1.0496169391170036</v>
      </c>
      <c r="U2743" s="72">
        <f t="shared" si="1032"/>
        <v>1.06</v>
      </c>
    </row>
    <row r="2744" spans="1:21" x14ac:dyDescent="0.25">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0.84099562363238511</v>
      </c>
      <c r="P2744" s="72">
        <f t="shared" si="1027"/>
        <v>0.375</v>
      </c>
      <c r="Q2744" s="72">
        <f t="shared" si="1028"/>
        <v>0.625</v>
      </c>
      <c r="R2744" s="72">
        <f t="shared" si="1029"/>
        <v>0</v>
      </c>
      <c r="S2744" s="72">
        <f t="shared" si="1030"/>
        <v>1.0487710130003862</v>
      </c>
      <c r="T2744" s="72">
        <f t="shared" si="1031"/>
        <v>1.0487710130003862</v>
      </c>
      <c r="U2744" s="72">
        <f t="shared" si="1032"/>
        <v>1.06</v>
      </c>
    </row>
    <row r="2745" spans="1:21" x14ac:dyDescent="0.25">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0.84032822757111592</v>
      </c>
      <c r="P2745" s="72">
        <f t="shared" si="1027"/>
        <v>0.29166666666666669</v>
      </c>
      <c r="Q2745" s="72">
        <f t="shared" si="1028"/>
        <v>0.70833333333333326</v>
      </c>
      <c r="R2745" s="72">
        <f t="shared" si="1029"/>
        <v>0</v>
      </c>
      <c r="S2745" s="72">
        <f t="shared" si="1030"/>
        <v>1.0479387308533916</v>
      </c>
      <c r="T2745" s="72">
        <f t="shared" si="1031"/>
        <v>1.0479387308533916</v>
      </c>
      <c r="U2745" s="72">
        <f t="shared" si="1032"/>
        <v>1.06</v>
      </c>
    </row>
    <row r="2746" spans="1:21" x14ac:dyDescent="0.25">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0.83966083150984683</v>
      </c>
      <c r="P2746" s="72">
        <f t="shared" si="1027"/>
        <v>0.20833333333333334</v>
      </c>
      <c r="Q2746" s="72">
        <f t="shared" si="1028"/>
        <v>0.79166666666666663</v>
      </c>
      <c r="R2746" s="72">
        <f t="shared" si="1029"/>
        <v>0</v>
      </c>
      <c r="S2746" s="72">
        <f t="shared" si="1030"/>
        <v>1.0471064487063975</v>
      </c>
      <c r="T2746" s="72">
        <f t="shared" si="1031"/>
        <v>1.0471064487063975</v>
      </c>
      <c r="U2746" s="72">
        <f t="shared" si="1032"/>
        <v>1.06</v>
      </c>
    </row>
    <row r="2747" spans="1:21" x14ac:dyDescent="0.25">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0.83899343544857763</v>
      </c>
      <c r="P2747" s="72">
        <f t="shared" si="1027"/>
        <v>0.125</v>
      </c>
      <c r="Q2747" s="72">
        <f t="shared" si="1028"/>
        <v>0.875</v>
      </c>
      <c r="R2747" s="72">
        <f t="shared" si="1029"/>
        <v>0</v>
      </c>
      <c r="S2747" s="72">
        <f t="shared" si="1030"/>
        <v>1.0462741665594026</v>
      </c>
      <c r="T2747" s="72">
        <f t="shared" si="1031"/>
        <v>1.0462741665594026</v>
      </c>
      <c r="U2747" s="72">
        <f t="shared" si="1032"/>
        <v>1.06</v>
      </c>
    </row>
    <row r="2748" spans="1:21" x14ac:dyDescent="0.25">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0.83832603938730854</v>
      </c>
      <c r="P2748" s="72">
        <f t="shared" si="1027"/>
        <v>4.1666666666666664E-2</v>
      </c>
      <c r="Q2748" s="72">
        <f t="shared" si="1028"/>
        <v>0.95833333333333337</v>
      </c>
      <c r="R2748" s="72">
        <f t="shared" si="1029"/>
        <v>0</v>
      </c>
      <c r="S2748" s="72">
        <f t="shared" si="1030"/>
        <v>1.0454418844124083</v>
      </c>
      <c r="T2748" s="72">
        <f t="shared" si="1031"/>
        <v>1.0454418844124083</v>
      </c>
      <c r="U2748" s="72">
        <f t="shared" si="1032"/>
        <v>1.06</v>
      </c>
    </row>
    <row r="2749" spans="1:21" x14ac:dyDescent="0.25">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0.83764770240700215</v>
      </c>
      <c r="P2749" s="72">
        <f t="shared" si="1027"/>
        <v>0</v>
      </c>
      <c r="Q2749" s="72">
        <f t="shared" si="1028"/>
        <v>0.95833333333333337</v>
      </c>
      <c r="R2749" s="72">
        <f t="shared" si="1029"/>
        <v>4.166666666666663E-2</v>
      </c>
      <c r="S2749" s="72">
        <f t="shared" si="1030"/>
        <v>1.0445959582957909</v>
      </c>
      <c r="T2749" s="72">
        <f t="shared" si="1031"/>
        <v>0.99486420388724417</v>
      </c>
      <c r="U2749" s="72">
        <f t="shared" si="1032"/>
        <v>1.06</v>
      </c>
    </row>
    <row r="2750" spans="1:21" x14ac:dyDescent="0.25">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0.83700218818380745</v>
      </c>
      <c r="P2750" s="72">
        <f t="shared" si="1027"/>
        <v>0</v>
      </c>
      <c r="Q2750" s="72">
        <f t="shared" si="1028"/>
        <v>0.875</v>
      </c>
      <c r="R2750" s="72">
        <f t="shared" si="1029"/>
        <v>0.125</v>
      </c>
      <c r="S2750" s="72">
        <f t="shared" si="1030"/>
        <v>1.0437909640880423</v>
      </c>
      <c r="T2750" s="72">
        <f t="shared" si="1031"/>
        <v>1.0537510619127302</v>
      </c>
      <c r="U2750" s="72">
        <f t="shared" si="1032"/>
        <v>1.06</v>
      </c>
    </row>
    <row r="2751" spans="1:21" x14ac:dyDescent="0.25">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0.83635667396061264</v>
      </c>
      <c r="P2751" s="72">
        <f t="shared" si="1027"/>
        <v>0</v>
      </c>
      <c r="Q2751" s="72">
        <f t="shared" si="1028"/>
        <v>0.79166666666666663</v>
      </c>
      <c r="R2751" s="72">
        <f t="shared" si="1029"/>
        <v>0.20833333333333337</v>
      </c>
      <c r="S2751" s="72">
        <f t="shared" si="1030"/>
        <v>1.0429859698802935</v>
      </c>
      <c r="T2751" s="72">
        <f t="shared" si="1031"/>
        <v>1.0529460677049813</v>
      </c>
      <c r="U2751" s="72">
        <f t="shared" si="1032"/>
        <v>1.06</v>
      </c>
    </row>
    <row r="2752" spans="1:21" x14ac:dyDescent="0.25">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0.83568927789934355</v>
      </c>
      <c r="P2752" s="72">
        <f t="shared" si="1027"/>
        <v>0</v>
      </c>
      <c r="Q2752" s="72">
        <f t="shared" si="1028"/>
        <v>0.70833333333333337</v>
      </c>
      <c r="R2752" s="72">
        <f t="shared" si="1029"/>
        <v>0.29166666666666663</v>
      </c>
      <c r="S2752" s="72">
        <f t="shared" si="1030"/>
        <v>1.0421536877332991</v>
      </c>
      <c r="T2752" s="72">
        <f t="shared" si="1031"/>
        <v>1.052113785557987</v>
      </c>
      <c r="U2752" s="72">
        <f t="shared" si="1032"/>
        <v>1.06</v>
      </c>
    </row>
    <row r="2753" spans="1:21" x14ac:dyDescent="0.25">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0.83502188183807435</v>
      </c>
      <c r="P2753" s="72">
        <f t="shared" si="1027"/>
        <v>0</v>
      </c>
      <c r="Q2753" s="72">
        <f t="shared" si="1028"/>
        <v>0.625</v>
      </c>
      <c r="R2753" s="72">
        <f t="shared" si="1029"/>
        <v>0.375</v>
      </c>
      <c r="S2753" s="72">
        <f t="shared" si="1030"/>
        <v>1.0413214055863045</v>
      </c>
      <c r="T2753" s="72">
        <f t="shared" si="1031"/>
        <v>1.0512815034109924</v>
      </c>
      <c r="U2753" s="72">
        <f t="shared" si="1032"/>
        <v>1.06</v>
      </c>
    </row>
    <row r="2754" spans="1:21" x14ac:dyDescent="0.25">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0.83435448577680527</v>
      </c>
      <c r="P2754" s="72">
        <f t="shared" si="1027"/>
        <v>0</v>
      </c>
      <c r="Q2754" s="72">
        <f t="shared" si="1028"/>
        <v>0.54166666666666663</v>
      </c>
      <c r="R2754" s="72">
        <f t="shared" si="1029"/>
        <v>0.45833333333333337</v>
      </c>
      <c r="S2754" s="72">
        <f t="shared" si="1030"/>
        <v>1.0404891234393101</v>
      </c>
      <c r="T2754" s="72">
        <f t="shared" si="1031"/>
        <v>1.050449221263998</v>
      </c>
      <c r="U2754" s="72">
        <f t="shared" si="1032"/>
        <v>1.06</v>
      </c>
    </row>
    <row r="2755" spans="1:21" x14ac:dyDescent="0.25">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0.83368708971553607</v>
      </c>
      <c r="P2755" s="72">
        <f t="shared" si="1027"/>
        <v>0</v>
      </c>
      <c r="Q2755" s="72">
        <f t="shared" si="1028"/>
        <v>0.45833333333333331</v>
      </c>
      <c r="R2755" s="72">
        <f t="shared" si="1029"/>
        <v>0.54166666666666674</v>
      </c>
      <c r="S2755" s="72">
        <f t="shared" si="1030"/>
        <v>1.0396568412923155</v>
      </c>
      <c r="T2755" s="72">
        <f t="shared" si="1031"/>
        <v>1.0496169391170036</v>
      </c>
      <c r="U2755" s="72">
        <f t="shared" si="1032"/>
        <v>1.06</v>
      </c>
    </row>
    <row r="2756" spans="1:21" x14ac:dyDescent="0.25">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0.83300875273522967</v>
      </c>
      <c r="P2756" s="72">
        <f t="shared" si="1027"/>
        <v>0</v>
      </c>
      <c r="Q2756" s="72">
        <f t="shared" si="1028"/>
        <v>0.375</v>
      </c>
      <c r="R2756" s="72">
        <f t="shared" si="1029"/>
        <v>0.625</v>
      </c>
      <c r="S2756" s="72">
        <f t="shared" si="1030"/>
        <v>1.0388109151756983</v>
      </c>
      <c r="T2756" s="72">
        <f t="shared" si="1031"/>
        <v>1.0487710130003862</v>
      </c>
      <c r="U2756" s="72">
        <f t="shared" si="1032"/>
        <v>1.06</v>
      </c>
    </row>
    <row r="2757" spans="1:21" x14ac:dyDescent="0.25">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0.83234135667396059</v>
      </c>
      <c r="P2757" s="72">
        <f t="shared" si="1027"/>
        <v>0</v>
      </c>
      <c r="Q2757" s="72">
        <f t="shared" si="1028"/>
        <v>0.29166666666666669</v>
      </c>
      <c r="R2757" s="72">
        <f t="shared" si="1029"/>
        <v>0.70833333333333326</v>
      </c>
      <c r="S2757" s="72">
        <f t="shared" si="1030"/>
        <v>1.0379786330287037</v>
      </c>
      <c r="T2757" s="72">
        <f t="shared" si="1031"/>
        <v>1.0479387308533916</v>
      </c>
      <c r="U2757" s="72">
        <f t="shared" si="1032"/>
        <v>1.06</v>
      </c>
    </row>
    <row r="2758" spans="1:21" x14ac:dyDescent="0.25">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0.83167396061269139</v>
      </c>
      <c r="P2758" s="72">
        <f t="shared" si="1027"/>
        <v>0</v>
      </c>
      <c r="Q2758" s="72">
        <f t="shared" si="1028"/>
        <v>0.20833333333333334</v>
      </c>
      <c r="R2758" s="72">
        <f t="shared" si="1029"/>
        <v>0.79166666666666663</v>
      </c>
      <c r="S2758" s="72">
        <f t="shared" si="1030"/>
        <v>1.0786322049169776</v>
      </c>
      <c r="T2758" s="72">
        <f t="shared" si="1031"/>
        <v>1.0471064487063975</v>
      </c>
      <c r="U2758" s="72">
        <f t="shared" si="1032"/>
        <v>1.1024</v>
      </c>
    </row>
    <row r="2759" spans="1:21" x14ac:dyDescent="0.25">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0.8310065645514223</v>
      </c>
      <c r="P2759" s="72">
        <f t="shared" si="1027"/>
        <v>0</v>
      </c>
      <c r="Q2759" s="72">
        <f t="shared" si="1028"/>
        <v>0.125</v>
      </c>
      <c r="R2759" s="72">
        <f t="shared" si="1029"/>
        <v>0.875</v>
      </c>
      <c r="S2759" s="72">
        <f t="shared" si="1030"/>
        <v>1.0777666314841035</v>
      </c>
      <c r="T2759" s="72">
        <f t="shared" si="1031"/>
        <v>1.0462741665594026</v>
      </c>
      <c r="U2759" s="72">
        <f t="shared" si="1032"/>
        <v>1.1024</v>
      </c>
    </row>
    <row r="2760" spans="1:21" x14ac:dyDescent="0.25">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0.8303391684901531</v>
      </c>
      <c r="P2760" s="72">
        <f t="shared" si="1027"/>
        <v>0</v>
      </c>
      <c r="Q2760" s="72">
        <f t="shared" si="1028"/>
        <v>4.1666666666666664E-2</v>
      </c>
      <c r="R2760" s="72">
        <f t="shared" si="1029"/>
        <v>0.95833333333333337</v>
      </c>
      <c r="S2760" s="72">
        <f t="shared" si="1030"/>
        <v>1.0769010580512293</v>
      </c>
      <c r="T2760" s="72">
        <f t="shared" si="1031"/>
        <v>1.0454418844124083</v>
      </c>
      <c r="U2760" s="72">
        <f t="shared" si="1032"/>
        <v>1.1024</v>
      </c>
    </row>
    <row r="2761" spans="1:21" x14ac:dyDescent="0.25">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0.83</v>
      </c>
      <c r="P2761" s="72">
        <f t="shared" si="1027"/>
        <v>0</v>
      </c>
      <c r="Q2761" s="72">
        <f t="shared" si="1028"/>
        <v>0</v>
      </c>
      <c r="R2761" s="72">
        <f t="shared" si="1029"/>
        <v>0.95833333333333337</v>
      </c>
      <c r="S2761" s="72">
        <f t="shared" si="1030"/>
        <v>1.0764611764705883</v>
      </c>
      <c r="T2761" s="72">
        <f t="shared" si="1031"/>
        <v>0.99486420388724417</v>
      </c>
      <c r="U2761" s="72">
        <f t="shared" si="1032"/>
        <v>1.1024</v>
      </c>
    </row>
    <row r="2762" spans="1:21" x14ac:dyDescent="0.25">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0.83</v>
      </c>
      <c r="P2762" s="72">
        <f t="shared" si="1027"/>
        <v>0</v>
      </c>
      <c r="Q2762" s="72">
        <f t="shared" si="1028"/>
        <v>0</v>
      </c>
      <c r="R2762" s="72">
        <f t="shared" si="1029"/>
        <v>0.875</v>
      </c>
      <c r="S2762" s="72">
        <f t="shared" si="1030"/>
        <v>1.0764611764705883</v>
      </c>
      <c r="T2762" s="72">
        <f t="shared" si="1031"/>
        <v>1.0537510619127302</v>
      </c>
      <c r="U2762" s="72">
        <f t="shared" si="1032"/>
        <v>1.1024</v>
      </c>
    </row>
    <row r="2763" spans="1:21" x14ac:dyDescent="0.25">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0.83</v>
      </c>
      <c r="P2763" s="72">
        <f t="shared" si="1027"/>
        <v>0</v>
      </c>
      <c r="Q2763" s="72">
        <f t="shared" si="1028"/>
        <v>0</v>
      </c>
      <c r="R2763" s="72">
        <f t="shared" si="1029"/>
        <v>0.79166666666666663</v>
      </c>
      <c r="S2763" s="72">
        <f t="shared" si="1030"/>
        <v>1.0764611764705883</v>
      </c>
      <c r="T2763" s="72">
        <f t="shared" si="1031"/>
        <v>1.0529460677049813</v>
      </c>
      <c r="U2763" s="72">
        <f t="shared" si="1032"/>
        <v>1.1024</v>
      </c>
    </row>
    <row r="2764" spans="1:21" x14ac:dyDescent="0.25">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0.83</v>
      </c>
      <c r="P2764" s="72">
        <f t="shared" si="1027"/>
        <v>0</v>
      </c>
      <c r="Q2764" s="72">
        <f t="shared" si="1028"/>
        <v>0</v>
      </c>
      <c r="R2764" s="72">
        <f t="shared" si="1029"/>
        <v>0.70833333333333337</v>
      </c>
      <c r="S2764" s="72">
        <f t="shared" si="1030"/>
        <v>1.0764611764705883</v>
      </c>
      <c r="T2764" s="72">
        <f t="shared" si="1031"/>
        <v>1.052113785557987</v>
      </c>
      <c r="U2764" s="72">
        <f t="shared" si="1032"/>
        <v>1.1024</v>
      </c>
    </row>
    <row r="2765" spans="1:21" x14ac:dyDescent="0.25">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0.83</v>
      </c>
      <c r="P2765" s="72">
        <f t="shared" si="1027"/>
        <v>0</v>
      </c>
      <c r="Q2765" s="72">
        <f t="shared" si="1028"/>
        <v>0</v>
      </c>
      <c r="R2765" s="72">
        <f t="shared" si="1029"/>
        <v>0.625</v>
      </c>
      <c r="S2765" s="72">
        <f t="shared" si="1030"/>
        <v>1.0764611764705883</v>
      </c>
      <c r="T2765" s="72">
        <f t="shared" si="1031"/>
        <v>1.0512815034109924</v>
      </c>
      <c r="U2765" s="72">
        <f t="shared" si="1032"/>
        <v>1.1024</v>
      </c>
    </row>
    <row r="2766" spans="1:21" x14ac:dyDescent="0.25">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0.83</v>
      </c>
      <c r="P2766" s="72">
        <f t="shared" si="1027"/>
        <v>0</v>
      </c>
      <c r="Q2766" s="72">
        <f t="shared" si="1028"/>
        <v>0</v>
      </c>
      <c r="R2766" s="72">
        <f t="shared" si="1029"/>
        <v>0.54166666666666663</v>
      </c>
      <c r="S2766" s="72">
        <f t="shared" si="1030"/>
        <v>1.0764611764705883</v>
      </c>
      <c r="T2766" s="72">
        <f t="shared" si="1031"/>
        <v>1.050449221263998</v>
      </c>
      <c r="U2766" s="72">
        <f t="shared" si="1032"/>
        <v>1.1024</v>
      </c>
    </row>
    <row r="2767" spans="1:21" x14ac:dyDescent="0.25">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0.83</v>
      </c>
      <c r="P2767" s="72">
        <f t="shared" si="1027"/>
        <v>0</v>
      </c>
      <c r="Q2767" s="72">
        <f t="shared" si="1028"/>
        <v>0</v>
      </c>
      <c r="R2767" s="72">
        <f t="shared" si="1029"/>
        <v>0.45833333333333331</v>
      </c>
      <c r="S2767" s="72">
        <f t="shared" si="1030"/>
        <v>1.0764611764705883</v>
      </c>
      <c r="T2767" s="72">
        <f t="shared" si="1031"/>
        <v>1.0496169391170036</v>
      </c>
      <c r="U2767" s="72">
        <f t="shared" si="1032"/>
        <v>1.1024</v>
      </c>
    </row>
    <row r="2768" spans="1:21" x14ac:dyDescent="0.25">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0.83</v>
      </c>
      <c r="P2768" s="72">
        <f t="shared" si="1027"/>
        <v>0</v>
      </c>
      <c r="Q2768" s="72">
        <f t="shared" si="1028"/>
        <v>0</v>
      </c>
      <c r="R2768" s="72">
        <f t="shared" si="1029"/>
        <v>0.375</v>
      </c>
      <c r="S2768" s="72">
        <f t="shared" si="1030"/>
        <v>1.0764611764705883</v>
      </c>
      <c r="T2768" s="72">
        <f t="shared" si="1031"/>
        <v>1.0487710130003862</v>
      </c>
      <c r="U2768" s="72">
        <f t="shared" si="1032"/>
        <v>1.1024</v>
      </c>
    </row>
    <row r="2769" spans="1:21" x14ac:dyDescent="0.25">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0.83</v>
      </c>
      <c r="P2769" s="72">
        <f t="shared" si="1027"/>
        <v>0</v>
      </c>
      <c r="Q2769" s="72">
        <f t="shared" si="1028"/>
        <v>0</v>
      </c>
      <c r="R2769" s="72">
        <f t="shared" si="1029"/>
        <v>0.29166666666666669</v>
      </c>
      <c r="S2769" s="72">
        <f t="shared" si="1030"/>
        <v>1.0764611764705883</v>
      </c>
      <c r="T2769" s="72">
        <f t="shared" si="1031"/>
        <v>1.0479387308533916</v>
      </c>
      <c r="U2769" s="72">
        <f t="shared" si="1032"/>
        <v>1.1024</v>
      </c>
    </row>
    <row r="2770" spans="1:21" x14ac:dyDescent="0.25">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0.83</v>
      </c>
      <c r="P2770" s="72">
        <f t="shared" si="1027"/>
        <v>0</v>
      </c>
      <c r="Q2770" s="72">
        <f t="shared" si="1028"/>
        <v>0</v>
      </c>
      <c r="R2770" s="72">
        <f t="shared" si="1029"/>
        <v>0.20833333333333334</v>
      </c>
      <c r="S2770" s="72">
        <f t="shared" si="1030"/>
        <v>1.0764611764705883</v>
      </c>
      <c r="T2770" s="72">
        <f t="shared" si="1031"/>
        <v>1.0471064487063975</v>
      </c>
      <c r="U2770" s="72">
        <f t="shared" si="1032"/>
        <v>1.1024</v>
      </c>
    </row>
    <row r="2771" spans="1:21" x14ac:dyDescent="0.25">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0.83</v>
      </c>
      <c r="P2771" s="72">
        <f t="shared" si="1027"/>
        <v>0</v>
      </c>
      <c r="Q2771" s="72">
        <f t="shared" si="1028"/>
        <v>0</v>
      </c>
      <c r="R2771" s="72">
        <f t="shared" si="1029"/>
        <v>0.125</v>
      </c>
      <c r="S2771" s="72">
        <f t="shared" si="1030"/>
        <v>1.0764611764705883</v>
      </c>
      <c r="T2771" s="72">
        <f t="shared" si="1031"/>
        <v>1.0462741665594026</v>
      </c>
      <c r="U2771" s="72">
        <f t="shared" si="1032"/>
        <v>1.1024</v>
      </c>
    </row>
    <row r="2772" spans="1:21" x14ac:dyDescent="0.25">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0.83</v>
      </c>
      <c r="P2772" s="72">
        <f t="shared" si="1027"/>
        <v>0</v>
      </c>
      <c r="Q2772" s="72">
        <f t="shared" si="1028"/>
        <v>0</v>
      </c>
      <c r="R2772" s="72">
        <f t="shared" si="1029"/>
        <v>4.1666666666666664E-2</v>
      </c>
      <c r="S2772" s="72">
        <f t="shared" si="1030"/>
        <v>1.0764611764705883</v>
      </c>
      <c r="T2772" s="72">
        <f t="shared" si="1031"/>
        <v>1.0454418844124083</v>
      </c>
      <c r="U2772" s="72">
        <f t="shared" si="1032"/>
        <v>1.1024</v>
      </c>
    </row>
    <row r="2773" spans="1:21" x14ac:dyDescent="0.25">
      <c r="A2773" s="77" t="s">
        <v>1209</v>
      </c>
      <c r="B2773" s="50">
        <f>EXP(SUMPRODUCT((rl_key=$A$2722)*(rl_cons="Y")*rl_ln1p))</f>
        <v>1.06</v>
      </c>
      <c r="C2773" s="50">
        <f>SUMPRODUCT($H$2725:$H$2772,$P$2725:$P$2772,$U$2725:$U$2772)/SUMPRODUCT($H$2725:$H$2772,$P$2725:$P$2772)</f>
        <v>1.0252083333333335</v>
      </c>
      <c r="D2773" s="50">
        <f>SUMPRODUCT($H$2725:$H$2772,$Q$2725:$Q$2772,$U$2725:$U$2772)/SUMPRODUCT($H$2725:$H$2772,$Q$2725:$Q$2772)</f>
        <v>1.0611166666666667</v>
      </c>
      <c r="E2773" s="50">
        <f>SUMPRODUCT($H$2725:$H$2772,$R$2725:$R$2772,$U$2725:$U$2772)/SUMPRODUCT($H$2725:$H$2772,$R$2725:$R$2772)</f>
        <v>1.0904750000000003</v>
      </c>
      <c r="F2773" s="169">
        <f>SUMPRODUCT($H$2725:$H$2772,$Q$2725:$Q$2772,$O$2725:$O$2772)/SUMPRODUCT($H$2725:$H$2772,$Q$2725:$Q$2772)</f>
        <v>0.8380041940189642</v>
      </c>
      <c r="G2773" s="169">
        <f>SUMPRODUCT($H$2725:$H$2772,$R$2725:$R$2772,$O$2725:$O$2772)/SUMPRODUCT($H$2725:$H$2772,$R$2725:$R$2772)</f>
        <v>0.83134364362995383</v>
      </c>
    </row>
    <row r="2776" spans="1:21" x14ac:dyDescent="0.25">
      <c r="A2776" s="77" t="str">
        <f>INDEX(lr_key,51)</f>
        <v>BU-C|IA</v>
      </c>
      <c r="B2776" s="77" t="str">
        <f>INDEX(lr_state,51)</f>
        <v>IA</v>
      </c>
      <c r="C2776" s="52">
        <f>nr_TermMonths</f>
        <v>12</v>
      </c>
      <c r="D2776" s="52">
        <f>IF(COUNTIF(se_state,$B2776)=0,0,MATCH($B2776,se_state,0))</f>
        <v>0</v>
      </c>
      <c r="E2776" s="54">
        <f>IF($D2776=0,0,INDEX(se_sum,$D2776))</f>
        <v>0</v>
      </c>
      <c r="F2776" s="169">
        <f>IF(N(INDEX(lr_mind,51))=0,1,INDEX(lr_mind,51))</f>
        <v>0.85</v>
      </c>
      <c r="G2776" s="169">
        <f>IF(N(INDEX(lr_m0,51))=0,1,INDEX(lr_m0,51))</f>
        <v>0.84</v>
      </c>
      <c r="H2776" s="51">
        <f>IF(N(INDEX(lr_m0asof,51))=0,DATE(nr_PlanYear-1,10,1),INDEX(lr_m0asof,51))</f>
        <v>46295</v>
      </c>
      <c r="I2776" s="169">
        <f>IF(N(INDEX(lr_m1,51))=0,1,INDEX(lr_m1,51))</f>
        <v>0.84499999999999997</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25">
      <c r="A2777" s="77">
        <f>EDATE($H$2776,-12)+1</f>
        <v>45931</v>
      </c>
      <c r="B2777" s="77">
        <f>$H$2776+1</f>
        <v>46296</v>
      </c>
      <c r="C2777" s="77">
        <f>DATE(nr_PlanYear,12,31)+1</f>
        <v>46753</v>
      </c>
      <c r="D2777" s="77">
        <f>DATE(nr_PlanYear+1,12,31)+1</f>
        <v>47119</v>
      </c>
      <c r="E2777" s="77">
        <f>IF(N($J$2776)=0,$F$2777-($G$2777-$F$2777)/($C$2777-$B$2777)*($B$2777-$A$2777),$J$2776)</f>
        <v>0.8360065645514223</v>
      </c>
      <c r="F2777" s="77">
        <f>$G$2776</f>
        <v>0.84</v>
      </c>
      <c r="G2777" s="77">
        <f>$I$2776</f>
        <v>0.84499999999999997</v>
      </c>
      <c r="H2777" s="77">
        <f>IF(N($K$2776)=0,$I$2776,$K$2776)</f>
        <v>0.84499999999999997</v>
      </c>
      <c r="I2777" s="77">
        <f>($F$2777-$E$2777)/($B$2777-$A$2777)</f>
        <v>1.0940919037199081E-5</v>
      </c>
      <c r="J2777" s="77">
        <f>($G$2777-$F$2777)/($C$2777-$B$2777)</f>
        <v>1.0940919037199135E-5</v>
      </c>
      <c r="K2777" s="77">
        <f>($H$2777-$G$2777)/($D$2777-$C$2777)</f>
        <v>0</v>
      </c>
    </row>
    <row r="2778" spans="1:21" ht="24" x14ac:dyDescent="0.25">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25">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0.83318927789934349</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0.98022267988158063</v>
      </c>
      <c r="T2779" s="72">
        <f t="shared" ref="T2779:T2826" si="1051">IF($G2779&lt;nr_MStartP,$S2779,$T2767*(1+IF($G2779&lt;nr_MStartP1,$M$2776,$N$2776)))</f>
        <v>0.98022267988158063</v>
      </c>
      <c r="U2779" s="72">
        <f t="shared" ref="U2779:U2826" si="1052">IF($L$2776,$T2779,$N2779)</f>
        <v>0.98022267988158063</v>
      </c>
    </row>
    <row r="2780" spans="1:21" x14ac:dyDescent="0.25">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0.83351203501094095</v>
      </c>
      <c r="P2780" s="72">
        <f t="shared" si="1047"/>
        <v>0.125</v>
      </c>
      <c r="Q2780" s="72">
        <f t="shared" si="1048"/>
        <v>0</v>
      </c>
      <c r="R2780" s="72">
        <f t="shared" si="1049"/>
        <v>0</v>
      </c>
      <c r="S2780" s="72">
        <f t="shared" si="1050"/>
        <v>0.98060239413051875</v>
      </c>
      <c r="T2780" s="72">
        <f t="shared" si="1051"/>
        <v>0.98060239413051875</v>
      </c>
      <c r="U2780" s="72">
        <f t="shared" si="1052"/>
        <v>0.98060239413051875</v>
      </c>
    </row>
    <row r="2781" spans="1:21" x14ac:dyDescent="0.25">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0.8338347921225383</v>
      </c>
      <c r="P2781" s="72">
        <f t="shared" si="1047"/>
        <v>0.20833333333333337</v>
      </c>
      <c r="Q2781" s="72">
        <f t="shared" si="1048"/>
        <v>0</v>
      </c>
      <c r="R2781" s="72">
        <f t="shared" si="1049"/>
        <v>0</v>
      </c>
      <c r="S2781" s="72">
        <f t="shared" si="1050"/>
        <v>0.98098210837945687</v>
      </c>
      <c r="T2781" s="72">
        <f t="shared" si="1051"/>
        <v>0.98098210837945687</v>
      </c>
      <c r="U2781" s="72">
        <f t="shared" si="1052"/>
        <v>0.98098210837945687</v>
      </c>
    </row>
    <row r="2782" spans="1:21" x14ac:dyDescent="0.25">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0.83416849015317285</v>
      </c>
      <c r="P2782" s="72">
        <f t="shared" si="1047"/>
        <v>0.29166666666666663</v>
      </c>
      <c r="Q2782" s="72">
        <f t="shared" si="1048"/>
        <v>0</v>
      </c>
      <c r="R2782" s="72">
        <f t="shared" si="1049"/>
        <v>0</v>
      </c>
      <c r="S2782" s="72">
        <f t="shared" si="1050"/>
        <v>0.9813746942978504</v>
      </c>
      <c r="T2782" s="72">
        <f t="shared" si="1051"/>
        <v>0.9813746942978504</v>
      </c>
      <c r="U2782" s="72">
        <f t="shared" si="1052"/>
        <v>0.9813746942978504</v>
      </c>
    </row>
    <row r="2783" spans="1:21" x14ac:dyDescent="0.25">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0.83450218818380739</v>
      </c>
      <c r="P2783" s="72">
        <f t="shared" si="1047"/>
        <v>0.375</v>
      </c>
      <c r="Q2783" s="72">
        <f t="shared" si="1048"/>
        <v>0</v>
      </c>
      <c r="R2783" s="72">
        <f t="shared" si="1049"/>
        <v>0</v>
      </c>
      <c r="S2783" s="72">
        <f t="shared" si="1050"/>
        <v>0.98176728021624404</v>
      </c>
      <c r="T2783" s="72">
        <f t="shared" si="1051"/>
        <v>0.98176728021624404</v>
      </c>
      <c r="U2783" s="72">
        <f t="shared" si="1052"/>
        <v>0.98176728021624404</v>
      </c>
    </row>
    <row r="2784" spans="1:21" x14ac:dyDescent="0.25">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0.83483588621444205</v>
      </c>
      <c r="P2784" s="72">
        <f t="shared" si="1047"/>
        <v>0.45833333333333337</v>
      </c>
      <c r="Q2784" s="72">
        <f t="shared" si="1048"/>
        <v>0</v>
      </c>
      <c r="R2784" s="72">
        <f t="shared" si="1049"/>
        <v>0</v>
      </c>
      <c r="S2784" s="72">
        <f t="shared" si="1050"/>
        <v>0.98215986613463768</v>
      </c>
      <c r="T2784" s="72">
        <f t="shared" si="1051"/>
        <v>0.98215986613463768</v>
      </c>
      <c r="U2784" s="72">
        <f t="shared" si="1052"/>
        <v>0.98215986613463768</v>
      </c>
    </row>
    <row r="2785" spans="1:21" x14ac:dyDescent="0.25">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0.83516958424507659</v>
      </c>
      <c r="P2785" s="72">
        <f t="shared" si="1047"/>
        <v>0.54166666666666674</v>
      </c>
      <c r="Q2785" s="72">
        <f t="shared" si="1048"/>
        <v>0</v>
      </c>
      <c r="R2785" s="72">
        <f t="shared" si="1049"/>
        <v>0</v>
      </c>
      <c r="S2785" s="72">
        <f t="shared" si="1050"/>
        <v>0.98255245205303132</v>
      </c>
      <c r="T2785" s="72">
        <f t="shared" si="1051"/>
        <v>0.98255245205303132</v>
      </c>
      <c r="U2785" s="72">
        <f t="shared" si="1052"/>
        <v>0.98255245205303132</v>
      </c>
    </row>
    <row r="2786" spans="1:21" x14ac:dyDescent="0.25">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0.83550875273522973</v>
      </c>
      <c r="P2786" s="72">
        <f t="shared" si="1047"/>
        <v>0.625</v>
      </c>
      <c r="Q2786" s="72">
        <f t="shared" si="1048"/>
        <v>0</v>
      </c>
      <c r="R2786" s="72">
        <f t="shared" si="1049"/>
        <v>0</v>
      </c>
      <c r="S2786" s="72">
        <f t="shared" si="1050"/>
        <v>0.98295147380615266</v>
      </c>
      <c r="T2786" s="72">
        <f t="shared" si="1051"/>
        <v>0.98295147380615266</v>
      </c>
      <c r="U2786" s="72">
        <f t="shared" si="1052"/>
        <v>0.98295147380615266</v>
      </c>
    </row>
    <row r="2787" spans="1:21" x14ac:dyDescent="0.25">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0.83584245076586428</v>
      </c>
      <c r="P2787" s="72">
        <f t="shared" si="1047"/>
        <v>0.70833333333333326</v>
      </c>
      <c r="Q2787" s="72">
        <f t="shared" si="1048"/>
        <v>0</v>
      </c>
      <c r="R2787" s="72">
        <f t="shared" si="1049"/>
        <v>0</v>
      </c>
      <c r="S2787" s="72">
        <f t="shared" si="1050"/>
        <v>0.98334405972454619</v>
      </c>
      <c r="T2787" s="72">
        <f t="shared" si="1051"/>
        <v>0.98334405972454619</v>
      </c>
      <c r="U2787" s="72">
        <f t="shared" si="1052"/>
        <v>0.98334405972454619</v>
      </c>
    </row>
    <row r="2788" spans="1:21" x14ac:dyDescent="0.25">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0.83617614879649893</v>
      </c>
      <c r="P2788" s="72">
        <f t="shared" si="1047"/>
        <v>0.79166666666666663</v>
      </c>
      <c r="Q2788" s="72">
        <f t="shared" si="1048"/>
        <v>0</v>
      </c>
      <c r="R2788" s="72">
        <f t="shared" si="1049"/>
        <v>0</v>
      </c>
      <c r="S2788" s="72">
        <f t="shared" si="1050"/>
        <v>0.98373664564293994</v>
      </c>
      <c r="T2788" s="72">
        <f t="shared" si="1051"/>
        <v>0.98373664564293994</v>
      </c>
      <c r="U2788" s="72">
        <f t="shared" si="1052"/>
        <v>0.98373664564293994</v>
      </c>
    </row>
    <row r="2789" spans="1:21" x14ac:dyDescent="0.25">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0.83650984682713347</v>
      </c>
      <c r="P2789" s="72">
        <f t="shared" si="1047"/>
        <v>0.875</v>
      </c>
      <c r="Q2789" s="72">
        <f t="shared" si="1048"/>
        <v>0</v>
      </c>
      <c r="R2789" s="72">
        <f t="shared" si="1049"/>
        <v>0</v>
      </c>
      <c r="S2789" s="72">
        <f t="shared" si="1050"/>
        <v>0.98412923156133347</v>
      </c>
      <c r="T2789" s="72">
        <f t="shared" si="1051"/>
        <v>0.98412923156133347</v>
      </c>
      <c r="U2789" s="72">
        <f t="shared" si="1052"/>
        <v>0.98412923156133347</v>
      </c>
    </row>
    <row r="2790" spans="1:21" x14ac:dyDescent="0.25">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0.83684354485776802</v>
      </c>
      <c r="P2790" s="72">
        <f t="shared" si="1047"/>
        <v>0.95833333333333337</v>
      </c>
      <c r="Q2790" s="72">
        <f t="shared" si="1048"/>
        <v>0</v>
      </c>
      <c r="R2790" s="72">
        <f t="shared" si="1049"/>
        <v>0</v>
      </c>
      <c r="S2790" s="72">
        <f t="shared" si="1050"/>
        <v>0.98452181747972711</v>
      </c>
      <c r="T2790" s="72">
        <f t="shared" si="1051"/>
        <v>0.98452181747972711</v>
      </c>
      <c r="U2790" s="72">
        <f t="shared" si="1052"/>
        <v>0.98452181747972711</v>
      </c>
    </row>
    <row r="2791" spans="1:21" x14ac:dyDescent="0.25">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0.83718271334792116</v>
      </c>
      <c r="P2791" s="72">
        <f t="shared" si="1047"/>
        <v>0.95833333333333337</v>
      </c>
      <c r="Q2791" s="72">
        <f t="shared" si="1048"/>
        <v>4.166666666666663E-2</v>
      </c>
      <c r="R2791" s="72">
        <f t="shared" si="1049"/>
        <v>0</v>
      </c>
      <c r="S2791" s="72">
        <f t="shared" si="1050"/>
        <v>0.98492083923284846</v>
      </c>
      <c r="T2791" s="72">
        <f t="shared" si="1051"/>
        <v>0.98492083923284846</v>
      </c>
      <c r="U2791" s="72">
        <f t="shared" si="1052"/>
        <v>0.98492083923284846</v>
      </c>
    </row>
    <row r="2792" spans="1:21" x14ac:dyDescent="0.25">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0.83750547045951862</v>
      </c>
      <c r="P2792" s="72">
        <f t="shared" si="1047"/>
        <v>0.875</v>
      </c>
      <c r="Q2792" s="72">
        <f t="shared" si="1048"/>
        <v>0.125</v>
      </c>
      <c r="R2792" s="72">
        <f t="shared" si="1049"/>
        <v>0</v>
      </c>
      <c r="S2792" s="72">
        <f t="shared" si="1050"/>
        <v>0.98530055348178669</v>
      </c>
      <c r="T2792" s="72">
        <f t="shared" si="1051"/>
        <v>0.98530055348178669</v>
      </c>
      <c r="U2792" s="72">
        <f t="shared" si="1052"/>
        <v>0.98530055348178669</v>
      </c>
    </row>
    <row r="2793" spans="1:21" x14ac:dyDescent="0.25">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0.83782822757111597</v>
      </c>
      <c r="P2793" s="72">
        <f t="shared" si="1047"/>
        <v>0.79166666666666663</v>
      </c>
      <c r="Q2793" s="72">
        <f t="shared" si="1048"/>
        <v>0.20833333333333337</v>
      </c>
      <c r="R2793" s="72">
        <f t="shared" si="1049"/>
        <v>0</v>
      </c>
      <c r="S2793" s="72">
        <f t="shared" si="1050"/>
        <v>0.9856802677307247</v>
      </c>
      <c r="T2793" s="72">
        <f t="shared" si="1051"/>
        <v>0.9856802677307247</v>
      </c>
      <c r="U2793" s="72">
        <f t="shared" si="1052"/>
        <v>0.9856802677307247</v>
      </c>
    </row>
    <row r="2794" spans="1:21" x14ac:dyDescent="0.25">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0.83816192560175051</v>
      </c>
      <c r="P2794" s="72">
        <f t="shared" si="1047"/>
        <v>0.70833333333333337</v>
      </c>
      <c r="Q2794" s="72">
        <f t="shared" si="1048"/>
        <v>0.29166666666666663</v>
      </c>
      <c r="R2794" s="72">
        <f t="shared" si="1049"/>
        <v>0</v>
      </c>
      <c r="S2794" s="72">
        <f t="shared" si="1050"/>
        <v>0.98607285364911823</v>
      </c>
      <c r="T2794" s="72">
        <f t="shared" si="1051"/>
        <v>0.98607285364911823</v>
      </c>
      <c r="U2794" s="72">
        <f t="shared" si="1052"/>
        <v>0.98607285364911823</v>
      </c>
    </row>
    <row r="2795" spans="1:21" x14ac:dyDescent="0.25">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0.83849562363238506</v>
      </c>
      <c r="P2795" s="72">
        <f t="shared" si="1047"/>
        <v>0.625</v>
      </c>
      <c r="Q2795" s="72">
        <f t="shared" si="1048"/>
        <v>0.375</v>
      </c>
      <c r="R2795" s="72">
        <f t="shared" si="1049"/>
        <v>0</v>
      </c>
      <c r="S2795" s="72">
        <f t="shared" si="1050"/>
        <v>0.98646543956751187</v>
      </c>
      <c r="T2795" s="72">
        <f t="shared" si="1051"/>
        <v>0.98646543956751187</v>
      </c>
      <c r="U2795" s="72">
        <f t="shared" si="1052"/>
        <v>0.98646543956751187</v>
      </c>
    </row>
    <row r="2796" spans="1:21" x14ac:dyDescent="0.25">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0.83882932166301971</v>
      </c>
      <c r="P2796" s="72">
        <f t="shared" si="1047"/>
        <v>0.54166666666666663</v>
      </c>
      <c r="Q2796" s="72">
        <f t="shared" si="1048"/>
        <v>0.45833333333333337</v>
      </c>
      <c r="R2796" s="72">
        <f t="shared" si="1049"/>
        <v>0</v>
      </c>
      <c r="S2796" s="72">
        <f t="shared" si="1050"/>
        <v>0.98685802548590562</v>
      </c>
      <c r="T2796" s="72">
        <f t="shared" si="1051"/>
        <v>0.98685802548590562</v>
      </c>
      <c r="U2796" s="72">
        <f t="shared" si="1052"/>
        <v>0.98685802548590562</v>
      </c>
    </row>
    <row r="2797" spans="1:21" x14ac:dyDescent="0.25">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0.83916301969365426</v>
      </c>
      <c r="P2797" s="72">
        <f t="shared" si="1047"/>
        <v>0.45833333333333331</v>
      </c>
      <c r="Q2797" s="72">
        <f t="shared" si="1048"/>
        <v>0.54166666666666674</v>
      </c>
      <c r="R2797" s="72">
        <f t="shared" si="1049"/>
        <v>0</v>
      </c>
      <c r="S2797" s="72">
        <f t="shared" si="1050"/>
        <v>0.98725061140429915</v>
      </c>
      <c r="T2797" s="72">
        <f t="shared" si="1051"/>
        <v>0.98725061140429915</v>
      </c>
      <c r="U2797" s="72">
        <f t="shared" si="1052"/>
        <v>0.98725061140429915</v>
      </c>
    </row>
    <row r="2798" spans="1:21" x14ac:dyDescent="0.25">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0.8395021881838074</v>
      </c>
      <c r="P2798" s="72">
        <f t="shared" si="1047"/>
        <v>0.375</v>
      </c>
      <c r="Q2798" s="72">
        <f t="shared" si="1048"/>
        <v>0.625</v>
      </c>
      <c r="R2798" s="72">
        <f t="shared" si="1049"/>
        <v>0</v>
      </c>
      <c r="S2798" s="72">
        <f t="shared" si="1050"/>
        <v>0.98764963315742049</v>
      </c>
      <c r="T2798" s="72">
        <f t="shared" si="1051"/>
        <v>0.98764963315742049</v>
      </c>
      <c r="U2798" s="72">
        <f t="shared" si="1052"/>
        <v>0.98764963315742049</v>
      </c>
    </row>
    <row r="2799" spans="1:21" x14ac:dyDescent="0.25">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0.83983588621444194</v>
      </c>
      <c r="P2799" s="72">
        <f t="shared" si="1047"/>
        <v>0.29166666666666669</v>
      </c>
      <c r="Q2799" s="72">
        <f t="shared" si="1048"/>
        <v>0.70833333333333326</v>
      </c>
      <c r="R2799" s="72">
        <f t="shared" si="1049"/>
        <v>0</v>
      </c>
      <c r="S2799" s="72">
        <f t="shared" si="1050"/>
        <v>0.98804221907581402</v>
      </c>
      <c r="T2799" s="72">
        <f t="shared" si="1051"/>
        <v>0.98804221907581402</v>
      </c>
      <c r="U2799" s="72">
        <f t="shared" si="1052"/>
        <v>0.98804221907581402</v>
      </c>
    </row>
    <row r="2800" spans="1:21" x14ac:dyDescent="0.25">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0.84016958424507659</v>
      </c>
      <c r="P2800" s="72">
        <f t="shared" si="1047"/>
        <v>0.20833333333333334</v>
      </c>
      <c r="Q2800" s="72">
        <f t="shared" si="1048"/>
        <v>0.79166666666666663</v>
      </c>
      <c r="R2800" s="72">
        <f t="shared" si="1049"/>
        <v>0</v>
      </c>
      <c r="S2800" s="72">
        <f t="shared" si="1050"/>
        <v>1.0872782854936287</v>
      </c>
      <c r="T2800" s="72">
        <f t="shared" si="1051"/>
        <v>1.0872782854936287</v>
      </c>
      <c r="U2800" s="72">
        <f t="shared" si="1052"/>
        <v>1.0872782854936287</v>
      </c>
    </row>
    <row r="2801" spans="1:21" x14ac:dyDescent="0.25">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0.84050328227571114</v>
      </c>
      <c r="P2801" s="72">
        <f t="shared" si="1047"/>
        <v>0.125</v>
      </c>
      <c r="Q2801" s="72">
        <f t="shared" si="1048"/>
        <v>0.875</v>
      </c>
      <c r="R2801" s="72">
        <f t="shared" si="1049"/>
        <v>0</v>
      </c>
      <c r="S2801" s="72">
        <f t="shared" si="1050"/>
        <v>1.0877101300038616</v>
      </c>
      <c r="T2801" s="72">
        <f t="shared" si="1051"/>
        <v>1.0877101300038616</v>
      </c>
      <c r="U2801" s="72">
        <f t="shared" si="1052"/>
        <v>1.0877101300038616</v>
      </c>
    </row>
    <row r="2802" spans="1:21" x14ac:dyDescent="0.25">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0.84083698030634568</v>
      </c>
      <c r="P2802" s="72">
        <f t="shared" si="1047"/>
        <v>4.1666666666666664E-2</v>
      </c>
      <c r="Q2802" s="72">
        <f t="shared" si="1048"/>
        <v>0.95833333333333337</v>
      </c>
      <c r="R2802" s="72">
        <f t="shared" si="1049"/>
        <v>0</v>
      </c>
      <c r="S2802" s="72">
        <f t="shared" si="1050"/>
        <v>1.0881419745140946</v>
      </c>
      <c r="T2802" s="72">
        <f t="shared" si="1051"/>
        <v>1.0881419745140946</v>
      </c>
      <c r="U2802" s="72">
        <f t="shared" si="1052"/>
        <v>1.0881419745140946</v>
      </c>
    </row>
    <row r="2803" spans="1:21" x14ac:dyDescent="0.25">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0.84117614879649882</v>
      </c>
      <c r="P2803" s="72">
        <f t="shared" si="1047"/>
        <v>0</v>
      </c>
      <c r="Q2803" s="72">
        <f t="shared" si="1048"/>
        <v>0.95833333333333337</v>
      </c>
      <c r="R2803" s="72">
        <f t="shared" si="1049"/>
        <v>4.166666666666663E-2</v>
      </c>
      <c r="S2803" s="72">
        <f t="shared" si="1050"/>
        <v>1.088580898442528</v>
      </c>
      <c r="T2803" s="72">
        <f t="shared" si="1051"/>
        <v>1.0834129231561334</v>
      </c>
      <c r="U2803" s="72">
        <f t="shared" si="1052"/>
        <v>1.0834129231561334</v>
      </c>
    </row>
    <row r="2804" spans="1:21" x14ac:dyDescent="0.25">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0.84149890590809628</v>
      </c>
      <c r="P2804" s="72">
        <f t="shared" si="1047"/>
        <v>0</v>
      </c>
      <c r="Q2804" s="72">
        <f t="shared" si="1048"/>
        <v>0.875</v>
      </c>
      <c r="R2804" s="72">
        <f t="shared" si="1049"/>
        <v>0.125</v>
      </c>
      <c r="S2804" s="72">
        <f t="shared" si="1050"/>
        <v>1.0889985841163601</v>
      </c>
      <c r="T2804" s="72">
        <f t="shared" si="1051"/>
        <v>1.0838306088299654</v>
      </c>
      <c r="U2804" s="72">
        <f t="shared" si="1052"/>
        <v>1.0838306088299654</v>
      </c>
    </row>
    <row r="2805" spans="1:21" x14ac:dyDescent="0.25">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0.84182166301969363</v>
      </c>
      <c r="P2805" s="72">
        <f t="shared" si="1047"/>
        <v>0</v>
      </c>
      <c r="Q2805" s="72">
        <f t="shared" si="1048"/>
        <v>0.79166666666666663</v>
      </c>
      <c r="R2805" s="72">
        <f t="shared" si="1049"/>
        <v>0.20833333333333337</v>
      </c>
      <c r="S2805" s="72">
        <f t="shared" si="1050"/>
        <v>1.0894162697901919</v>
      </c>
      <c r="T2805" s="72">
        <f t="shared" si="1051"/>
        <v>1.0842482945037972</v>
      </c>
      <c r="U2805" s="72">
        <f t="shared" si="1052"/>
        <v>1.0842482945037972</v>
      </c>
    </row>
    <row r="2806" spans="1:21" x14ac:dyDescent="0.25">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0.84215536105032818</v>
      </c>
      <c r="P2806" s="72">
        <f t="shared" si="1047"/>
        <v>0</v>
      </c>
      <c r="Q2806" s="72">
        <f t="shared" si="1048"/>
        <v>0.70833333333333337</v>
      </c>
      <c r="R2806" s="72">
        <f t="shared" si="1049"/>
        <v>0.29166666666666663</v>
      </c>
      <c r="S2806" s="72">
        <f t="shared" si="1050"/>
        <v>1.0898481143004248</v>
      </c>
      <c r="T2806" s="72">
        <f t="shared" si="1051"/>
        <v>1.0846801390140302</v>
      </c>
      <c r="U2806" s="72">
        <f t="shared" si="1052"/>
        <v>1.0846801390140302</v>
      </c>
    </row>
    <row r="2807" spans="1:21" x14ac:dyDescent="0.25">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0.84248905908096272</v>
      </c>
      <c r="P2807" s="72">
        <f t="shared" si="1047"/>
        <v>0</v>
      </c>
      <c r="Q2807" s="72">
        <f t="shared" si="1048"/>
        <v>0.625</v>
      </c>
      <c r="R2807" s="72">
        <f t="shared" si="1049"/>
        <v>0.375</v>
      </c>
      <c r="S2807" s="72">
        <f t="shared" si="1050"/>
        <v>1.0902799588106578</v>
      </c>
      <c r="T2807" s="72">
        <f t="shared" si="1051"/>
        <v>1.0851119835242631</v>
      </c>
      <c r="U2807" s="72">
        <f t="shared" si="1052"/>
        <v>1.0851119835242631</v>
      </c>
    </row>
    <row r="2808" spans="1:21" x14ac:dyDescent="0.25">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0.84282275711159738</v>
      </c>
      <c r="P2808" s="72">
        <f t="shared" si="1047"/>
        <v>0</v>
      </c>
      <c r="Q2808" s="72">
        <f t="shared" si="1048"/>
        <v>0.54166666666666663</v>
      </c>
      <c r="R2808" s="72">
        <f t="shared" si="1049"/>
        <v>0.45833333333333337</v>
      </c>
      <c r="S2808" s="72">
        <f t="shared" si="1050"/>
        <v>1.0907118033208909</v>
      </c>
      <c r="T2808" s="72">
        <f t="shared" si="1051"/>
        <v>1.0855438280344962</v>
      </c>
      <c r="U2808" s="72">
        <f t="shared" si="1052"/>
        <v>1.0855438280344962</v>
      </c>
    </row>
    <row r="2809" spans="1:21" x14ac:dyDescent="0.25">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0.84315645514223192</v>
      </c>
      <c r="P2809" s="72">
        <f t="shared" si="1047"/>
        <v>0</v>
      </c>
      <c r="Q2809" s="72">
        <f t="shared" si="1048"/>
        <v>0.45833333333333331</v>
      </c>
      <c r="R2809" s="72">
        <f t="shared" si="1049"/>
        <v>0.54166666666666674</v>
      </c>
      <c r="S2809" s="72">
        <f t="shared" si="1050"/>
        <v>1.0911436478311238</v>
      </c>
      <c r="T2809" s="72">
        <f t="shared" si="1051"/>
        <v>1.0859756725447292</v>
      </c>
      <c r="U2809" s="72">
        <f t="shared" si="1052"/>
        <v>1.0859756725447292</v>
      </c>
    </row>
    <row r="2810" spans="1:21" x14ac:dyDescent="0.25">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0.84349562363238506</v>
      </c>
      <c r="P2810" s="72">
        <f t="shared" si="1047"/>
        <v>0</v>
      </c>
      <c r="Q2810" s="72">
        <f t="shared" si="1048"/>
        <v>0.375</v>
      </c>
      <c r="R2810" s="72">
        <f t="shared" si="1049"/>
        <v>0.625</v>
      </c>
      <c r="S2810" s="72">
        <f t="shared" si="1050"/>
        <v>1.0915825717595573</v>
      </c>
      <c r="T2810" s="72">
        <f t="shared" si="1051"/>
        <v>1.0864145964731626</v>
      </c>
      <c r="U2810" s="72">
        <f t="shared" si="1052"/>
        <v>1.0864145964731626</v>
      </c>
    </row>
    <row r="2811" spans="1:21" x14ac:dyDescent="0.25">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0.84382932166301972</v>
      </c>
      <c r="P2811" s="72">
        <f t="shared" si="1047"/>
        <v>0</v>
      </c>
      <c r="Q2811" s="72">
        <f t="shared" si="1048"/>
        <v>0.29166666666666669</v>
      </c>
      <c r="R2811" s="72">
        <f t="shared" si="1049"/>
        <v>0.70833333333333326</v>
      </c>
      <c r="S2811" s="72">
        <f t="shared" si="1050"/>
        <v>1.0920144162697905</v>
      </c>
      <c r="T2811" s="72">
        <f t="shared" si="1051"/>
        <v>1.0868464409833956</v>
      </c>
      <c r="U2811" s="72">
        <f t="shared" si="1052"/>
        <v>1.0868464409833956</v>
      </c>
    </row>
    <row r="2812" spans="1:21" x14ac:dyDescent="0.25">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0.84416301969365426</v>
      </c>
      <c r="P2812" s="72">
        <f t="shared" si="1047"/>
        <v>0</v>
      </c>
      <c r="Q2812" s="72">
        <f t="shared" si="1048"/>
        <v>0.20833333333333334</v>
      </c>
      <c r="R2812" s="72">
        <f t="shared" si="1049"/>
        <v>0.79166666666666663</v>
      </c>
      <c r="S2812" s="72">
        <f t="shared" si="1050"/>
        <v>1.0924462607800232</v>
      </c>
      <c r="T2812" s="72">
        <f t="shared" si="1051"/>
        <v>1.1960061140429916</v>
      </c>
      <c r="U2812" s="72">
        <f t="shared" si="1052"/>
        <v>1.1960061140429916</v>
      </c>
    </row>
    <row r="2813" spans="1:21" x14ac:dyDescent="0.25">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0.8444967177242888</v>
      </c>
      <c r="P2813" s="72">
        <f t="shared" si="1047"/>
        <v>0</v>
      </c>
      <c r="Q2813" s="72">
        <f t="shared" si="1048"/>
        <v>0.125</v>
      </c>
      <c r="R2813" s="72">
        <f t="shared" si="1049"/>
        <v>0.875</v>
      </c>
      <c r="S2813" s="72">
        <f t="shared" si="1050"/>
        <v>1.0928781052902563</v>
      </c>
      <c r="T2813" s="72">
        <f t="shared" si="1051"/>
        <v>1.1964811430042479</v>
      </c>
      <c r="U2813" s="72">
        <f t="shared" si="1052"/>
        <v>1.1964811430042479</v>
      </c>
    </row>
    <row r="2814" spans="1:21" x14ac:dyDescent="0.25">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0.84483041575492335</v>
      </c>
      <c r="P2814" s="72">
        <f t="shared" si="1047"/>
        <v>0</v>
      </c>
      <c r="Q2814" s="72">
        <f t="shared" si="1048"/>
        <v>4.1666666666666664E-2</v>
      </c>
      <c r="R2814" s="72">
        <f t="shared" si="1049"/>
        <v>0.95833333333333337</v>
      </c>
      <c r="S2814" s="72">
        <f t="shared" si="1050"/>
        <v>1.0933099498004892</v>
      </c>
      <c r="T2814" s="72">
        <f t="shared" si="1051"/>
        <v>1.1969561719655042</v>
      </c>
      <c r="U2814" s="72">
        <f t="shared" si="1052"/>
        <v>1.1969561719655042</v>
      </c>
    </row>
    <row r="2815" spans="1:21" x14ac:dyDescent="0.25">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0.84499999999999997</v>
      </c>
      <c r="P2815" s="72">
        <f t="shared" si="1047"/>
        <v>0</v>
      </c>
      <c r="Q2815" s="72">
        <f t="shared" si="1048"/>
        <v>0</v>
      </c>
      <c r="R2815" s="72">
        <f t="shared" si="1049"/>
        <v>0.95833333333333337</v>
      </c>
      <c r="S2815" s="72">
        <f t="shared" si="1050"/>
        <v>1.0935294117647061</v>
      </c>
      <c r="T2815" s="72">
        <f t="shared" si="1051"/>
        <v>1.1917542154717469</v>
      </c>
      <c r="U2815" s="72">
        <f t="shared" si="1052"/>
        <v>1.1917542154717469</v>
      </c>
    </row>
    <row r="2816" spans="1:21" x14ac:dyDescent="0.25">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0.84499999999999997</v>
      </c>
      <c r="P2816" s="72">
        <f t="shared" si="1047"/>
        <v>0</v>
      </c>
      <c r="Q2816" s="72">
        <f t="shared" si="1048"/>
        <v>0</v>
      </c>
      <c r="R2816" s="72">
        <f t="shared" si="1049"/>
        <v>0.875</v>
      </c>
      <c r="S2816" s="72">
        <f t="shared" si="1050"/>
        <v>1.0935294117647061</v>
      </c>
      <c r="T2816" s="72">
        <f t="shared" si="1051"/>
        <v>1.1922136697129619</v>
      </c>
      <c r="U2816" s="72">
        <f t="shared" si="1052"/>
        <v>1.1922136697129619</v>
      </c>
    </row>
    <row r="2817" spans="1:21" x14ac:dyDescent="0.25">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0.84499999999999997</v>
      </c>
      <c r="P2817" s="72">
        <f t="shared" si="1047"/>
        <v>0</v>
      </c>
      <c r="Q2817" s="72">
        <f t="shared" si="1048"/>
        <v>0</v>
      </c>
      <c r="R2817" s="72">
        <f t="shared" si="1049"/>
        <v>0.79166666666666663</v>
      </c>
      <c r="S2817" s="72">
        <f t="shared" si="1050"/>
        <v>1.0935294117647061</v>
      </c>
      <c r="T2817" s="72">
        <f t="shared" si="1051"/>
        <v>1.192673123954177</v>
      </c>
      <c r="U2817" s="72">
        <f t="shared" si="1052"/>
        <v>1.192673123954177</v>
      </c>
    </row>
    <row r="2818" spans="1:21" x14ac:dyDescent="0.25">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0.84499999999999997</v>
      </c>
      <c r="P2818" s="72">
        <f t="shared" si="1047"/>
        <v>0</v>
      </c>
      <c r="Q2818" s="72">
        <f t="shared" si="1048"/>
        <v>0</v>
      </c>
      <c r="R2818" s="72">
        <f t="shared" si="1049"/>
        <v>0.70833333333333337</v>
      </c>
      <c r="S2818" s="72">
        <f t="shared" si="1050"/>
        <v>1.0935294117647061</v>
      </c>
      <c r="T2818" s="72">
        <f t="shared" si="1051"/>
        <v>1.1931481529154333</v>
      </c>
      <c r="U2818" s="72">
        <f t="shared" si="1052"/>
        <v>1.1931481529154333</v>
      </c>
    </row>
    <row r="2819" spans="1:21" x14ac:dyDescent="0.25">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0.84499999999999997</v>
      </c>
      <c r="P2819" s="72">
        <f t="shared" si="1047"/>
        <v>0</v>
      </c>
      <c r="Q2819" s="72">
        <f t="shared" si="1048"/>
        <v>0</v>
      </c>
      <c r="R2819" s="72">
        <f t="shared" si="1049"/>
        <v>0.625</v>
      </c>
      <c r="S2819" s="72">
        <f t="shared" si="1050"/>
        <v>1.0935294117647061</v>
      </c>
      <c r="T2819" s="72">
        <f t="shared" si="1051"/>
        <v>1.1936231818766896</v>
      </c>
      <c r="U2819" s="72">
        <f t="shared" si="1052"/>
        <v>1.1936231818766896</v>
      </c>
    </row>
    <row r="2820" spans="1:21" x14ac:dyDescent="0.25">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0.84499999999999997</v>
      </c>
      <c r="P2820" s="72">
        <f t="shared" si="1047"/>
        <v>0</v>
      </c>
      <c r="Q2820" s="72">
        <f t="shared" si="1048"/>
        <v>0</v>
      </c>
      <c r="R2820" s="72">
        <f t="shared" si="1049"/>
        <v>0.54166666666666663</v>
      </c>
      <c r="S2820" s="72">
        <f t="shared" si="1050"/>
        <v>1.0935294117647061</v>
      </c>
      <c r="T2820" s="72">
        <f t="shared" si="1051"/>
        <v>1.1940982108379459</v>
      </c>
      <c r="U2820" s="72">
        <f t="shared" si="1052"/>
        <v>1.1940982108379459</v>
      </c>
    </row>
    <row r="2821" spans="1:21" x14ac:dyDescent="0.25">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0.84499999999999997</v>
      </c>
      <c r="P2821" s="72">
        <f t="shared" si="1047"/>
        <v>0</v>
      </c>
      <c r="Q2821" s="72">
        <f t="shared" si="1048"/>
        <v>0</v>
      </c>
      <c r="R2821" s="72">
        <f t="shared" si="1049"/>
        <v>0.45833333333333331</v>
      </c>
      <c r="S2821" s="72">
        <f t="shared" si="1050"/>
        <v>1.0935294117647061</v>
      </c>
      <c r="T2821" s="72">
        <f t="shared" si="1051"/>
        <v>1.1945732397992022</v>
      </c>
      <c r="U2821" s="72">
        <f t="shared" si="1052"/>
        <v>1.1945732397992022</v>
      </c>
    </row>
    <row r="2822" spans="1:21" x14ac:dyDescent="0.25">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0.84499999999999997</v>
      </c>
      <c r="P2822" s="72">
        <f t="shared" si="1047"/>
        <v>0</v>
      </c>
      <c r="Q2822" s="72">
        <f t="shared" si="1048"/>
        <v>0</v>
      </c>
      <c r="R2822" s="72">
        <f t="shared" si="1049"/>
        <v>0.375</v>
      </c>
      <c r="S2822" s="72">
        <f t="shared" si="1050"/>
        <v>1.0935294117647061</v>
      </c>
      <c r="T2822" s="72">
        <f t="shared" si="1051"/>
        <v>1.195056056120479</v>
      </c>
      <c r="U2822" s="72">
        <f t="shared" si="1052"/>
        <v>1.195056056120479</v>
      </c>
    </row>
    <row r="2823" spans="1:21" x14ac:dyDescent="0.25">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0.84499999999999997</v>
      </c>
      <c r="P2823" s="72">
        <f t="shared" si="1047"/>
        <v>0</v>
      </c>
      <c r="Q2823" s="72">
        <f t="shared" si="1048"/>
        <v>0</v>
      </c>
      <c r="R2823" s="72">
        <f t="shared" si="1049"/>
        <v>0.29166666666666669</v>
      </c>
      <c r="S2823" s="72">
        <f t="shared" si="1050"/>
        <v>1.0935294117647061</v>
      </c>
      <c r="T2823" s="72">
        <f t="shared" si="1051"/>
        <v>1.1955310850817351</v>
      </c>
      <c r="U2823" s="72">
        <f t="shared" si="1052"/>
        <v>1.1955310850817351</v>
      </c>
    </row>
    <row r="2824" spans="1:21" x14ac:dyDescent="0.25">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0.84499999999999997</v>
      </c>
      <c r="P2824" s="72">
        <f t="shared" si="1047"/>
        <v>0</v>
      </c>
      <c r="Q2824" s="72">
        <f t="shared" si="1048"/>
        <v>0</v>
      </c>
      <c r="R2824" s="72">
        <f t="shared" si="1049"/>
        <v>0.20833333333333334</v>
      </c>
      <c r="S2824" s="72">
        <f t="shared" si="1050"/>
        <v>1.0935294117647061</v>
      </c>
      <c r="T2824" s="72">
        <f t="shared" si="1051"/>
        <v>1.315606725447291</v>
      </c>
      <c r="U2824" s="72">
        <f t="shared" si="1052"/>
        <v>1.315606725447291</v>
      </c>
    </row>
    <row r="2825" spans="1:21" x14ac:dyDescent="0.25">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0.84499999999999997</v>
      </c>
      <c r="P2825" s="72">
        <f t="shared" si="1047"/>
        <v>0</v>
      </c>
      <c r="Q2825" s="72">
        <f t="shared" si="1048"/>
        <v>0</v>
      </c>
      <c r="R2825" s="72">
        <f t="shared" si="1049"/>
        <v>0.125</v>
      </c>
      <c r="S2825" s="72">
        <f t="shared" si="1050"/>
        <v>1.0935294117647061</v>
      </c>
      <c r="T2825" s="72">
        <f t="shared" si="1051"/>
        <v>1.3161292573046728</v>
      </c>
      <c r="U2825" s="72">
        <f t="shared" si="1052"/>
        <v>1.3161292573046728</v>
      </c>
    </row>
    <row r="2826" spans="1:21" x14ac:dyDescent="0.25">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0.84499999999999997</v>
      </c>
      <c r="P2826" s="72">
        <f t="shared" si="1047"/>
        <v>0</v>
      </c>
      <c r="Q2826" s="72">
        <f t="shared" si="1048"/>
        <v>0</v>
      </c>
      <c r="R2826" s="72">
        <f t="shared" si="1049"/>
        <v>4.1666666666666664E-2</v>
      </c>
      <c r="S2826" s="72">
        <f t="shared" si="1050"/>
        <v>1.0935294117647061</v>
      </c>
      <c r="T2826" s="72">
        <f t="shared" si="1051"/>
        <v>1.3166517891620546</v>
      </c>
      <c r="U2826" s="72">
        <f t="shared" si="1052"/>
        <v>1.3166517891620546</v>
      </c>
    </row>
    <row r="2827" spans="1:21" x14ac:dyDescent="0.25">
      <c r="A2827" s="77" t="s">
        <v>1209</v>
      </c>
      <c r="B2827" s="50">
        <f>EXP(SUMPRODUCT((rl_key=$A$2776)*(rl_cons="Y")*rl_ln1p))</f>
        <v>1</v>
      </c>
      <c r="C2827" s="50">
        <f>SUMPRODUCT($H$2779:$H$2826,$P$2779:$P$2826,$U$2779:$U$2826)/SUMPRODUCT($H$2779:$H$2826,$P$2779:$P$2826)</f>
        <v>0.98780067862301768</v>
      </c>
      <c r="D2827" s="50">
        <f>SUMPRODUCT($H$2779:$H$2826,$Q$2779:$Q$2826,$U$2779:$U$2826)/SUMPRODUCT($H$2779:$H$2826,$Q$2779:$Q$2826)</f>
        <v>1.0614039420381576</v>
      </c>
      <c r="E2827" s="50">
        <f>SUMPRODUCT($H$2779:$H$2826,$R$2779:$R$2826,$U$2779:$U$2826)/SUMPRODUCT($H$2779:$H$2826,$R$2779:$R$2826)</f>
        <v>1.1675443362419735</v>
      </c>
      <c r="F2827" s="169">
        <f>SUMPRODUCT($H$2779:$H$2826,$Q$2779:$Q$2826,$O$2779:$O$2826)/SUMPRODUCT($H$2779:$H$2826,$Q$2779:$Q$2826)</f>
        <v>0.84099790299051769</v>
      </c>
      <c r="G2827" s="169">
        <f>SUMPRODUCT($H$2779:$H$2826,$R$2779:$R$2826,$O$2779:$O$2826)/SUMPRODUCT($H$2779:$H$2826,$R$2779:$R$2826)</f>
        <v>0.84432817818502282</v>
      </c>
    </row>
    <row r="2830" spans="1:21" x14ac:dyDescent="0.25">
      <c r="A2830" s="77" t="str">
        <f>INDEX(lr_key,52)</f>
        <v>BU-C|KY</v>
      </c>
      <c r="B2830" s="77" t="str">
        <f>INDEX(lr_state,52)</f>
        <v>KY</v>
      </c>
      <c r="C2830" s="52">
        <f>nr_TermMonths</f>
        <v>12</v>
      </c>
      <c r="D2830" s="52">
        <f>IF(COUNTIF(se_state,$B2830)=0,0,MATCH($B2830,se_state,0))</f>
        <v>0</v>
      </c>
      <c r="E2830" s="54">
        <f>IF($D2830=0,0,INDEX(se_sum,$D2830))</f>
        <v>0</v>
      </c>
      <c r="F2830" s="169">
        <f>IF(N(INDEX(lr_mind,52))=0,1,INDEX(lr_mind,52))</f>
        <v>0.85</v>
      </c>
      <c r="G2830" s="169">
        <f>IF(N(INDEX(lr_m0,52))=0,1,INDEX(lr_m0,52))</f>
        <v>0.84</v>
      </c>
      <c r="H2830" s="51">
        <f>IF(N(INDEX(lr_m0asof,52))=0,DATE(nr_PlanYear-1,10,1),INDEX(lr_m0asof,52))</f>
        <v>46295</v>
      </c>
      <c r="I2830" s="169">
        <f>IF(N(INDEX(lr_m1,52))=0,1,INDEX(lr_m1,52))</f>
        <v>0.86</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25">
      <c r="A2831" s="77">
        <f>EDATE($H$2830,-12)+1</f>
        <v>45931</v>
      </c>
      <c r="B2831" s="77">
        <f>$H$2830+1</f>
        <v>46296</v>
      </c>
      <c r="C2831" s="77">
        <f>DATE(nr_PlanYear,12,31)+1</f>
        <v>46753</v>
      </c>
      <c r="D2831" s="77">
        <f>DATE(nr_PlanYear+1,12,31)+1</f>
        <v>47119</v>
      </c>
      <c r="E2831" s="77">
        <f>IF(N($J$2830)=0,$F$2831-($G$2831-$F$2831)/($C$2831-$B$2831)*($B$2831-$A$2831),$J$2830)</f>
        <v>0.8240262582056892</v>
      </c>
      <c r="F2831" s="77">
        <f>$G$2830</f>
        <v>0.84</v>
      </c>
      <c r="G2831" s="77">
        <f>$I$2830</f>
        <v>0.86</v>
      </c>
      <c r="H2831" s="77">
        <f>IF(N($K$2830)=0,$I$2830,$K$2830)</f>
        <v>0.86</v>
      </c>
      <c r="I2831" s="77">
        <f>($F$2831-$E$2831)/($B$2831-$A$2831)</f>
        <v>4.3763676148796628E-5</v>
      </c>
      <c r="J2831" s="77">
        <f>($G$2831-$F$2831)/($C$2831-$B$2831)</f>
        <v>4.376367614879654E-5</v>
      </c>
      <c r="K2831" s="77">
        <f>($H$2831-$G$2831)/($D$2831-$C$2831)</f>
        <v>0</v>
      </c>
    </row>
    <row r="2832" spans="1:21" ht="24" x14ac:dyDescent="0.25">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25">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0.81275711159737407</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0.95618483717338132</v>
      </c>
      <c r="T2833" s="72">
        <f t="shared" ref="T2833:T2880" si="1071">IF($G2833&lt;nr_MStartP,$S2833,$T2821*(1+IF($G2833&lt;nr_MStartP1,$M$2830,$N$2830)))</f>
        <v>0.95618483717338132</v>
      </c>
      <c r="U2833" s="72">
        <f t="shared" ref="U2833:U2880" si="1072">IF($L$2830,$T2833,$N2833)</f>
        <v>1</v>
      </c>
    </row>
    <row r="2834" spans="1:21" x14ac:dyDescent="0.25">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0.81404814004376358</v>
      </c>
      <c r="P2834" s="72">
        <f t="shared" si="1067"/>
        <v>0.125</v>
      </c>
      <c r="Q2834" s="72">
        <f t="shared" si="1068"/>
        <v>0</v>
      </c>
      <c r="R2834" s="72">
        <f t="shared" si="1069"/>
        <v>0</v>
      </c>
      <c r="S2834" s="72">
        <f t="shared" si="1070"/>
        <v>0.9577036941691337</v>
      </c>
      <c r="T2834" s="72">
        <f t="shared" si="1071"/>
        <v>0.9577036941691337</v>
      </c>
      <c r="U2834" s="72">
        <f t="shared" si="1072"/>
        <v>1</v>
      </c>
    </row>
    <row r="2835" spans="1:21" x14ac:dyDescent="0.25">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0.81533916849015309</v>
      </c>
      <c r="P2835" s="72">
        <f t="shared" si="1067"/>
        <v>0.20833333333333337</v>
      </c>
      <c r="Q2835" s="72">
        <f t="shared" si="1068"/>
        <v>0</v>
      </c>
      <c r="R2835" s="72">
        <f t="shared" si="1069"/>
        <v>0</v>
      </c>
      <c r="S2835" s="72">
        <f t="shared" si="1070"/>
        <v>0.95922255116488597</v>
      </c>
      <c r="T2835" s="72">
        <f t="shared" si="1071"/>
        <v>0.95922255116488597</v>
      </c>
      <c r="U2835" s="72">
        <f t="shared" si="1072"/>
        <v>1</v>
      </c>
    </row>
    <row r="2836" spans="1:21" x14ac:dyDescent="0.25">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0.81667396061269137</v>
      </c>
      <c r="P2836" s="72">
        <f t="shared" si="1067"/>
        <v>0.29166666666666663</v>
      </c>
      <c r="Q2836" s="72">
        <f t="shared" si="1068"/>
        <v>0</v>
      </c>
      <c r="R2836" s="72">
        <f t="shared" si="1069"/>
        <v>0</v>
      </c>
      <c r="S2836" s="72">
        <f t="shared" si="1070"/>
        <v>0.96079289483846042</v>
      </c>
      <c r="T2836" s="72">
        <f t="shared" si="1071"/>
        <v>0.96079289483846042</v>
      </c>
      <c r="U2836" s="72">
        <f t="shared" si="1072"/>
        <v>1</v>
      </c>
    </row>
    <row r="2837" spans="1:21" x14ac:dyDescent="0.25">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0.81800875273522966</v>
      </c>
      <c r="P2837" s="72">
        <f t="shared" si="1067"/>
        <v>0.375</v>
      </c>
      <c r="Q2837" s="72">
        <f t="shared" si="1068"/>
        <v>0</v>
      </c>
      <c r="R2837" s="72">
        <f t="shared" si="1069"/>
        <v>0</v>
      </c>
      <c r="S2837" s="72">
        <f t="shared" si="1070"/>
        <v>0.96236323851203487</v>
      </c>
      <c r="T2837" s="72">
        <f t="shared" si="1071"/>
        <v>0.96236323851203487</v>
      </c>
      <c r="U2837" s="72">
        <f t="shared" si="1072"/>
        <v>1</v>
      </c>
    </row>
    <row r="2838" spans="1:21" x14ac:dyDescent="0.25">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0.81934354485776795</v>
      </c>
      <c r="P2838" s="72">
        <f t="shared" si="1067"/>
        <v>0.45833333333333337</v>
      </c>
      <c r="Q2838" s="72">
        <f t="shared" si="1068"/>
        <v>0</v>
      </c>
      <c r="R2838" s="72">
        <f t="shared" si="1069"/>
        <v>0</v>
      </c>
      <c r="S2838" s="72">
        <f t="shared" si="1070"/>
        <v>0.96393358218560943</v>
      </c>
      <c r="T2838" s="72">
        <f t="shared" si="1071"/>
        <v>0.96393358218560943</v>
      </c>
      <c r="U2838" s="72">
        <f t="shared" si="1072"/>
        <v>1</v>
      </c>
    </row>
    <row r="2839" spans="1:21" x14ac:dyDescent="0.25">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0.82067833698030623</v>
      </c>
      <c r="P2839" s="72">
        <f t="shared" si="1067"/>
        <v>0.54166666666666674</v>
      </c>
      <c r="Q2839" s="72">
        <f t="shared" si="1068"/>
        <v>0</v>
      </c>
      <c r="R2839" s="72">
        <f t="shared" si="1069"/>
        <v>0</v>
      </c>
      <c r="S2839" s="72">
        <f t="shared" si="1070"/>
        <v>0.96550392585918388</v>
      </c>
      <c r="T2839" s="72">
        <f t="shared" si="1071"/>
        <v>0.96550392585918388</v>
      </c>
      <c r="U2839" s="72">
        <f t="shared" si="1072"/>
        <v>1</v>
      </c>
    </row>
    <row r="2840" spans="1:21" x14ac:dyDescent="0.25">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0.82203501094091891</v>
      </c>
      <c r="P2840" s="72">
        <f t="shared" si="1067"/>
        <v>0.625</v>
      </c>
      <c r="Q2840" s="72">
        <f t="shared" si="1068"/>
        <v>0</v>
      </c>
      <c r="R2840" s="72">
        <f t="shared" si="1069"/>
        <v>0</v>
      </c>
      <c r="S2840" s="72">
        <f t="shared" si="1070"/>
        <v>0.96710001287166936</v>
      </c>
      <c r="T2840" s="72">
        <f t="shared" si="1071"/>
        <v>0.96710001287166936</v>
      </c>
      <c r="U2840" s="72">
        <f t="shared" si="1072"/>
        <v>1</v>
      </c>
    </row>
    <row r="2841" spans="1:21" x14ac:dyDescent="0.25">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0.8233698030634572</v>
      </c>
      <c r="P2841" s="72">
        <f t="shared" si="1067"/>
        <v>0.70833333333333326</v>
      </c>
      <c r="Q2841" s="72">
        <f t="shared" si="1068"/>
        <v>0</v>
      </c>
      <c r="R2841" s="72">
        <f t="shared" si="1069"/>
        <v>0</v>
      </c>
      <c r="S2841" s="72">
        <f t="shared" si="1070"/>
        <v>0.9686703565452438</v>
      </c>
      <c r="T2841" s="72">
        <f t="shared" si="1071"/>
        <v>0.9686703565452438</v>
      </c>
      <c r="U2841" s="72">
        <f t="shared" si="1072"/>
        <v>1</v>
      </c>
    </row>
    <row r="2842" spans="1:21" x14ac:dyDescent="0.25">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0.82470459518599559</v>
      </c>
      <c r="P2842" s="72">
        <f t="shared" si="1067"/>
        <v>0.79166666666666663</v>
      </c>
      <c r="Q2842" s="72">
        <f t="shared" si="1068"/>
        <v>0</v>
      </c>
      <c r="R2842" s="72">
        <f t="shared" si="1069"/>
        <v>0</v>
      </c>
      <c r="S2842" s="72">
        <f t="shared" si="1070"/>
        <v>0.97024070021881836</v>
      </c>
      <c r="T2842" s="72">
        <f t="shared" si="1071"/>
        <v>0.97024070021881836</v>
      </c>
      <c r="U2842" s="72">
        <f t="shared" si="1072"/>
        <v>1</v>
      </c>
    </row>
    <row r="2843" spans="1:21" x14ac:dyDescent="0.25">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0.82603938730853388</v>
      </c>
      <c r="P2843" s="72">
        <f t="shared" si="1067"/>
        <v>0.875</v>
      </c>
      <c r="Q2843" s="72">
        <f t="shared" si="1068"/>
        <v>0</v>
      </c>
      <c r="R2843" s="72">
        <f t="shared" si="1069"/>
        <v>0</v>
      </c>
      <c r="S2843" s="72">
        <f t="shared" si="1070"/>
        <v>0.97181104389239281</v>
      </c>
      <c r="T2843" s="72">
        <f t="shared" si="1071"/>
        <v>0.97181104389239281</v>
      </c>
      <c r="U2843" s="72">
        <f t="shared" si="1072"/>
        <v>1</v>
      </c>
    </row>
    <row r="2844" spans="1:21" x14ac:dyDescent="0.25">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0.82737417943107217</v>
      </c>
      <c r="P2844" s="72">
        <f t="shared" si="1067"/>
        <v>0.95833333333333337</v>
      </c>
      <c r="Q2844" s="72">
        <f t="shared" si="1068"/>
        <v>0</v>
      </c>
      <c r="R2844" s="72">
        <f t="shared" si="1069"/>
        <v>0</v>
      </c>
      <c r="S2844" s="72">
        <f t="shared" si="1070"/>
        <v>0.97338138756596726</v>
      </c>
      <c r="T2844" s="72">
        <f t="shared" si="1071"/>
        <v>0.97338138756596726</v>
      </c>
      <c r="U2844" s="72">
        <f t="shared" si="1072"/>
        <v>1</v>
      </c>
    </row>
    <row r="2845" spans="1:21" x14ac:dyDescent="0.25">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0.82873085339168484</v>
      </c>
      <c r="P2845" s="72">
        <f t="shared" si="1067"/>
        <v>0.95833333333333337</v>
      </c>
      <c r="Q2845" s="72">
        <f t="shared" si="1068"/>
        <v>4.166666666666663E-2</v>
      </c>
      <c r="R2845" s="72">
        <f t="shared" si="1069"/>
        <v>0</v>
      </c>
      <c r="S2845" s="72">
        <f t="shared" si="1070"/>
        <v>0.97497747457845274</v>
      </c>
      <c r="T2845" s="72">
        <f t="shared" si="1071"/>
        <v>0.97497747457845274</v>
      </c>
      <c r="U2845" s="72">
        <f t="shared" si="1072"/>
        <v>1</v>
      </c>
    </row>
    <row r="2846" spans="1:21" x14ac:dyDescent="0.25">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0.83002188183807435</v>
      </c>
      <c r="P2846" s="72">
        <f t="shared" si="1067"/>
        <v>0.875</v>
      </c>
      <c r="Q2846" s="72">
        <f t="shared" si="1068"/>
        <v>0.125</v>
      </c>
      <c r="R2846" s="72">
        <f t="shared" si="1069"/>
        <v>0</v>
      </c>
      <c r="S2846" s="72">
        <f t="shared" si="1070"/>
        <v>0.97649633157420512</v>
      </c>
      <c r="T2846" s="72">
        <f t="shared" si="1071"/>
        <v>0.97649633157420512</v>
      </c>
      <c r="U2846" s="72">
        <f t="shared" si="1072"/>
        <v>1</v>
      </c>
    </row>
    <row r="2847" spans="1:21" x14ac:dyDescent="0.25">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0.83131291028446386</v>
      </c>
      <c r="P2847" s="72">
        <f t="shared" si="1067"/>
        <v>0.79166666666666663</v>
      </c>
      <c r="Q2847" s="72">
        <f t="shared" si="1068"/>
        <v>0.20833333333333337</v>
      </c>
      <c r="R2847" s="72">
        <f t="shared" si="1069"/>
        <v>0</v>
      </c>
      <c r="S2847" s="72">
        <f t="shared" si="1070"/>
        <v>0.97801518856995751</v>
      </c>
      <c r="T2847" s="72">
        <f t="shared" si="1071"/>
        <v>0.97801518856995751</v>
      </c>
      <c r="U2847" s="72">
        <f t="shared" si="1072"/>
        <v>1</v>
      </c>
    </row>
    <row r="2848" spans="1:21" x14ac:dyDescent="0.25">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0.83264770240700214</v>
      </c>
      <c r="P2848" s="72">
        <f t="shared" si="1067"/>
        <v>0.70833333333333337</v>
      </c>
      <c r="Q2848" s="72">
        <f t="shared" si="1068"/>
        <v>0.29166666666666663</v>
      </c>
      <c r="R2848" s="72">
        <f t="shared" si="1069"/>
        <v>0</v>
      </c>
      <c r="S2848" s="72">
        <f t="shared" si="1070"/>
        <v>1.008973098210838</v>
      </c>
      <c r="T2848" s="72">
        <f t="shared" si="1071"/>
        <v>1.008973098210838</v>
      </c>
      <c r="U2848" s="72">
        <f t="shared" si="1072"/>
        <v>1.03</v>
      </c>
    </row>
    <row r="2849" spans="1:21" x14ac:dyDescent="0.25">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0.83398249452954043</v>
      </c>
      <c r="P2849" s="72">
        <f t="shared" si="1067"/>
        <v>0.625</v>
      </c>
      <c r="Q2849" s="72">
        <f t="shared" si="1068"/>
        <v>0.375</v>
      </c>
      <c r="R2849" s="72">
        <f t="shared" si="1069"/>
        <v>0</v>
      </c>
      <c r="S2849" s="72">
        <f t="shared" si="1070"/>
        <v>1.0105905521946197</v>
      </c>
      <c r="T2849" s="72">
        <f t="shared" si="1071"/>
        <v>1.0105905521946197</v>
      </c>
      <c r="U2849" s="72">
        <f t="shared" si="1072"/>
        <v>1.03</v>
      </c>
    </row>
    <row r="2850" spans="1:21" x14ac:dyDescent="0.25">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0.83531728665207872</v>
      </c>
      <c r="P2850" s="72">
        <f t="shared" si="1067"/>
        <v>0.54166666666666663</v>
      </c>
      <c r="Q2850" s="72">
        <f t="shared" si="1068"/>
        <v>0.45833333333333337</v>
      </c>
      <c r="R2850" s="72">
        <f t="shared" si="1069"/>
        <v>0</v>
      </c>
      <c r="S2850" s="72">
        <f t="shared" si="1070"/>
        <v>1.0122080061784013</v>
      </c>
      <c r="T2850" s="72">
        <f t="shared" si="1071"/>
        <v>1.0122080061784013</v>
      </c>
      <c r="U2850" s="72">
        <f t="shared" si="1072"/>
        <v>1.03</v>
      </c>
    </row>
    <row r="2851" spans="1:21" x14ac:dyDescent="0.25">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0.836652078774617</v>
      </c>
      <c r="P2851" s="72">
        <f t="shared" si="1067"/>
        <v>0.45833333333333331</v>
      </c>
      <c r="Q2851" s="72">
        <f t="shared" si="1068"/>
        <v>0.54166666666666674</v>
      </c>
      <c r="R2851" s="72">
        <f t="shared" si="1069"/>
        <v>0</v>
      </c>
      <c r="S2851" s="72">
        <f t="shared" si="1070"/>
        <v>1.013825460162183</v>
      </c>
      <c r="T2851" s="72">
        <f t="shared" si="1071"/>
        <v>1.013825460162183</v>
      </c>
      <c r="U2851" s="72">
        <f t="shared" si="1072"/>
        <v>1.03</v>
      </c>
    </row>
    <row r="2852" spans="1:21" x14ac:dyDescent="0.25">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0.83800875273522968</v>
      </c>
      <c r="P2852" s="72">
        <f t="shared" si="1067"/>
        <v>0.375</v>
      </c>
      <c r="Q2852" s="72">
        <f t="shared" si="1068"/>
        <v>0.625</v>
      </c>
      <c r="R2852" s="72">
        <f t="shared" si="1069"/>
        <v>0</v>
      </c>
      <c r="S2852" s="72">
        <f t="shared" si="1070"/>
        <v>1.0154694297850431</v>
      </c>
      <c r="T2852" s="72">
        <f t="shared" si="1071"/>
        <v>1.0154694297850431</v>
      </c>
      <c r="U2852" s="72">
        <f t="shared" si="1072"/>
        <v>1.03</v>
      </c>
    </row>
    <row r="2853" spans="1:21" x14ac:dyDescent="0.25">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0.83934354485776796</v>
      </c>
      <c r="P2853" s="72">
        <f t="shared" si="1067"/>
        <v>0.29166666666666669</v>
      </c>
      <c r="Q2853" s="72">
        <f t="shared" si="1068"/>
        <v>0.70833333333333326</v>
      </c>
      <c r="R2853" s="72">
        <f t="shared" si="1069"/>
        <v>0</v>
      </c>
      <c r="S2853" s="72">
        <f t="shared" si="1070"/>
        <v>1.0170868837688247</v>
      </c>
      <c r="T2853" s="72">
        <f t="shared" si="1071"/>
        <v>1.0170868837688247</v>
      </c>
      <c r="U2853" s="72">
        <f t="shared" si="1072"/>
        <v>1.03</v>
      </c>
    </row>
    <row r="2854" spans="1:21" x14ac:dyDescent="0.25">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0.84067833698030636</v>
      </c>
      <c r="P2854" s="72">
        <f t="shared" si="1067"/>
        <v>0.20833333333333334</v>
      </c>
      <c r="Q2854" s="72">
        <f t="shared" si="1068"/>
        <v>0.79166666666666663</v>
      </c>
      <c r="R2854" s="72">
        <f t="shared" si="1069"/>
        <v>0</v>
      </c>
      <c r="S2854" s="72">
        <f t="shared" si="1070"/>
        <v>1.0187043377526066</v>
      </c>
      <c r="T2854" s="72">
        <f t="shared" si="1071"/>
        <v>1.0187043377526066</v>
      </c>
      <c r="U2854" s="72">
        <f t="shared" si="1072"/>
        <v>1.03</v>
      </c>
    </row>
    <row r="2855" spans="1:21" x14ac:dyDescent="0.25">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0.84201312910284465</v>
      </c>
      <c r="P2855" s="72">
        <f t="shared" si="1067"/>
        <v>0.125</v>
      </c>
      <c r="Q2855" s="72">
        <f t="shared" si="1068"/>
        <v>0.875</v>
      </c>
      <c r="R2855" s="72">
        <f t="shared" si="1069"/>
        <v>0</v>
      </c>
      <c r="S2855" s="72">
        <f t="shared" si="1070"/>
        <v>1.0203217917363883</v>
      </c>
      <c r="T2855" s="72">
        <f t="shared" si="1071"/>
        <v>1.0203217917363883</v>
      </c>
      <c r="U2855" s="72">
        <f t="shared" si="1072"/>
        <v>1.03</v>
      </c>
    </row>
    <row r="2856" spans="1:21" x14ac:dyDescent="0.25">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0.84334792122538293</v>
      </c>
      <c r="P2856" s="72">
        <f t="shared" si="1067"/>
        <v>4.1666666666666664E-2</v>
      </c>
      <c r="Q2856" s="72">
        <f t="shared" si="1068"/>
        <v>0.95833333333333337</v>
      </c>
      <c r="R2856" s="72">
        <f t="shared" si="1069"/>
        <v>0</v>
      </c>
      <c r="S2856" s="72">
        <f t="shared" si="1070"/>
        <v>1.0219392457201699</v>
      </c>
      <c r="T2856" s="72">
        <f t="shared" si="1071"/>
        <v>1.0219392457201699</v>
      </c>
      <c r="U2856" s="72">
        <f t="shared" si="1072"/>
        <v>1.03</v>
      </c>
    </row>
    <row r="2857" spans="1:21" x14ac:dyDescent="0.25">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0.84470459518599561</v>
      </c>
      <c r="P2857" s="72">
        <f t="shared" si="1067"/>
        <v>0</v>
      </c>
      <c r="Q2857" s="72">
        <f t="shared" si="1068"/>
        <v>0.95833333333333337</v>
      </c>
      <c r="R2857" s="72">
        <f t="shared" si="1069"/>
        <v>4.166666666666663E-2</v>
      </c>
      <c r="S2857" s="72">
        <f t="shared" si="1070"/>
        <v>1.02358321534303</v>
      </c>
      <c r="T2857" s="72">
        <f t="shared" si="1071"/>
        <v>0.97497747457845274</v>
      </c>
      <c r="U2857" s="72">
        <f t="shared" si="1072"/>
        <v>1.03</v>
      </c>
    </row>
    <row r="2858" spans="1:21" x14ac:dyDescent="0.25">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0.84599562363238512</v>
      </c>
      <c r="P2858" s="72">
        <f t="shared" si="1067"/>
        <v>0</v>
      </c>
      <c r="Q2858" s="72">
        <f t="shared" si="1068"/>
        <v>0.875</v>
      </c>
      <c r="R2858" s="72">
        <f t="shared" si="1069"/>
        <v>0.125</v>
      </c>
      <c r="S2858" s="72">
        <f t="shared" si="1070"/>
        <v>1.0251476380486551</v>
      </c>
      <c r="T2858" s="72">
        <f t="shared" si="1071"/>
        <v>0.97649633157420512</v>
      </c>
      <c r="U2858" s="72">
        <f t="shared" si="1072"/>
        <v>1.03</v>
      </c>
    </row>
    <row r="2859" spans="1:21" x14ac:dyDescent="0.25">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0.84728665207877463</v>
      </c>
      <c r="P2859" s="72">
        <f t="shared" si="1067"/>
        <v>0</v>
      </c>
      <c r="Q2859" s="72">
        <f t="shared" si="1068"/>
        <v>0.79166666666666663</v>
      </c>
      <c r="R2859" s="72">
        <f t="shared" si="1069"/>
        <v>0.20833333333333337</v>
      </c>
      <c r="S2859" s="72">
        <f t="shared" si="1070"/>
        <v>1.0267120607542799</v>
      </c>
      <c r="T2859" s="72">
        <f t="shared" si="1071"/>
        <v>0.97801518856995751</v>
      </c>
      <c r="U2859" s="72">
        <f t="shared" si="1072"/>
        <v>1.03</v>
      </c>
    </row>
    <row r="2860" spans="1:21" x14ac:dyDescent="0.25">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0.84862144420131291</v>
      </c>
      <c r="P2860" s="72">
        <f t="shared" si="1067"/>
        <v>0</v>
      </c>
      <c r="Q2860" s="72">
        <f t="shared" si="1068"/>
        <v>0.70833333333333337</v>
      </c>
      <c r="R2860" s="72">
        <f t="shared" si="1069"/>
        <v>0.29166666666666663</v>
      </c>
      <c r="S2860" s="72">
        <f t="shared" si="1070"/>
        <v>1.0283295147380616</v>
      </c>
      <c r="T2860" s="72">
        <f t="shared" si="1071"/>
        <v>1.008973098210838</v>
      </c>
      <c r="U2860" s="72">
        <f t="shared" si="1072"/>
        <v>1.03</v>
      </c>
    </row>
    <row r="2861" spans="1:21" x14ac:dyDescent="0.25">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0.8499562363238512</v>
      </c>
      <c r="P2861" s="72">
        <f t="shared" si="1067"/>
        <v>0</v>
      </c>
      <c r="Q2861" s="72">
        <f t="shared" si="1068"/>
        <v>0.625</v>
      </c>
      <c r="R2861" s="72">
        <f t="shared" si="1069"/>
        <v>0.375</v>
      </c>
      <c r="S2861" s="72">
        <f t="shared" si="1070"/>
        <v>1.0299469687218432</v>
      </c>
      <c r="T2861" s="72">
        <f t="shared" si="1071"/>
        <v>1.0105905521946197</v>
      </c>
      <c r="U2861" s="72">
        <f t="shared" si="1072"/>
        <v>1.03</v>
      </c>
    </row>
    <row r="2862" spans="1:21" x14ac:dyDescent="0.25">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0.85129102844638949</v>
      </c>
      <c r="P2862" s="72">
        <f t="shared" si="1067"/>
        <v>0</v>
      </c>
      <c r="Q2862" s="72">
        <f t="shared" si="1068"/>
        <v>0.54166666666666663</v>
      </c>
      <c r="R2862" s="72">
        <f t="shared" si="1069"/>
        <v>0.45833333333333337</v>
      </c>
      <c r="S2862" s="72">
        <f t="shared" si="1070"/>
        <v>1.0315644227056249</v>
      </c>
      <c r="T2862" s="72">
        <f t="shared" si="1071"/>
        <v>1.0122080061784013</v>
      </c>
      <c r="U2862" s="72">
        <f t="shared" si="1072"/>
        <v>1.03</v>
      </c>
    </row>
    <row r="2863" spans="1:21" x14ac:dyDescent="0.25">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0.85262582056892777</v>
      </c>
      <c r="P2863" s="72">
        <f t="shared" si="1067"/>
        <v>0</v>
      </c>
      <c r="Q2863" s="72">
        <f t="shared" si="1068"/>
        <v>0.45833333333333331</v>
      </c>
      <c r="R2863" s="72">
        <f t="shared" si="1069"/>
        <v>0.54166666666666674</v>
      </c>
      <c r="S2863" s="72">
        <f t="shared" si="1070"/>
        <v>1.0331818766894068</v>
      </c>
      <c r="T2863" s="72">
        <f t="shared" si="1071"/>
        <v>1.013825460162183</v>
      </c>
      <c r="U2863" s="72">
        <f t="shared" si="1072"/>
        <v>1.03</v>
      </c>
    </row>
    <row r="2864" spans="1:21" x14ac:dyDescent="0.25">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0.85398249452954045</v>
      </c>
      <c r="P2864" s="72">
        <f t="shared" si="1067"/>
        <v>0</v>
      </c>
      <c r="Q2864" s="72">
        <f t="shared" si="1068"/>
        <v>0.375</v>
      </c>
      <c r="R2864" s="72">
        <f t="shared" si="1069"/>
        <v>0.625</v>
      </c>
      <c r="S2864" s="72">
        <f t="shared" si="1070"/>
        <v>1.0348258463122668</v>
      </c>
      <c r="T2864" s="72">
        <f t="shared" si="1071"/>
        <v>1.0154694297850431</v>
      </c>
      <c r="U2864" s="72">
        <f t="shared" si="1072"/>
        <v>1.03</v>
      </c>
    </row>
    <row r="2865" spans="1:21" x14ac:dyDescent="0.25">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0.85531728665207873</v>
      </c>
      <c r="P2865" s="72">
        <f t="shared" si="1067"/>
        <v>0</v>
      </c>
      <c r="Q2865" s="72">
        <f t="shared" si="1068"/>
        <v>0.29166666666666669</v>
      </c>
      <c r="R2865" s="72">
        <f t="shared" si="1069"/>
        <v>0.70833333333333326</v>
      </c>
      <c r="S2865" s="72">
        <f t="shared" si="1070"/>
        <v>1.0364433002960485</v>
      </c>
      <c r="T2865" s="72">
        <f t="shared" si="1071"/>
        <v>1.0170868837688247</v>
      </c>
      <c r="U2865" s="72">
        <f t="shared" si="1072"/>
        <v>1.03</v>
      </c>
    </row>
    <row r="2866" spans="1:21" x14ac:dyDescent="0.25">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0.85665207877461702</v>
      </c>
      <c r="P2866" s="72">
        <f t="shared" si="1067"/>
        <v>0</v>
      </c>
      <c r="Q2866" s="72">
        <f t="shared" si="1068"/>
        <v>0.20833333333333334</v>
      </c>
      <c r="R2866" s="72">
        <f t="shared" si="1069"/>
        <v>0.79166666666666663</v>
      </c>
      <c r="S2866" s="72">
        <f t="shared" si="1070"/>
        <v>1.0380607542798301</v>
      </c>
      <c r="T2866" s="72">
        <f t="shared" si="1071"/>
        <v>1.0187043377526066</v>
      </c>
      <c r="U2866" s="72">
        <f t="shared" si="1072"/>
        <v>1.03</v>
      </c>
    </row>
    <row r="2867" spans="1:21" x14ac:dyDescent="0.25">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0.85798687089715531</v>
      </c>
      <c r="P2867" s="72">
        <f t="shared" si="1067"/>
        <v>0</v>
      </c>
      <c r="Q2867" s="72">
        <f t="shared" si="1068"/>
        <v>0.125</v>
      </c>
      <c r="R2867" s="72">
        <f t="shared" si="1069"/>
        <v>0.875</v>
      </c>
      <c r="S2867" s="72">
        <f t="shared" si="1070"/>
        <v>1.0396782082636118</v>
      </c>
      <c r="T2867" s="72">
        <f t="shared" si="1071"/>
        <v>1.0203217917363883</v>
      </c>
      <c r="U2867" s="72">
        <f t="shared" si="1072"/>
        <v>1.03</v>
      </c>
    </row>
    <row r="2868" spans="1:21" x14ac:dyDescent="0.25">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0.85932166301969359</v>
      </c>
      <c r="P2868" s="72">
        <f t="shared" si="1067"/>
        <v>0</v>
      </c>
      <c r="Q2868" s="72">
        <f t="shared" si="1068"/>
        <v>4.1666666666666664E-2</v>
      </c>
      <c r="R2868" s="72">
        <f t="shared" si="1069"/>
        <v>0.95833333333333337</v>
      </c>
      <c r="S2868" s="72">
        <f t="shared" si="1070"/>
        <v>1.0412956622473934</v>
      </c>
      <c r="T2868" s="72">
        <f t="shared" si="1071"/>
        <v>1.0219392457201699</v>
      </c>
      <c r="U2868" s="72">
        <f t="shared" si="1072"/>
        <v>1.03</v>
      </c>
    </row>
    <row r="2869" spans="1:21" x14ac:dyDescent="0.25">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0.86</v>
      </c>
      <c r="P2869" s="72">
        <f t="shared" si="1067"/>
        <v>0</v>
      </c>
      <c r="Q2869" s="72">
        <f t="shared" si="1068"/>
        <v>0</v>
      </c>
      <c r="R2869" s="72">
        <f t="shared" si="1069"/>
        <v>0.95833333333333337</v>
      </c>
      <c r="S2869" s="72">
        <f t="shared" si="1070"/>
        <v>1.0421176470588236</v>
      </c>
      <c r="T2869" s="72">
        <f t="shared" si="1071"/>
        <v>0.97497747457845274</v>
      </c>
      <c r="U2869" s="72">
        <f t="shared" si="1072"/>
        <v>1.03</v>
      </c>
    </row>
    <row r="2870" spans="1:21" x14ac:dyDescent="0.25">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0.86</v>
      </c>
      <c r="P2870" s="72">
        <f t="shared" si="1067"/>
        <v>0</v>
      </c>
      <c r="Q2870" s="72">
        <f t="shared" si="1068"/>
        <v>0</v>
      </c>
      <c r="R2870" s="72">
        <f t="shared" si="1069"/>
        <v>0.875</v>
      </c>
      <c r="S2870" s="72">
        <f t="shared" si="1070"/>
        <v>1.0421176470588236</v>
      </c>
      <c r="T2870" s="72">
        <f t="shared" si="1071"/>
        <v>0.97649633157420512</v>
      </c>
      <c r="U2870" s="72">
        <f t="shared" si="1072"/>
        <v>1.03</v>
      </c>
    </row>
    <row r="2871" spans="1:21" x14ac:dyDescent="0.25">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0.86</v>
      </c>
      <c r="P2871" s="72">
        <f t="shared" si="1067"/>
        <v>0</v>
      </c>
      <c r="Q2871" s="72">
        <f t="shared" si="1068"/>
        <v>0</v>
      </c>
      <c r="R2871" s="72">
        <f t="shared" si="1069"/>
        <v>0.79166666666666663</v>
      </c>
      <c r="S2871" s="72">
        <f t="shared" si="1070"/>
        <v>1.0421176470588236</v>
      </c>
      <c r="T2871" s="72">
        <f t="shared" si="1071"/>
        <v>0.97801518856995751</v>
      </c>
      <c r="U2871" s="72">
        <f t="shared" si="1072"/>
        <v>1.03</v>
      </c>
    </row>
    <row r="2872" spans="1:21" x14ac:dyDescent="0.25">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0.86</v>
      </c>
      <c r="P2872" s="72">
        <f t="shared" si="1067"/>
        <v>0</v>
      </c>
      <c r="Q2872" s="72">
        <f t="shared" si="1068"/>
        <v>0</v>
      </c>
      <c r="R2872" s="72">
        <f t="shared" si="1069"/>
        <v>0.70833333333333337</v>
      </c>
      <c r="S2872" s="72">
        <f t="shared" si="1070"/>
        <v>1.0421176470588236</v>
      </c>
      <c r="T2872" s="72">
        <f t="shared" si="1071"/>
        <v>1.008973098210838</v>
      </c>
      <c r="U2872" s="72">
        <f t="shared" si="1072"/>
        <v>1.03</v>
      </c>
    </row>
    <row r="2873" spans="1:21" x14ac:dyDescent="0.25">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0.86</v>
      </c>
      <c r="P2873" s="72">
        <f t="shared" si="1067"/>
        <v>0</v>
      </c>
      <c r="Q2873" s="72">
        <f t="shared" si="1068"/>
        <v>0</v>
      </c>
      <c r="R2873" s="72">
        <f t="shared" si="1069"/>
        <v>0.625</v>
      </c>
      <c r="S2873" s="72">
        <f t="shared" si="1070"/>
        <v>1.0421176470588236</v>
      </c>
      <c r="T2873" s="72">
        <f t="shared" si="1071"/>
        <v>1.0105905521946197</v>
      </c>
      <c r="U2873" s="72">
        <f t="shared" si="1072"/>
        <v>1.03</v>
      </c>
    </row>
    <row r="2874" spans="1:21" x14ac:dyDescent="0.25">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0.86</v>
      </c>
      <c r="P2874" s="72">
        <f t="shared" si="1067"/>
        <v>0</v>
      </c>
      <c r="Q2874" s="72">
        <f t="shared" si="1068"/>
        <v>0</v>
      </c>
      <c r="R2874" s="72">
        <f t="shared" si="1069"/>
        <v>0.54166666666666663</v>
      </c>
      <c r="S2874" s="72">
        <f t="shared" si="1070"/>
        <v>1.0421176470588236</v>
      </c>
      <c r="T2874" s="72">
        <f t="shared" si="1071"/>
        <v>1.0122080061784013</v>
      </c>
      <c r="U2874" s="72">
        <f t="shared" si="1072"/>
        <v>1.03</v>
      </c>
    </row>
    <row r="2875" spans="1:21" x14ac:dyDescent="0.25">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0.86</v>
      </c>
      <c r="P2875" s="72">
        <f t="shared" si="1067"/>
        <v>0</v>
      </c>
      <c r="Q2875" s="72">
        <f t="shared" si="1068"/>
        <v>0</v>
      </c>
      <c r="R2875" s="72">
        <f t="shared" si="1069"/>
        <v>0.45833333333333331</v>
      </c>
      <c r="S2875" s="72">
        <f t="shared" si="1070"/>
        <v>1.0421176470588236</v>
      </c>
      <c r="T2875" s="72">
        <f t="shared" si="1071"/>
        <v>1.013825460162183</v>
      </c>
      <c r="U2875" s="72">
        <f t="shared" si="1072"/>
        <v>1.03</v>
      </c>
    </row>
    <row r="2876" spans="1:21" x14ac:dyDescent="0.25">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0.86</v>
      </c>
      <c r="P2876" s="72">
        <f t="shared" si="1067"/>
        <v>0</v>
      </c>
      <c r="Q2876" s="72">
        <f t="shared" si="1068"/>
        <v>0</v>
      </c>
      <c r="R2876" s="72">
        <f t="shared" si="1069"/>
        <v>0.375</v>
      </c>
      <c r="S2876" s="72">
        <f t="shared" si="1070"/>
        <v>1.0421176470588236</v>
      </c>
      <c r="T2876" s="72">
        <f t="shared" si="1071"/>
        <v>1.0154694297850431</v>
      </c>
      <c r="U2876" s="72">
        <f t="shared" si="1072"/>
        <v>1.03</v>
      </c>
    </row>
    <row r="2877" spans="1:21" x14ac:dyDescent="0.25">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0.86</v>
      </c>
      <c r="P2877" s="72">
        <f t="shared" si="1067"/>
        <v>0</v>
      </c>
      <c r="Q2877" s="72">
        <f t="shared" si="1068"/>
        <v>0</v>
      </c>
      <c r="R2877" s="72">
        <f t="shared" si="1069"/>
        <v>0.29166666666666669</v>
      </c>
      <c r="S2877" s="72">
        <f t="shared" si="1070"/>
        <v>1.0421176470588236</v>
      </c>
      <c r="T2877" s="72">
        <f t="shared" si="1071"/>
        <v>1.0170868837688247</v>
      </c>
      <c r="U2877" s="72">
        <f t="shared" si="1072"/>
        <v>1.03</v>
      </c>
    </row>
    <row r="2878" spans="1:21" x14ac:dyDescent="0.25">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0.86</v>
      </c>
      <c r="P2878" s="72">
        <f t="shared" si="1067"/>
        <v>0</v>
      </c>
      <c r="Q2878" s="72">
        <f t="shared" si="1068"/>
        <v>0</v>
      </c>
      <c r="R2878" s="72">
        <f t="shared" si="1069"/>
        <v>0.20833333333333334</v>
      </c>
      <c r="S2878" s="72">
        <f t="shared" si="1070"/>
        <v>1.0421176470588236</v>
      </c>
      <c r="T2878" s="72">
        <f t="shared" si="1071"/>
        <v>1.0187043377526066</v>
      </c>
      <c r="U2878" s="72">
        <f t="shared" si="1072"/>
        <v>1.03</v>
      </c>
    </row>
    <row r="2879" spans="1:21" x14ac:dyDescent="0.25">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0.86</v>
      </c>
      <c r="P2879" s="72">
        <f t="shared" si="1067"/>
        <v>0</v>
      </c>
      <c r="Q2879" s="72">
        <f t="shared" si="1068"/>
        <v>0</v>
      </c>
      <c r="R2879" s="72">
        <f t="shared" si="1069"/>
        <v>0.125</v>
      </c>
      <c r="S2879" s="72">
        <f t="shared" si="1070"/>
        <v>1.0421176470588236</v>
      </c>
      <c r="T2879" s="72">
        <f t="shared" si="1071"/>
        <v>1.0203217917363883</v>
      </c>
      <c r="U2879" s="72">
        <f t="shared" si="1072"/>
        <v>1.03</v>
      </c>
    </row>
    <row r="2880" spans="1:21" x14ac:dyDescent="0.25">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0.86</v>
      </c>
      <c r="P2880" s="72">
        <f t="shared" si="1067"/>
        <v>0</v>
      </c>
      <c r="Q2880" s="72">
        <f t="shared" si="1068"/>
        <v>0</v>
      </c>
      <c r="R2880" s="72">
        <f t="shared" si="1069"/>
        <v>4.1666666666666664E-2</v>
      </c>
      <c r="S2880" s="72">
        <f t="shared" si="1070"/>
        <v>1.0421176470588236</v>
      </c>
      <c r="T2880" s="72">
        <f t="shared" si="1071"/>
        <v>1.0219392457201699</v>
      </c>
      <c r="U2880" s="72">
        <f t="shared" si="1072"/>
        <v>1.03</v>
      </c>
    </row>
    <row r="2881" spans="1:21" x14ac:dyDescent="0.25">
      <c r="A2881" s="77" t="s">
        <v>1209</v>
      </c>
      <c r="B2881" s="50">
        <f>EXP(SUMPRODUCT((rl_key=$A$2830)*(rl_cons="Y")*rl_ln1p))</f>
        <v>1.03</v>
      </c>
      <c r="C2881" s="50">
        <f>SUMPRODUCT($H$2833:$H$2880,$P$2833:$P$2880,$U$2833:$U$2880)/SUMPRODUCT($H$2833:$H$2880,$P$2833:$P$2880)</f>
        <v>1.0084375000000003</v>
      </c>
      <c r="D2881" s="50">
        <f>SUMPRODUCT($H$2833:$H$2880,$Q$2833:$Q$2880,$U$2833:$U$2880)/SUMPRODUCT($H$2833:$H$2880,$Q$2833:$Q$2880)</f>
        <v>1.0290625000000002</v>
      </c>
      <c r="E2881" s="50">
        <f>SUMPRODUCT($H$2833:$H$2880,$R$2833:$R$2880,$U$2833:$U$2880)/SUMPRODUCT($H$2833:$H$2880,$R$2833:$R$2880)</f>
        <v>1.0300000000000002</v>
      </c>
      <c r="F2881" s="169">
        <f>SUMPRODUCT($H$2833:$H$2880,$Q$2833:$Q$2880,$O$2833:$O$2880)/SUMPRODUCT($H$2833:$H$2880,$Q$2833:$Q$2880)</f>
        <v>0.84399161196207151</v>
      </c>
      <c r="G2881" s="169">
        <f>SUMPRODUCT($H$2833:$H$2880,$R$2833:$R$2880,$O$2833:$O$2880)/SUMPRODUCT($H$2833:$H$2880,$R$2833:$R$2880)</f>
        <v>0.85731271274009246</v>
      </c>
    </row>
    <row r="2884" spans="1:21" x14ac:dyDescent="0.25">
      <c r="A2884" s="77" t="str">
        <f>INDEX(lr_key,53)</f>
        <v>BU-C|MD</v>
      </c>
      <c r="B2884" s="77" t="str">
        <f>INDEX(lr_state,53)</f>
        <v>MD</v>
      </c>
      <c r="C2884" s="52">
        <f>nr_TermMonths</f>
        <v>12</v>
      </c>
      <c r="D2884" s="52">
        <f>IF(COUNTIF(se_state,$B2884)=0,0,MATCH($B2884,se_state,0))</f>
        <v>0</v>
      </c>
      <c r="E2884" s="54">
        <f>IF($D2884=0,0,INDEX(se_sum,$D2884))</f>
        <v>0</v>
      </c>
      <c r="F2884" s="169">
        <f>IF(N(INDEX(lr_mind,53))=0,1,INDEX(lr_mind,53))</f>
        <v>0.85</v>
      </c>
      <c r="G2884" s="169">
        <f>IF(N(INDEX(lr_m0,53))=0,1,INDEX(lr_m0,53))</f>
        <v>0.84</v>
      </c>
      <c r="H2884" s="51">
        <f>IF(N(INDEX(lr_m0asof,53))=0,DATE(nr_PlanYear-1,10,1),INDEX(lr_m0asof,53))</f>
        <v>46295</v>
      </c>
      <c r="I2884" s="169">
        <f>IF(N(INDEX(lr_m1,53))=0,1,INDEX(lr_m1,53))</f>
        <v>0.84</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25">
      <c r="A2885" s="77">
        <f>EDATE($H$2884,-12)+1</f>
        <v>45931</v>
      </c>
      <c r="B2885" s="77">
        <f>$H$2884+1</f>
        <v>46296</v>
      </c>
      <c r="C2885" s="77">
        <f>DATE(nr_PlanYear,12,31)+1</f>
        <v>46753</v>
      </c>
      <c r="D2885" s="77">
        <f>DATE(nr_PlanYear+1,12,31)+1</f>
        <v>47119</v>
      </c>
      <c r="E2885" s="77">
        <f>IF(N($J$2884)=0,$F$2885-($G$2885-$F$2885)/($C$2885-$B$2885)*($B$2885-$A$2885),$J$2884)</f>
        <v>0.84</v>
      </c>
      <c r="F2885" s="77">
        <f>$G$2884</f>
        <v>0.84</v>
      </c>
      <c r="G2885" s="77">
        <f>$I$2884</f>
        <v>0.84</v>
      </c>
      <c r="H2885" s="77">
        <f>IF(N($K$2884)=0,$I$2884,$K$2884)</f>
        <v>0.84</v>
      </c>
      <c r="I2885" s="77">
        <f>($F$2885-$E$2885)/($B$2885-$A$2885)</f>
        <v>0</v>
      </c>
      <c r="J2885" s="77">
        <f>($G$2885-$F$2885)/($C$2885-$B$2885)</f>
        <v>0</v>
      </c>
      <c r="K2885" s="77">
        <f>($H$2885-$G$2885)/($D$2885-$C$2885)</f>
        <v>0</v>
      </c>
    </row>
    <row r="2886" spans="1:21" ht="24" x14ac:dyDescent="0.25">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25">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0.84</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0.9882352941176471</v>
      </c>
      <c r="T2887" s="72">
        <f t="shared" ref="T2887:T2934" si="1091">IF($G2887&lt;nr_MStartP,$S2887,$T2875*(1+IF($G2887&lt;nr_MStartP1,$M$2884,$N$2884)))</f>
        <v>0.9882352941176471</v>
      </c>
      <c r="U2887" s="72">
        <f t="shared" ref="U2887:U2934" si="1092">IF($L$2884,$T2887,$N2887)</f>
        <v>1</v>
      </c>
    </row>
    <row r="2888" spans="1:21" x14ac:dyDescent="0.25">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0.84</v>
      </c>
      <c r="P2888" s="72">
        <f t="shared" si="1087"/>
        <v>0.125</v>
      </c>
      <c r="Q2888" s="72">
        <f t="shared" si="1088"/>
        <v>0</v>
      </c>
      <c r="R2888" s="72">
        <f t="shared" si="1089"/>
        <v>0</v>
      </c>
      <c r="S2888" s="72">
        <f t="shared" si="1090"/>
        <v>0.9882352941176471</v>
      </c>
      <c r="T2888" s="72">
        <f t="shared" si="1091"/>
        <v>0.9882352941176471</v>
      </c>
      <c r="U2888" s="72">
        <f t="shared" si="1092"/>
        <v>1</v>
      </c>
    </row>
    <row r="2889" spans="1:21" x14ac:dyDescent="0.25">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0.84</v>
      </c>
      <c r="P2889" s="72">
        <f t="shared" si="1087"/>
        <v>0.20833333333333337</v>
      </c>
      <c r="Q2889" s="72">
        <f t="shared" si="1088"/>
        <v>0</v>
      </c>
      <c r="R2889" s="72">
        <f t="shared" si="1089"/>
        <v>0</v>
      </c>
      <c r="S2889" s="72">
        <f t="shared" si="1090"/>
        <v>0.9882352941176471</v>
      </c>
      <c r="T2889" s="72">
        <f t="shared" si="1091"/>
        <v>0.9882352941176471</v>
      </c>
      <c r="U2889" s="72">
        <f t="shared" si="1092"/>
        <v>1</v>
      </c>
    </row>
    <row r="2890" spans="1:21" x14ac:dyDescent="0.25">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0.84</v>
      </c>
      <c r="P2890" s="72">
        <f t="shared" si="1087"/>
        <v>0.29166666666666663</v>
      </c>
      <c r="Q2890" s="72">
        <f t="shared" si="1088"/>
        <v>0</v>
      </c>
      <c r="R2890" s="72">
        <f t="shared" si="1089"/>
        <v>0</v>
      </c>
      <c r="S2890" s="72">
        <f t="shared" si="1090"/>
        <v>0.9882352941176471</v>
      </c>
      <c r="T2890" s="72">
        <f t="shared" si="1091"/>
        <v>0.9882352941176471</v>
      </c>
      <c r="U2890" s="72">
        <f t="shared" si="1092"/>
        <v>1</v>
      </c>
    </row>
    <row r="2891" spans="1:21" x14ac:dyDescent="0.25">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0.84</v>
      </c>
      <c r="P2891" s="72">
        <f t="shared" si="1087"/>
        <v>0.375</v>
      </c>
      <c r="Q2891" s="72">
        <f t="shared" si="1088"/>
        <v>0</v>
      </c>
      <c r="R2891" s="72">
        <f t="shared" si="1089"/>
        <v>0</v>
      </c>
      <c r="S2891" s="72">
        <f t="shared" si="1090"/>
        <v>0.9882352941176471</v>
      </c>
      <c r="T2891" s="72">
        <f t="shared" si="1091"/>
        <v>0.9882352941176471</v>
      </c>
      <c r="U2891" s="72">
        <f t="shared" si="1092"/>
        <v>1</v>
      </c>
    </row>
    <row r="2892" spans="1:21" x14ac:dyDescent="0.25">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0.84</v>
      </c>
      <c r="P2892" s="72">
        <f t="shared" si="1087"/>
        <v>0.45833333333333337</v>
      </c>
      <c r="Q2892" s="72">
        <f t="shared" si="1088"/>
        <v>0</v>
      </c>
      <c r="R2892" s="72">
        <f t="shared" si="1089"/>
        <v>0</v>
      </c>
      <c r="S2892" s="72">
        <f t="shared" si="1090"/>
        <v>0.9882352941176471</v>
      </c>
      <c r="T2892" s="72">
        <f t="shared" si="1091"/>
        <v>0.9882352941176471</v>
      </c>
      <c r="U2892" s="72">
        <f t="shared" si="1092"/>
        <v>1</v>
      </c>
    </row>
    <row r="2893" spans="1:21" x14ac:dyDescent="0.25">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0.84</v>
      </c>
      <c r="P2893" s="72">
        <f t="shared" si="1087"/>
        <v>0.54166666666666674</v>
      </c>
      <c r="Q2893" s="72">
        <f t="shared" si="1088"/>
        <v>0</v>
      </c>
      <c r="R2893" s="72">
        <f t="shared" si="1089"/>
        <v>0</v>
      </c>
      <c r="S2893" s="72">
        <f t="shared" si="1090"/>
        <v>0.9882352941176471</v>
      </c>
      <c r="T2893" s="72">
        <f t="shared" si="1091"/>
        <v>0.9882352941176471</v>
      </c>
      <c r="U2893" s="72">
        <f t="shared" si="1092"/>
        <v>1</v>
      </c>
    </row>
    <row r="2894" spans="1:21" x14ac:dyDescent="0.25">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0.84</v>
      </c>
      <c r="P2894" s="72">
        <f t="shared" si="1087"/>
        <v>0.625</v>
      </c>
      <c r="Q2894" s="72">
        <f t="shared" si="1088"/>
        <v>0</v>
      </c>
      <c r="R2894" s="72">
        <f t="shared" si="1089"/>
        <v>0</v>
      </c>
      <c r="S2894" s="72">
        <f t="shared" si="1090"/>
        <v>0.9882352941176471</v>
      </c>
      <c r="T2894" s="72">
        <f t="shared" si="1091"/>
        <v>0.9882352941176471</v>
      </c>
      <c r="U2894" s="72">
        <f t="shared" si="1092"/>
        <v>1</v>
      </c>
    </row>
    <row r="2895" spans="1:21" x14ac:dyDescent="0.25">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0.84</v>
      </c>
      <c r="P2895" s="72">
        <f t="shared" si="1087"/>
        <v>0.70833333333333326</v>
      </c>
      <c r="Q2895" s="72">
        <f t="shared" si="1088"/>
        <v>0</v>
      </c>
      <c r="R2895" s="72">
        <f t="shared" si="1089"/>
        <v>0</v>
      </c>
      <c r="S2895" s="72">
        <f t="shared" si="1090"/>
        <v>0.9882352941176471</v>
      </c>
      <c r="T2895" s="72">
        <f t="shared" si="1091"/>
        <v>0.9882352941176471</v>
      </c>
      <c r="U2895" s="72">
        <f t="shared" si="1092"/>
        <v>1</v>
      </c>
    </row>
    <row r="2896" spans="1:21" x14ac:dyDescent="0.25">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0.84</v>
      </c>
      <c r="P2896" s="72">
        <f t="shared" si="1087"/>
        <v>0.79166666666666663</v>
      </c>
      <c r="Q2896" s="72">
        <f t="shared" si="1088"/>
        <v>0</v>
      </c>
      <c r="R2896" s="72">
        <f t="shared" si="1089"/>
        <v>0</v>
      </c>
      <c r="S2896" s="72">
        <f t="shared" si="1090"/>
        <v>0.9882352941176471</v>
      </c>
      <c r="T2896" s="72">
        <f t="shared" si="1091"/>
        <v>0.9882352941176471</v>
      </c>
      <c r="U2896" s="72">
        <f t="shared" si="1092"/>
        <v>1</v>
      </c>
    </row>
    <row r="2897" spans="1:21" x14ac:dyDescent="0.25">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0.84</v>
      </c>
      <c r="P2897" s="72">
        <f t="shared" si="1087"/>
        <v>0.875</v>
      </c>
      <c r="Q2897" s="72">
        <f t="shared" si="1088"/>
        <v>0</v>
      </c>
      <c r="R2897" s="72">
        <f t="shared" si="1089"/>
        <v>0</v>
      </c>
      <c r="S2897" s="72">
        <f t="shared" si="1090"/>
        <v>0.9882352941176471</v>
      </c>
      <c r="T2897" s="72">
        <f t="shared" si="1091"/>
        <v>0.9882352941176471</v>
      </c>
      <c r="U2897" s="72">
        <f t="shared" si="1092"/>
        <v>1</v>
      </c>
    </row>
    <row r="2898" spans="1:21" x14ac:dyDescent="0.25">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0.84</v>
      </c>
      <c r="P2898" s="72">
        <f t="shared" si="1087"/>
        <v>0.95833333333333337</v>
      </c>
      <c r="Q2898" s="72">
        <f t="shared" si="1088"/>
        <v>0</v>
      </c>
      <c r="R2898" s="72">
        <f t="shared" si="1089"/>
        <v>0</v>
      </c>
      <c r="S2898" s="72">
        <f t="shared" si="1090"/>
        <v>0.9882352941176471</v>
      </c>
      <c r="T2898" s="72">
        <f t="shared" si="1091"/>
        <v>0.9882352941176471</v>
      </c>
      <c r="U2898" s="72">
        <f t="shared" si="1092"/>
        <v>1</v>
      </c>
    </row>
    <row r="2899" spans="1:21" x14ac:dyDescent="0.25">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0.84</v>
      </c>
      <c r="P2899" s="72">
        <f t="shared" si="1087"/>
        <v>0.95833333333333337</v>
      </c>
      <c r="Q2899" s="72">
        <f t="shared" si="1088"/>
        <v>4.166666666666663E-2</v>
      </c>
      <c r="R2899" s="72">
        <f t="shared" si="1089"/>
        <v>0</v>
      </c>
      <c r="S2899" s="72">
        <f t="shared" si="1090"/>
        <v>0.9882352941176471</v>
      </c>
      <c r="T2899" s="72">
        <f t="shared" si="1091"/>
        <v>0.9882352941176471</v>
      </c>
      <c r="U2899" s="72">
        <f t="shared" si="1092"/>
        <v>1</v>
      </c>
    </row>
    <row r="2900" spans="1:21" x14ac:dyDescent="0.25">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0.84</v>
      </c>
      <c r="P2900" s="72">
        <f t="shared" si="1087"/>
        <v>0.875</v>
      </c>
      <c r="Q2900" s="72">
        <f t="shared" si="1088"/>
        <v>0.125</v>
      </c>
      <c r="R2900" s="72">
        <f t="shared" si="1089"/>
        <v>0</v>
      </c>
      <c r="S2900" s="72">
        <f t="shared" si="1090"/>
        <v>0.9882352941176471</v>
      </c>
      <c r="T2900" s="72">
        <f t="shared" si="1091"/>
        <v>0.9882352941176471</v>
      </c>
      <c r="U2900" s="72">
        <f t="shared" si="1092"/>
        <v>1</v>
      </c>
    </row>
    <row r="2901" spans="1:21" x14ac:dyDescent="0.25">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0.84</v>
      </c>
      <c r="P2901" s="72">
        <f t="shared" si="1087"/>
        <v>0.79166666666666663</v>
      </c>
      <c r="Q2901" s="72">
        <f t="shared" si="1088"/>
        <v>0.20833333333333337</v>
      </c>
      <c r="R2901" s="72">
        <f t="shared" si="1089"/>
        <v>0</v>
      </c>
      <c r="S2901" s="72">
        <f t="shared" si="1090"/>
        <v>0.9882352941176471</v>
      </c>
      <c r="T2901" s="72">
        <f t="shared" si="1091"/>
        <v>0.9882352941176471</v>
      </c>
      <c r="U2901" s="72">
        <f t="shared" si="1092"/>
        <v>1</v>
      </c>
    </row>
    <row r="2902" spans="1:21" x14ac:dyDescent="0.25">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0.84</v>
      </c>
      <c r="P2902" s="72">
        <f t="shared" si="1087"/>
        <v>0.70833333333333337</v>
      </c>
      <c r="Q2902" s="72">
        <f t="shared" si="1088"/>
        <v>0.29166666666666663</v>
      </c>
      <c r="R2902" s="72">
        <f t="shared" si="1089"/>
        <v>0</v>
      </c>
      <c r="S2902" s="72">
        <f t="shared" si="1090"/>
        <v>0.9882352941176471</v>
      </c>
      <c r="T2902" s="72">
        <f t="shared" si="1091"/>
        <v>0.9882352941176471</v>
      </c>
      <c r="U2902" s="72">
        <f t="shared" si="1092"/>
        <v>1</v>
      </c>
    </row>
    <row r="2903" spans="1:21" x14ac:dyDescent="0.25">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0.84</v>
      </c>
      <c r="P2903" s="72">
        <f t="shared" si="1087"/>
        <v>0.625</v>
      </c>
      <c r="Q2903" s="72">
        <f t="shared" si="1088"/>
        <v>0.375</v>
      </c>
      <c r="R2903" s="72">
        <f t="shared" si="1089"/>
        <v>0</v>
      </c>
      <c r="S2903" s="72">
        <f t="shared" si="1090"/>
        <v>1.0277647058823529</v>
      </c>
      <c r="T2903" s="72">
        <f t="shared" si="1091"/>
        <v>1.0277647058823529</v>
      </c>
      <c r="U2903" s="72">
        <f t="shared" si="1092"/>
        <v>1.04</v>
      </c>
    </row>
    <row r="2904" spans="1:21" x14ac:dyDescent="0.25">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0.84</v>
      </c>
      <c r="P2904" s="72">
        <f t="shared" si="1087"/>
        <v>0.54166666666666663</v>
      </c>
      <c r="Q2904" s="72">
        <f t="shared" si="1088"/>
        <v>0.45833333333333337</v>
      </c>
      <c r="R2904" s="72">
        <f t="shared" si="1089"/>
        <v>0</v>
      </c>
      <c r="S2904" s="72">
        <f t="shared" si="1090"/>
        <v>1.0277647058823529</v>
      </c>
      <c r="T2904" s="72">
        <f t="shared" si="1091"/>
        <v>1.0277647058823529</v>
      </c>
      <c r="U2904" s="72">
        <f t="shared" si="1092"/>
        <v>1.04</v>
      </c>
    </row>
    <row r="2905" spans="1:21" x14ac:dyDescent="0.25">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0.84</v>
      </c>
      <c r="P2905" s="72">
        <f t="shared" si="1087"/>
        <v>0.45833333333333331</v>
      </c>
      <c r="Q2905" s="72">
        <f t="shared" si="1088"/>
        <v>0.54166666666666674</v>
      </c>
      <c r="R2905" s="72">
        <f t="shared" si="1089"/>
        <v>0</v>
      </c>
      <c r="S2905" s="72">
        <f t="shared" si="1090"/>
        <v>1.0277647058823529</v>
      </c>
      <c r="T2905" s="72">
        <f t="shared" si="1091"/>
        <v>1.0277647058823529</v>
      </c>
      <c r="U2905" s="72">
        <f t="shared" si="1092"/>
        <v>1.04</v>
      </c>
    </row>
    <row r="2906" spans="1:21" x14ac:dyDescent="0.25">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0.84</v>
      </c>
      <c r="P2906" s="72">
        <f t="shared" si="1087"/>
        <v>0.375</v>
      </c>
      <c r="Q2906" s="72">
        <f t="shared" si="1088"/>
        <v>0.625</v>
      </c>
      <c r="R2906" s="72">
        <f t="shared" si="1089"/>
        <v>0</v>
      </c>
      <c r="S2906" s="72">
        <f t="shared" si="1090"/>
        <v>1.0277647058823529</v>
      </c>
      <c r="T2906" s="72">
        <f t="shared" si="1091"/>
        <v>1.0277647058823529</v>
      </c>
      <c r="U2906" s="72">
        <f t="shared" si="1092"/>
        <v>1.04</v>
      </c>
    </row>
    <row r="2907" spans="1:21" x14ac:dyDescent="0.25">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0.84</v>
      </c>
      <c r="P2907" s="72">
        <f t="shared" si="1087"/>
        <v>0.29166666666666669</v>
      </c>
      <c r="Q2907" s="72">
        <f t="shared" si="1088"/>
        <v>0.70833333333333326</v>
      </c>
      <c r="R2907" s="72">
        <f t="shared" si="1089"/>
        <v>0</v>
      </c>
      <c r="S2907" s="72">
        <f t="shared" si="1090"/>
        <v>1.0277647058823529</v>
      </c>
      <c r="T2907" s="72">
        <f t="shared" si="1091"/>
        <v>1.0277647058823529</v>
      </c>
      <c r="U2907" s="72">
        <f t="shared" si="1092"/>
        <v>1.04</v>
      </c>
    </row>
    <row r="2908" spans="1:21" x14ac:dyDescent="0.25">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0.84</v>
      </c>
      <c r="P2908" s="72">
        <f t="shared" si="1087"/>
        <v>0.20833333333333334</v>
      </c>
      <c r="Q2908" s="72">
        <f t="shared" si="1088"/>
        <v>0.79166666666666663</v>
      </c>
      <c r="R2908" s="72">
        <f t="shared" si="1089"/>
        <v>0</v>
      </c>
      <c r="S2908" s="72">
        <f t="shared" si="1090"/>
        <v>1.0277647058823529</v>
      </c>
      <c r="T2908" s="72">
        <f t="shared" si="1091"/>
        <v>1.0277647058823529</v>
      </c>
      <c r="U2908" s="72">
        <f t="shared" si="1092"/>
        <v>1.04</v>
      </c>
    </row>
    <row r="2909" spans="1:21" x14ac:dyDescent="0.25">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0.84</v>
      </c>
      <c r="P2909" s="72">
        <f t="shared" si="1087"/>
        <v>0.125</v>
      </c>
      <c r="Q2909" s="72">
        <f t="shared" si="1088"/>
        <v>0.875</v>
      </c>
      <c r="R2909" s="72">
        <f t="shared" si="1089"/>
        <v>0</v>
      </c>
      <c r="S2909" s="72">
        <f t="shared" si="1090"/>
        <v>1.0277647058823529</v>
      </c>
      <c r="T2909" s="72">
        <f t="shared" si="1091"/>
        <v>1.0277647058823529</v>
      </c>
      <c r="U2909" s="72">
        <f t="shared" si="1092"/>
        <v>1.04</v>
      </c>
    </row>
    <row r="2910" spans="1:21" x14ac:dyDescent="0.25">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0.84</v>
      </c>
      <c r="P2910" s="72">
        <f t="shared" si="1087"/>
        <v>4.1666666666666664E-2</v>
      </c>
      <c r="Q2910" s="72">
        <f t="shared" si="1088"/>
        <v>0.95833333333333337</v>
      </c>
      <c r="R2910" s="72">
        <f t="shared" si="1089"/>
        <v>0</v>
      </c>
      <c r="S2910" s="72">
        <f t="shared" si="1090"/>
        <v>1.0277647058823529</v>
      </c>
      <c r="T2910" s="72">
        <f t="shared" si="1091"/>
        <v>1.0277647058823529</v>
      </c>
      <c r="U2910" s="72">
        <f t="shared" si="1092"/>
        <v>1.04</v>
      </c>
    </row>
    <row r="2911" spans="1:21" x14ac:dyDescent="0.25">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0.84</v>
      </c>
      <c r="P2911" s="72">
        <f t="shared" si="1087"/>
        <v>0</v>
      </c>
      <c r="Q2911" s="72">
        <f t="shared" si="1088"/>
        <v>0.95833333333333337</v>
      </c>
      <c r="R2911" s="72">
        <f t="shared" si="1089"/>
        <v>4.166666666666663E-2</v>
      </c>
      <c r="S2911" s="72">
        <f t="shared" si="1090"/>
        <v>1.0277647058823529</v>
      </c>
      <c r="T2911" s="72">
        <f t="shared" si="1091"/>
        <v>0.9882352941176471</v>
      </c>
      <c r="U2911" s="72">
        <f t="shared" si="1092"/>
        <v>1.04</v>
      </c>
    </row>
    <row r="2912" spans="1:21" x14ac:dyDescent="0.25">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0.84</v>
      </c>
      <c r="P2912" s="72">
        <f t="shared" si="1087"/>
        <v>0</v>
      </c>
      <c r="Q2912" s="72">
        <f t="shared" si="1088"/>
        <v>0.875</v>
      </c>
      <c r="R2912" s="72">
        <f t="shared" si="1089"/>
        <v>0.125</v>
      </c>
      <c r="S2912" s="72">
        <f t="shared" si="1090"/>
        <v>1.0277647058823529</v>
      </c>
      <c r="T2912" s="72">
        <f t="shared" si="1091"/>
        <v>0.9882352941176471</v>
      </c>
      <c r="U2912" s="72">
        <f t="shared" si="1092"/>
        <v>1.04</v>
      </c>
    </row>
    <row r="2913" spans="1:21" x14ac:dyDescent="0.25">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0.84</v>
      </c>
      <c r="P2913" s="72">
        <f t="shared" si="1087"/>
        <v>0</v>
      </c>
      <c r="Q2913" s="72">
        <f t="shared" si="1088"/>
        <v>0.79166666666666663</v>
      </c>
      <c r="R2913" s="72">
        <f t="shared" si="1089"/>
        <v>0.20833333333333337</v>
      </c>
      <c r="S2913" s="72">
        <f t="shared" si="1090"/>
        <v>1.0277647058823529</v>
      </c>
      <c r="T2913" s="72">
        <f t="shared" si="1091"/>
        <v>0.9882352941176471</v>
      </c>
      <c r="U2913" s="72">
        <f t="shared" si="1092"/>
        <v>1.04</v>
      </c>
    </row>
    <row r="2914" spans="1:21" x14ac:dyDescent="0.25">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0.84</v>
      </c>
      <c r="P2914" s="72">
        <f t="shared" si="1087"/>
        <v>0</v>
      </c>
      <c r="Q2914" s="72">
        <f t="shared" si="1088"/>
        <v>0.70833333333333337</v>
      </c>
      <c r="R2914" s="72">
        <f t="shared" si="1089"/>
        <v>0.29166666666666663</v>
      </c>
      <c r="S2914" s="72">
        <f t="shared" si="1090"/>
        <v>1.0277647058823529</v>
      </c>
      <c r="T2914" s="72">
        <f t="shared" si="1091"/>
        <v>0.9882352941176471</v>
      </c>
      <c r="U2914" s="72">
        <f t="shared" si="1092"/>
        <v>1.04</v>
      </c>
    </row>
    <row r="2915" spans="1:21" x14ac:dyDescent="0.25">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0.84</v>
      </c>
      <c r="P2915" s="72">
        <f t="shared" si="1087"/>
        <v>0</v>
      </c>
      <c r="Q2915" s="72">
        <f t="shared" si="1088"/>
        <v>0.625</v>
      </c>
      <c r="R2915" s="72">
        <f t="shared" si="1089"/>
        <v>0.375</v>
      </c>
      <c r="S2915" s="72">
        <f t="shared" si="1090"/>
        <v>1.0277647058823529</v>
      </c>
      <c r="T2915" s="72">
        <f t="shared" si="1091"/>
        <v>1.0277647058823529</v>
      </c>
      <c r="U2915" s="72">
        <f t="shared" si="1092"/>
        <v>1.04</v>
      </c>
    </row>
    <row r="2916" spans="1:21" x14ac:dyDescent="0.25">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0.84</v>
      </c>
      <c r="P2916" s="72">
        <f t="shared" si="1087"/>
        <v>0</v>
      </c>
      <c r="Q2916" s="72">
        <f t="shared" si="1088"/>
        <v>0.54166666666666663</v>
      </c>
      <c r="R2916" s="72">
        <f t="shared" si="1089"/>
        <v>0.45833333333333337</v>
      </c>
      <c r="S2916" s="72">
        <f t="shared" si="1090"/>
        <v>1.0277647058823529</v>
      </c>
      <c r="T2916" s="72">
        <f t="shared" si="1091"/>
        <v>1.0277647058823529</v>
      </c>
      <c r="U2916" s="72">
        <f t="shared" si="1092"/>
        <v>1.04</v>
      </c>
    </row>
    <row r="2917" spans="1:21" x14ac:dyDescent="0.25">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0.84</v>
      </c>
      <c r="P2917" s="72">
        <f t="shared" si="1087"/>
        <v>0</v>
      </c>
      <c r="Q2917" s="72">
        <f t="shared" si="1088"/>
        <v>0.45833333333333331</v>
      </c>
      <c r="R2917" s="72">
        <f t="shared" si="1089"/>
        <v>0.54166666666666674</v>
      </c>
      <c r="S2917" s="72">
        <f t="shared" si="1090"/>
        <v>1.0277647058823529</v>
      </c>
      <c r="T2917" s="72">
        <f t="shared" si="1091"/>
        <v>1.0277647058823529</v>
      </c>
      <c r="U2917" s="72">
        <f t="shared" si="1092"/>
        <v>1.04</v>
      </c>
    </row>
    <row r="2918" spans="1:21" x14ac:dyDescent="0.25">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0.84</v>
      </c>
      <c r="P2918" s="72">
        <f t="shared" si="1087"/>
        <v>0</v>
      </c>
      <c r="Q2918" s="72">
        <f t="shared" si="1088"/>
        <v>0.375</v>
      </c>
      <c r="R2918" s="72">
        <f t="shared" si="1089"/>
        <v>0.625</v>
      </c>
      <c r="S2918" s="72">
        <f t="shared" si="1090"/>
        <v>1.0277647058823529</v>
      </c>
      <c r="T2918" s="72">
        <f t="shared" si="1091"/>
        <v>1.0277647058823529</v>
      </c>
      <c r="U2918" s="72">
        <f t="shared" si="1092"/>
        <v>1.04</v>
      </c>
    </row>
    <row r="2919" spans="1:21" x14ac:dyDescent="0.25">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0.84</v>
      </c>
      <c r="P2919" s="72">
        <f t="shared" si="1087"/>
        <v>0</v>
      </c>
      <c r="Q2919" s="72">
        <f t="shared" si="1088"/>
        <v>0.29166666666666669</v>
      </c>
      <c r="R2919" s="72">
        <f t="shared" si="1089"/>
        <v>0.70833333333333326</v>
      </c>
      <c r="S2919" s="72">
        <f t="shared" si="1090"/>
        <v>1.0277647058823529</v>
      </c>
      <c r="T2919" s="72">
        <f t="shared" si="1091"/>
        <v>1.0277647058823529</v>
      </c>
      <c r="U2919" s="72">
        <f t="shared" si="1092"/>
        <v>1.04</v>
      </c>
    </row>
    <row r="2920" spans="1:21" x14ac:dyDescent="0.25">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0.84</v>
      </c>
      <c r="P2920" s="72">
        <f t="shared" si="1087"/>
        <v>0</v>
      </c>
      <c r="Q2920" s="72">
        <f t="shared" si="1088"/>
        <v>0.20833333333333334</v>
      </c>
      <c r="R2920" s="72">
        <f t="shared" si="1089"/>
        <v>0.79166666666666663</v>
      </c>
      <c r="S2920" s="72">
        <f t="shared" si="1090"/>
        <v>1.0277647058823529</v>
      </c>
      <c r="T2920" s="72">
        <f t="shared" si="1091"/>
        <v>1.0277647058823529</v>
      </c>
      <c r="U2920" s="72">
        <f t="shared" si="1092"/>
        <v>1.04</v>
      </c>
    </row>
    <row r="2921" spans="1:21" x14ac:dyDescent="0.25">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0.84</v>
      </c>
      <c r="P2921" s="72">
        <f t="shared" si="1087"/>
        <v>0</v>
      </c>
      <c r="Q2921" s="72">
        <f t="shared" si="1088"/>
        <v>0.125</v>
      </c>
      <c r="R2921" s="72">
        <f t="shared" si="1089"/>
        <v>0.875</v>
      </c>
      <c r="S2921" s="72">
        <f t="shared" si="1090"/>
        <v>1.0277647058823529</v>
      </c>
      <c r="T2921" s="72">
        <f t="shared" si="1091"/>
        <v>1.0277647058823529</v>
      </c>
      <c r="U2921" s="72">
        <f t="shared" si="1092"/>
        <v>1.04</v>
      </c>
    </row>
    <row r="2922" spans="1:21" x14ac:dyDescent="0.25">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0.84</v>
      </c>
      <c r="P2922" s="72">
        <f t="shared" si="1087"/>
        <v>0</v>
      </c>
      <c r="Q2922" s="72">
        <f t="shared" si="1088"/>
        <v>4.1666666666666664E-2</v>
      </c>
      <c r="R2922" s="72">
        <f t="shared" si="1089"/>
        <v>0.95833333333333337</v>
      </c>
      <c r="S2922" s="72">
        <f t="shared" si="1090"/>
        <v>1.0277647058823529</v>
      </c>
      <c r="T2922" s="72">
        <f t="shared" si="1091"/>
        <v>1.0277647058823529</v>
      </c>
      <c r="U2922" s="72">
        <f t="shared" si="1092"/>
        <v>1.04</v>
      </c>
    </row>
    <row r="2923" spans="1:21" x14ac:dyDescent="0.25">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0.84</v>
      </c>
      <c r="P2923" s="72">
        <f t="shared" si="1087"/>
        <v>0</v>
      </c>
      <c r="Q2923" s="72">
        <f t="shared" si="1088"/>
        <v>0</v>
      </c>
      <c r="R2923" s="72">
        <f t="shared" si="1089"/>
        <v>0.95833333333333337</v>
      </c>
      <c r="S2923" s="72">
        <f t="shared" si="1090"/>
        <v>1.0277647058823529</v>
      </c>
      <c r="T2923" s="72">
        <f t="shared" si="1091"/>
        <v>0.9882352941176471</v>
      </c>
      <c r="U2923" s="72">
        <f t="shared" si="1092"/>
        <v>1.04</v>
      </c>
    </row>
    <row r="2924" spans="1:21" x14ac:dyDescent="0.25">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0.84</v>
      </c>
      <c r="P2924" s="72">
        <f t="shared" si="1087"/>
        <v>0</v>
      </c>
      <c r="Q2924" s="72">
        <f t="shared" si="1088"/>
        <v>0</v>
      </c>
      <c r="R2924" s="72">
        <f t="shared" si="1089"/>
        <v>0.875</v>
      </c>
      <c r="S2924" s="72">
        <f t="shared" si="1090"/>
        <v>1.0277647058823529</v>
      </c>
      <c r="T2924" s="72">
        <f t="shared" si="1091"/>
        <v>0.9882352941176471</v>
      </c>
      <c r="U2924" s="72">
        <f t="shared" si="1092"/>
        <v>1.04</v>
      </c>
    </row>
    <row r="2925" spans="1:21" x14ac:dyDescent="0.25">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0.84</v>
      </c>
      <c r="P2925" s="72">
        <f t="shared" si="1087"/>
        <v>0</v>
      </c>
      <c r="Q2925" s="72">
        <f t="shared" si="1088"/>
        <v>0</v>
      </c>
      <c r="R2925" s="72">
        <f t="shared" si="1089"/>
        <v>0.79166666666666663</v>
      </c>
      <c r="S2925" s="72">
        <f t="shared" si="1090"/>
        <v>1.0277647058823529</v>
      </c>
      <c r="T2925" s="72">
        <f t="shared" si="1091"/>
        <v>0.9882352941176471</v>
      </c>
      <c r="U2925" s="72">
        <f t="shared" si="1092"/>
        <v>1.04</v>
      </c>
    </row>
    <row r="2926" spans="1:21" x14ac:dyDescent="0.25">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0.84</v>
      </c>
      <c r="P2926" s="72">
        <f t="shared" si="1087"/>
        <v>0</v>
      </c>
      <c r="Q2926" s="72">
        <f t="shared" si="1088"/>
        <v>0</v>
      </c>
      <c r="R2926" s="72">
        <f t="shared" si="1089"/>
        <v>0.70833333333333337</v>
      </c>
      <c r="S2926" s="72">
        <f t="shared" si="1090"/>
        <v>1.0277647058823529</v>
      </c>
      <c r="T2926" s="72">
        <f t="shared" si="1091"/>
        <v>0.9882352941176471</v>
      </c>
      <c r="U2926" s="72">
        <f t="shared" si="1092"/>
        <v>1.04</v>
      </c>
    </row>
    <row r="2927" spans="1:21" x14ac:dyDescent="0.25">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0.84</v>
      </c>
      <c r="P2927" s="72">
        <f t="shared" si="1087"/>
        <v>0</v>
      </c>
      <c r="Q2927" s="72">
        <f t="shared" si="1088"/>
        <v>0</v>
      </c>
      <c r="R2927" s="72">
        <f t="shared" si="1089"/>
        <v>0.625</v>
      </c>
      <c r="S2927" s="72">
        <f t="shared" si="1090"/>
        <v>1.0277647058823529</v>
      </c>
      <c r="T2927" s="72">
        <f t="shared" si="1091"/>
        <v>1.0277647058823529</v>
      </c>
      <c r="U2927" s="72">
        <f t="shared" si="1092"/>
        <v>1.04</v>
      </c>
    </row>
    <row r="2928" spans="1:21" x14ac:dyDescent="0.25">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0.84</v>
      </c>
      <c r="P2928" s="72">
        <f t="shared" si="1087"/>
        <v>0</v>
      </c>
      <c r="Q2928" s="72">
        <f t="shared" si="1088"/>
        <v>0</v>
      </c>
      <c r="R2928" s="72">
        <f t="shared" si="1089"/>
        <v>0.54166666666666663</v>
      </c>
      <c r="S2928" s="72">
        <f t="shared" si="1090"/>
        <v>1.0277647058823529</v>
      </c>
      <c r="T2928" s="72">
        <f t="shared" si="1091"/>
        <v>1.0277647058823529</v>
      </c>
      <c r="U2928" s="72">
        <f t="shared" si="1092"/>
        <v>1.04</v>
      </c>
    </row>
    <row r="2929" spans="1:21" x14ac:dyDescent="0.25">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0.84</v>
      </c>
      <c r="P2929" s="72">
        <f t="shared" si="1087"/>
        <v>0</v>
      </c>
      <c r="Q2929" s="72">
        <f t="shared" si="1088"/>
        <v>0</v>
      </c>
      <c r="R2929" s="72">
        <f t="shared" si="1089"/>
        <v>0.45833333333333331</v>
      </c>
      <c r="S2929" s="72">
        <f t="shared" si="1090"/>
        <v>1.0277647058823529</v>
      </c>
      <c r="T2929" s="72">
        <f t="shared" si="1091"/>
        <v>1.0277647058823529</v>
      </c>
      <c r="U2929" s="72">
        <f t="shared" si="1092"/>
        <v>1.04</v>
      </c>
    </row>
    <row r="2930" spans="1:21" x14ac:dyDescent="0.25">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0.84</v>
      </c>
      <c r="P2930" s="72">
        <f t="shared" si="1087"/>
        <v>0</v>
      </c>
      <c r="Q2930" s="72">
        <f t="shared" si="1088"/>
        <v>0</v>
      </c>
      <c r="R2930" s="72">
        <f t="shared" si="1089"/>
        <v>0.375</v>
      </c>
      <c r="S2930" s="72">
        <f t="shared" si="1090"/>
        <v>1.0277647058823529</v>
      </c>
      <c r="T2930" s="72">
        <f t="shared" si="1091"/>
        <v>1.0277647058823529</v>
      </c>
      <c r="U2930" s="72">
        <f t="shared" si="1092"/>
        <v>1.04</v>
      </c>
    </row>
    <row r="2931" spans="1:21" x14ac:dyDescent="0.25">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0.84</v>
      </c>
      <c r="P2931" s="72">
        <f t="shared" si="1087"/>
        <v>0</v>
      </c>
      <c r="Q2931" s="72">
        <f t="shared" si="1088"/>
        <v>0</v>
      </c>
      <c r="R2931" s="72">
        <f t="shared" si="1089"/>
        <v>0.29166666666666669</v>
      </c>
      <c r="S2931" s="72">
        <f t="shared" si="1090"/>
        <v>1.0277647058823529</v>
      </c>
      <c r="T2931" s="72">
        <f t="shared" si="1091"/>
        <v>1.0277647058823529</v>
      </c>
      <c r="U2931" s="72">
        <f t="shared" si="1092"/>
        <v>1.04</v>
      </c>
    </row>
    <row r="2932" spans="1:21" x14ac:dyDescent="0.25">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0.84</v>
      </c>
      <c r="P2932" s="72">
        <f t="shared" si="1087"/>
        <v>0</v>
      </c>
      <c r="Q2932" s="72">
        <f t="shared" si="1088"/>
        <v>0</v>
      </c>
      <c r="R2932" s="72">
        <f t="shared" si="1089"/>
        <v>0.20833333333333334</v>
      </c>
      <c r="S2932" s="72">
        <f t="shared" si="1090"/>
        <v>1.0277647058823529</v>
      </c>
      <c r="T2932" s="72">
        <f t="shared" si="1091"/>
        <v>1.0277647058823529</v>
      </c>
      <c r="U2932" s="72">
        <f t="shared" si="1092"/>
        <v>1.04</v>
      </c>
    </row>
    <row r="2933" spans="1:21" x14ac:dyDescent="0.25">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0.84</v>
      </c>
      <c r="P2933" s="72">
        <f t="shared" si="1087"/>
        <v>0</v>
      </c>
      <c r="Q2933" s="72">
        <f t="shared" si="1088"/>
        <v>0</v>
      </c>
      <c r="R2933" s="72">
        <f t="shared" si="1089"/>
        <v>0.125</v>
      </c>
      <c r="S2933" s="72">
        <f t="shared" si="1090"/>
        <v>1.0277647058823529</v>
      </c>
      <c r="T2933" s="72">
        <f t="shared" si="1091"/>
        <v>1.0277647058823529</v>
      </c>
      <c r="U2933" s="72">
        <f t="shared" si="1092"/>
        <v>1.04</v>
      </c>
    </row>
    <row r="2934" spans="1:21" x14ac:dyDescent="0.25">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0.84</v>
      </c>
      <c r="P2934" s="72">
        <f t="shared" si="1087"/>
        <v>0</v>
      </c>
      <c r="Q2934" s="72">
        <f t="shared" si="1088"/>
        <v>0</v>
      </c>
      <c r="R2934" s="72">
        <f t="shared" si="1089"/>
        <v>4.1666666666666664E-2</v>
      </c>
      <c r="S2934" s="72">
        <f t="shared" si="1090"/>
        <v>1.0277647058823529</v>
      </c>
      <c r="T2934" s="72">
        <f t="shared" si="1091"/>
        <v>1.0277647058823529</v>
      </c>
      <c r="U2934" s="72">
        <f t="shared" si="1092"/>
        <v>1.04</v>
      </c>
    </row>
    <row r="2935" spans="1:21" x14ac:dyDescent="0.25">
      <c r="A2935" s="77" t="s">
        <v>1209</v>
      </c>
      <c r="B2935" s="50">
        <f>EXP(SUMPRODUCT((rl_key=$A$2884)*(rl_cons="Y")*rl_ln1p))</f>
        <v>1.04</v>
      </c>
      <c r="C2935" s="50">
        <f>SUMPRODUCT($H$2887:$H$2934,$P$2887:$P$2934,$U$2887:$U$2934)/SUMPRODUCT($H$2887:$H$2934,$P$2887:$P$2934)</f>
        <v>1.0088888888888889</v>
      </c>
      <c r="D2935" s="50">
        <f>SUMPRODUCT($H$2887:$H$2934,$Q$2887:$Q$2934,$U$2887:$U$2934)/SUMPRODUCT($H$2887:$H$2934,$Q$2887:$Q$2934)</f>
        <v>1.0377777777777779</v>
      </c>
      <c r="E2935" s="50">
        <f>SUMPRODUCT($H$2887:$H$2934,$R$2887:$R$2934,$U$2887:$U$2934)/SUMPRODUCT($H$2887:$H$2934,$R$2887:$R$2934)</f>
        <v>1.0400000000000003</v>
      </c>
      <c r="F2935" s="169">
        <f>SUMPRODUCT($H$2887:$H$2934,$Q$2887:$Q$2934,$O$2887:$O$2934)/SUMPRODUCT($H$2887:$H$2934,$Q$2887:$Q$2934)</f>
        <v>0.84</v>
      </c>
      <c r="G2935" s="169">
        <f>SUMPRODUCT($H$2887:$H$2934,$R$2887:$R$2934,$O$2887:$O$2934)/SUMPRODUCT($H$2887:$H$2934,$R$2887:$R$2934)</f>
        <v>0.84</v>
      </c>
    </row>
    <row r="2938" spans="1:21" x14ac:dyDescent="0.25">
      <c r="A2938" s="77" t="str">
        <f>INDEX(lr_key,54)</f>
        <v>BU-C|MI</v>
      </c>
      <c r="B2938" s="77" t="str">
        <f>INDEX(lr_state,54)</f>
        <v>MI</v>
      </c>
      <c r="C2938" s="52">
        <f>nr_TermMonths</f>
        <v>12</v>
      </c>
      <c r="D2938" s="52">
        <f>IF(COUNTIF(se_state,$B2938)=0,0,MATCH($B2938,se_state,0))</f>
        <v>0</v>
      </c>
      <c r="E2938" s="54">
        <f>IF($D2938=0,0,INDEX(se_sum,$D2938))</f>
        <v>0</v>
      </c>
      <c r="F2938" s="169">
        <f>IF(N(INDEX(lr_mind,54))=0,1,INDEX(lr_mind,54))</f>
        <v>0.85</v>
      </c>
      <c r="G2938" s="169">
        <f>IF(N(INDEX(lr_m0,54))=0,1,INDEX(lr_m0,54))</f>
        <v>0.84</v>
      </c>
      <c r="H2938" s="51">
        <f>IF(N(INDEX(lr_m0asof,54))=0,DATE(nr_PlanYear-1,10,1),INDEX(lr_m0asof,54))</f>
        <v>46295</v>
      </c>
      <c r="I2938" s="169">
        <f>IF(N(INDEX(lr_m1,54))=0,1,INDEX(lr_m1,54))</f>
        <v>0.85499999999999998</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25">
      <c r="A2939" s="77">
        <f>EDATE($H$2938,-12)+1</f>
        <v>45931</v>
      </c>
      <c r="B2939" s="77">
        <f>$H$2938+1</f>
        <v>46296</v>
      </c>
      <c r="C2939" s="77">
        <f>DATE(nr_PlanYear,12,31)+1</f>
        <v>46753</v>
      </c>
      <c r="D2939" s="77">
        <f>DATE(nr_PlanYear+1,12,31)+1</f>
        <v>47119</v>
      </c>
      <c r="E2939" s="77">
        <f>IF(N($J$2938)=0,$F$2939-($G$2939-$F$2939)/($C$2939-$B$2939)*($B$2939-$A$2939),$J$2938)</f>
        <v>0.82801969365426686</v>
      </c>
      <c r="F2939" s="77">
        <f>$G$2938</f>
        <v>0.84</v>
      </c>
      <c r="G2939" s="77">
        <f>$I$2938</f>
        <v>0.85499999999999998</v>
      </c>
      <c r="H2939" s="77">
        <f>IF(N($K$2938)=0,$I$2938,$K$2938)</f>
        <v>0.85499999999999998</v>
      </c>
      <c r="I2939" s="77">
        <f>($F$2939-$E$2939)/($B$2939-$A$2939)</f>
        <v>3.2822757111597549E-5</v>
      </c>
      <c r="J2939" s="77">
        <f>($G$2939-$F$2939)/($C$2939-$B$2939)</f>
        <v>3.2822757111597407E-5</v>
      </c>
      <c r="K2939" s="77">
        <f>($H$2939-$G$2939)/($D$2939-$C$2939)</f>
        <v>0</v>
      </c>
    </row>
    <row r="2940" spans="1:21" ht="24" x14ac:dyDescent="0.25">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25">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0.81956783369803055</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0.96419745140944768</v>
      </c>
      <c r="T2941" s="72">
        <f t="shared" ref="T2941:T2988" si="1111">IF($G2941&lt;nr_MStartP,$S2941,$T2929*(1+IF($G2941&lt;nr_MStartP1,$M$2938,$N$2938)))</f>
        <v>0.96419745140944768</v>
      </c>
      <c r="U2941" s="72">
        <f t="shared" ref="U2941:U2988" si="1112">IF($L$2938,$T2941,$N2941)</f>
        <v>1</v>
      </c>
    </row>
    <row r="2942" spans="1:21" x14ac:dyDescent="0.25">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0.82053610503282259</v>
      </c>
      <c r="P2942" s="72">
        <f t="shared" si="1107"/>
        <v>0.125</v>
      </c>
      <c r="Q2942" s="72">
        <f t="shared" si="1108"/>
        <v>0</v>
      </c>
      <c r="R2942" s="72">
        <f t="shared" si="1109"/>
        <v>0</v>
      </c>
      <c r="S2942" s="72">
        <f t="shared" si="1110"/>
        <v>0.96533659415626194</v>
      </c>
      <c r="T2942" s="72">
        <f t="shared" si="1111"/>
        <v>0.96533659415626194</v>
      </c>
      <c r="U2942" s="72">
        <f t="shared" si="1112"/>
        <v>1</v>
      </c>
    </row>
    <row r="2943" spans="1:21" x14ac:dyDescent="0.25">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0.82150437636761475</v>
      </c>
      <c r="P2943" s="72">
        <f t="shared" si="1107"/>
        <v>0.20833333333333337</v>
      </c>
      <c r="Q2943" s="72">
        <f t="shared" si="1108"/>
        <v>0</v>
      </c>
      <c r="R2943" s="72">
        <f t="shared" si="1109"/>
        <v>0</v>
      </c>
      <c r="S2943" s="72">
        <f t="shared" si="1110"/>
        <v>0.9664757369030762</v>
      </c>
      <c r="T2943" s="72">
        <f t="shared" si="1111"/>
        <v>0.9664757369030762</v>
      </c>
      <c r="U2943" s="72">
        <f t="shared" si="1112"/>
        <v>1</v>
      </c>
    </row>
    <row r="2944" spans="1:21" x14ac:dyDescent="0.25">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0.8225054704595185</v>
      </c>
      <c r="P2944" s="72">
        <f t="shared" si="1107"/>
        <v>0.29166666666666663</v>
      </c>
      <c r="Q2944" s="72">
        <f t="shared" si="1108"/>
        <v>0</v>
      </c>
      <c r="R2944" s="72">
        <f t="shared" si="1109"/>
        <v>0</v>
      </c>
      <c r="S2944" s="72">
        <f t="shared" si="1110"/>
        <v>0.96765349465825712</v>
      </c>
      <c r="T2944" s="72">
        <f t="shared" si="1111"/>
        <v>0.96765349465825712</v>
      </c>
      <c r="U2944" s="72">
        <f t="shared" si="1112"/>
        <v>1</v>
      </c>
    </row>
    <row r="2945" spans="1:21" x14ac:dyDescent="0.25">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0.82350656455142224</v>
      </c>
      <c r="P2945" s="72">
        <f t="shared" si="1107"/>
        <v>0.375</v>
      </c>
      <c r="Q2945" s="72">
        <f t="shared" si="1108"/>
        <v>0</v>
      </c>
      <c r="R2945" s="72">
        <f t="shared" si="1109"/>
        <v>0</v>
      </c>
      <c r="S2945" s="72">
        <f t="shared" si="1110"/>
        <v>0.96883125241343793</v>
      </c>
      <c r="T2945" s="72">
        <f t="shared" si="1111"/>
        <v>0.96883125241343793</v>
      </c>
      <c r="U2945" s="72">
        <f t="shared" si="1112"/>
        <v>1</v>
      </c>
    </row>
    <row r="2946" spans="1:21" x14ac:dyDescent="0.25">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0.82450765864332598</v>
      </c>
      <c r="P2946" s="72">
        <f t="shared" si="1107"/>
        <v>0.45833333333333337</v>
      </c>
      <c r="Q2946" s="72">
        <f t="shared" si="1108"/>
        <v>0</v>
      </c>
      <c r="R2946" s="72">
        <f t="shared" si="1109"/>
        <v>0</v>
      </c>
      <c r="S2946" s="72">
        <f t="shared" si="1110"/>
        <v>0.97000901016861885</v>
      </c>
      <c r="T2946" s="72">
        <f t="shared" si="1111"/>
        <v>0.97000901016861885</v>
      </c>
      <c r="U2946" s="72">
        <f t="shared" si="1112"/>
        <v>1</v>
      </c>
    </row>
    <row r="2947" spans="1:21" x14ac:dyDescent="0.25">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0.82550875273522961</v>
      </c>
      <c r="P2947" s="72">
        <f t="shared" si="1107"/>
        <v>0.54166666666666674</v>
      </c>
      <c r="Q2947" s="72">
        <f t="shared" si="1108"/>
        <v>0</v>
      </c>
      <c r="R2947" s="72">
        <f t="shared" si="1109"/>
        <v>0</v>
      </c>
      <c r="S2947" s="72">
        <f t="shared" si="1110"/>
        <v>0.97118676792379954</v>
      </c>
      <c r="T2947" s="72">
        <f t="shared" si="1111"/>
        <v>0.97118676792379954</v>
      </c>
      <c r="U2947" s="72">
        <f t="shared" si="1112"/>
        <v>1</v>
      </c>
    </row>
    <row r="2948" spans="1:21" x14ac:dyDescent="0.25">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0.82652625820568915</v>
      </c>
      <c r="P2948" s="72">
        <f t="shared" si="1107"/>
        <v>0.625</v>
      </c>
      <c r="Q2948" s="72">
        <f t="shared" si="1108"/>
        <v>0</v>
      </c>
      <c r="R2948" s="72">
        <f t="shared" si="1109"/>
        <v>0</v>
      </c>
      <c r="S2948" s="72">
        <f t="shared" si="1110"/>
        <v>0.97238383318316368</v>
      </c>
      <c r="T2948" s="72">
        <f t="shared" si="1111"/>
        <v>0.97238383318316368</v>
      </c>
      <c r="U2948" s="72">
        <f t="shared" si="1112"/>
        <v>1</v>
      </c>
    </row>
    <row r="2949" spans="1:21" x14ac:dyDescent="0.25">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0.82752735229759289</v>
      </c>
      <c r="P2949" s="72">
        <f t="shared" si="1107"/>
        <v>0.70833333333333326</v>
      </c>
      <c r="Q2949" s="72">
        <f t="shared" si="1108"/>
        <v>0</v>
      </c>
      <c r="R2949" s="72">
        <f t="shared" si="1109"/>
        <v>0</v>
      </c>
      <c r="S2949" s="72">
        <f t="shared" si="1110"/>
        <v>0.9735615909383446</v>
      </c>
      <c r="T2949" s="72">
        <f t="shared" si="1111"/>
        <v>0.9735615909383446</v>
      </c>
      <c r="U2949" s="72">
        <f t="shared" si="1112"/>
        <v>1</v>
      </c>
    </row>
    <row r="2950" spans="1:21" x14ac:dyDescent="0.25">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0.82852844638949663</v>
      </c>
      <c r="P2950" s="72">
        <f t="shared" si="1107"/>
        <v>0.79166666666666663</v>
      </c>
      <c r="Q2950" s="72">
        <f t="shared" si="1108"/>
        <v>0</v>
      </c>
      <c r="R2950" s="72">
        <f t="shared" si="1109"/>
        <v>0</v>
      </c>
      <c r="S2950" s="72">
        <f t="shared" si="1110"/>
        <v>0.97473934869352552</v>
      </c>
      <c r="T2950" s="72">
        <f t="shared" si="1111"/>
        <v>0.97473934869352552</v>
      </c>
      <c r="U2950" s="72">
        <f t="shared" si="1112"/>
        <v>1</v>
      </c>
    </row>
    <row r="2951" spans="1:21" x14ac:dyDescent="0.25">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0.82952954048140037</v>
      </c>
      <c r="P2951" s="72">
        <f t="shared" si="1107"/>
        <v>0.875</v>
      </c>
      <c r="Q2951" s="72">
        <f t="shared" si="1108"/>
        <v>0</v>
      </c>
      <c r="R2951" s="72">
        <f t="shared" si="1109"/>
        <v>0</v>
      </c>
      <c r="S2951" s="72">
        <f t="shared" si="1110"/>
        <v>0.97591710644870633</v>
      </c>
      <c r="T2951" s="72">
        <f t="shared" si="1111"/>
        <v>0.97591710644870633</v>
      </c>
      <c r="U2951" s="72">
        <f t="shared" si="1112"/>
        <v>1</v>
      </c>
    </row>
    <row r="2952" spans="1:21" x14ac:dyDescent="0.25">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0.83053063457330412</v>
      </c>
      <c r="P2952" s="72">
        <f t="shared" si="1107"/>
        <v>0.95833333333333337</v>
      </c>
      <c r="Q2952" s="72">
        <f t="shared" si="1108"/>
        <v>0</v>
      </c>
      <c r="R2952" s="72">
        <f t="shared" si="1109"/>
        <v>0</v>
      </c>
      <c r="S2952" s="72">
        <f t="shared" si="1110"/>
        <v>0.97709486420388725</v>
      </c>
      <c r="T2952" s="72">
        <f t="shared" si="1111"/>
        <v>0.97709486420388725</v>
      </c>
      <c r="U2952" s="72">
        <f t="shared" si="1112"/>
        <v>1</v>
      </c>
    </row>
    <row r="2953" spans="1:21" x14ac:dyDescent="0.25">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0.83154814004376365</v>
      </c>
      <c r="P2953" s="72">
        <f t="shared" si="1107"/>
        <v>0.95833333333333337</v>
      </c>
      <c r="Q2953" s="72">
        <f t="shared" si="1108"/>
        <v>4.166666666666663E-2</v>
      </c>
      <c r="R2953" s="72">
        <f t="shared" si="1109"/>
        <v>0</v>
      </c>
      <c r="S2953" s="72">
        <f t="shared" si="1110"/>
        <v>0.97829192946325139</v>
      </c>
      <c r="T2953" s="72">
        <f t="shared" si="1111"/>
        <v>0.97829192946325139</v>
      </c>
      <c r="U2953" s="72">
        <f t="shared" si="1112"/>
        <v>1</v>
      </c>
    </row>
    <row r="2954" spans="1:21" x14ac:dyDescent="0.25">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0.8325164113785557</v>
      </c>
      <c r="P2954" s="72">
        <f t="shared" si="1107"/>
        <v>0.875</v>
      </c>
      <c r="Q2954" s="72">
        <f t="shared" si="1108"/>
        <v>0.125</v>
      </c>
      <c r="R2954" s="72">
        <f t="shared" si="1109"/>
        <v>0</v>
      </c>
      <c r="S2954" s="72">
        <f t="shared" si="1110"/>
        <v>0.97943107221006553</v>
      </c>
      <c r="T2954" s="72">
        <f t="shared" si="1111"/>
        <v>0.97943107221006553</v>
      </c>
      <c r="U2954" s="72">
        <f t="shared" si="1112"/>
        <v>1</v>
      </c>
    </row>
    <row r="2955" spans="1:21" x14ac:dyDescent="0.25">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0.83348468271334786</v>
      </c>
      <c r="P2955" s="72">
        <f t="shared" si="1107"/>
        <v>0.79166666666666663</v>
      </c>
      <c r="Q2955" s="72">
        <f t="shared" si="1108"/>
        <v>0.20833333333333337</v>
      </c>
      <c r="R2955" s="72">
        <f t="shared" si="1109"/>
        <v>0</v>
      </c>
      <c r="S2955" s="72">
        <f t="shared" si="1110"/>
        <v>0.9805702149568799</v>
      </c>
      <c r="T2955" s="72">
        <f t="shared" si="1111"/>
        <v>0.9805702149568799</v>
      </c>
      <c r="U2955" s="72">
        <f t="shared" si="1112"/>
        <v>1</v>
      </c>
    </row>
    <row r="2956" spans="1:21" x14ac:dyDescent="0.25">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0.8344857768052516</v>
      </c>
      <c r="P2956" s="72">
        <f t="shared" si="1107"/>
        <v>0.70833333333333337</v>
      </c>
      <c r="Q2956" s="72">
        <f t="shared" si="1108"/>
        <v>0.29166666666666663</v>
      </c>
      <c r="R2956" s="72">
        <f t="shared" si="1109"/>
        <v>0</v>
      </c>
      <c r="S2956" s="72">
        <f t="shared" si="1110"/>
        <v>0.98174797271206071</v>
      </c>
      <c r="T2956" s="72">
        <f t="shared" si="1111"/>
        <v>0.98174797271206071</v>
      </c>
      <c r="U2956" s="72">
        <f t="shared" si="1112"/>
        <v>1</v>
      </c>
    </row>
    <row r="2957" spans="1:21" x14ac:dyDescent="0.25">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0.83548687089715534</v>
      </c>
      <c r="P2957" s="72">
        <f t="shared" si="1107"/>
        <v>0.625</v>
      </c>
      <c r="Q2957" s="72">
        <f t="shared" si="1108"/>
        <v>0.375</v>
      </c>
      <c r="R2957" s="72">
        <f t="shared" si="1109"/>
        <v>0</v>
      </c>
      <c r="S2957" s="72">
        <f t="shared" si="1110"/>
        <v>0.98292573046724163</v>
      </c>
      <c r="T2957" s="72">
        <f t="shared" si="1111"/>
        <v>0.98292573046724163</v>
      </c>
      <c r="U2957" s="72">
        <f t="shared" si="1112"/>
        <v>1</v>
      </c>
    </row>
    <row r="2958" spans="1:21" x14ac:dyDescent="0.25">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0.83648796498905909</v>
      </c>
      <c r="P2958" s="72">
        <f t="shared" si="1107"/>
        <v>0.54166666666666663</v>
      </c>
      <c r="Q2958" s="72">
        <f t="shared" si="1108"/>
        <v>0.45833333333333337</v>
      </c>
      <c r="R2958" s="72">
        <f t="shared" si="1109"/>
        <v>0</v>
      </c>
      <c r="S2958" s="72">
        <f t="shared" si="1110"/>
        <v>0.98410348822242244</v>
      </c>
      <c r="T2958" s="72">
        <f t="shared" si="1111"/>
        <v>0.98410348822242244</v>
      </c>
      <c r="U2958" s="72">
        <f t="shared" si="1112"/>
        <v>1</v>
      </c>
    </row>
    <row r="2959" spans="1:21" x14ac:dyDescent="0.25">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0.83748905908096272</v>
      </c>
      <c r="P2959" s="72">
        <f t="shared" si="1107"/>
        <v>0.45833333333333331</v>
      </c>
      <c r="Q2959" s="72">
        <f t="shared" si="1108"/>
        <v>0.54166666666666674</v>
      </c>
      <c r="R2959" s="72">
        <f t="shared" si="1109"/>
        <v>0</v>
      </c>
      <c r="S2959" s="72">
        <f t="shared" si="1110"/>
        <v>0.98528124597760325</v>
      </c>
      <c r="T2959" s="72">
        <f t="shared" si="1111"/>
        <v>0.98528124597760325</v>
      </c>
      <c r="U2959" s="72">
        <f t="shared" si="1112"/>
        <v>1</v>
      </c>
    </row>
    <row r="2960" spans="1:21" x14ac:dyDescent="0.25">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0.83850656455142225</v>
      </c>
      <c r="P2960" s="72">
        <f t="shared" si="1107"/>
        <v>0.375</v>
      </c>
      <c r="Q2960" s="72">
        <f t="shared" si="1108"/>
        <v>0.625</v>
      </c>
      <c r="R2960" s="72">
        <f t="shared" si="1109"/>
        <v>0</v>
      </c>
      <c r="S2960" s="72">
        <f t="shared" si="1110"/>
        <v>0.98647831123696739</v>
      </c>
      <c r="T2960" s="72">
        <f t="shared" si="1111"/>
        <v>0.98647831123696739</v>
      </c>
      <c r="U2960" s="72">
        <f t="shared" si="1112"/>
        <v>1</v>
      </c>
    </row>
    <row r="2961" spans="1:21" x14ac:dyDescent="0.25">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0.83950765864332599</v>
      </c>
      <c r="P2961" s="72">
        <f t="shared" si="1107"/>
        <v>0.29166666666666669</v>
      </c>
      <c r="Q2961" s="72">
        <f t="shared" si="1108"/>
        <v>0.70833333333333326</v>
      </c>
      <c r="R2961" s="72">
        <f t="shared" si="1109"/>
        <v>0</v>
      </c>
      <c r="S2961" s="72">
        <f t="shared" si="1110"/>
        <v>0.98765606899214831</v>
      </c>
      <c r="T2961" s="72">
        <f t="shared" si="1111"/>
        <v>0.98765606899214831</v>
      </c>
      <c r="U2961" s="72">
        <f t="shared" si="1112"/>
        <v>1</v>
      </c>
    </row>
    <row r="2962" spans="1:21" x14ac:dyDescent="0.25">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0.84050875273522974</v>
      </c>
      <c r="P2962" s="72">
        <f t="shared" si="1107"/>
        <v>0.20833333333333334</v>
      </c>
      <c r="Q2962" s="72">
        <f t="shared" si="1108"/>
        <v>0.79166666666666663</v>
      </c>
      <c r="R2962" s="72">
        <f t="shared" si="1109"/>
        <v>0</v>
      </c>
      <c r="S2962" s="72">
        <f t="shared" si="1110"/>
        <v>0.98883382674732911</v>
      </c>
      <c r="T2962" s="72">
        <f t="shared" si="1111"/>
        <v>0.98883382674732911</v>
      </c>
      <c r="U2962" s="72">
        <f t="shared" si="1112"/>
        <v>1</v>
      </c>
    </row>
    <row r="2963" spans="1:21" x14ac:dyDescent="0.25">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0.84150984682713348</v>
      </c>
      <c r="P2963" s="72">
        <f t="shared" si="1107"/>
        <v>0.125</v>
      </c>
      <c r="Q2963" s="72">
        <f t="shared" si="1108"/>
        <v>0.875</v>
      </c>
      <c r="R2963" s="72">
        <f t="shared" si="1109"/>
        <v>0</v>
      </c>
      <c r="S2963" s="72">
        <f t="shared" si="1110"/>
        <v>0.99001158450251003</v>
      </c>
      <c r="T2963" s="72">
        <f t="shared" si="1111"/>
        <v>0.99001158450251003</v>
      </c>
      <c r="U2963" s="72">
        <f t="shared" si="1112"/>
        <v>1</v>
      </c>
    </row>
    <row r="2964" spans="1:21" x14ac:dyDescent="0.25">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0.84251094091903722</v>
      </c>
      <c r="P2964" s="72">
        <f t="shared" si="1107"/>
        <v>4.1666666666666664E-2</v>
      </c>
      <c r="Q2964" s="72">
        <f t="shared" si="1108"/>
        <v>0.95833333333333337</v>
      </c>
      <c r="R2964" s="72">
        <f t="shared" si="1109"/>
        <v>0</v>
      </c>
      <c r="S2964" s="72">
        <f t="shared" si="1110"/>
        <v>0.99118934225769084</v>
      </c>
      <c r="T2964" s="72">
        <f t="shared" si="1111"/>
        <v>0.99118934225769084</v>
      </c>
      <c r="U2964" s="72">
        <f t="shared" si="1112"/>
        <v>1</v>
      </c>
    </row>
    <row r="2965" spans="1:21" x14ac:dyDescent="0.25">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0.84352844638949664</v>
      </c>
      <c r="P2965" s="72">
        <f t="shared" si="1107"/>
        <v>0</v>
      </c>
      <c r="Q2965" s="72">
        <f t="shared" si="1108"/>
        <v>0.95833333333333337</v>
      </c>
      <c r="R2965" s="72">
        <f t="shared" si="1109"/>
        <v>4.166666666666663E-2</v>
      </c>
      <c r="S2965" s="72">
        <f t="shared" si="1110"/>
        <v>0.99238640751705487</v>
      </c>
      <c r="T2965" s="72">
        <f t="shared" si="1111"/>
        <v>0.97829192946325139</v>
      </c>
      <c r="U2965" s="72">
        <f t="shared" si="1112"/>
        <v>1</v>
      </c>
    </row>
    <row r="2966" spans="1:21" x14ac:dyDescent="0.25">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0.8444967177242888</v>
      </c>
      <c r="P2966" s="72">
        <f t="shared" si="1107"/>
        <v>0</v>
      </c>
      <c r="Q2966" s="72">
        <f t="shared" si="1108"/>
        <v>0.875</v>
      </c>
      <c r="R2966" s="72">
        <f t="shared" si="1109"/>
        <v>0.125</v>
      </c>
      <c r="S2966" s="72">
        <f t="shared" si="1110"/>
        <v>0.99352555026386924</v>
      </c>
      <c r="T2966" s="72">
        <f t="shared" si="1111"/>
        <v>0.97943107221006553</v>
      </c>
      <c r="U2966" s="72">
        <f t="shared" si="1112"/>
        <v>1</v>
      </c>
    </row>
    <row r="2967" spans="1:21" x14ac:dyDescent="0.25">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0.84546498905908096</v>
      </c>
      <c r="P2967" s="72">
        <f t="shared" si="1107"/>
        <v>0</v>
      </c>
      <c r="Q2967" s="72">
        <f t="shared" si="1108"/>
        <v>0.79166666666666663</v>
      </c>
      <c r="R2967" s="72">
        <f t="shared" si="1109"/>
        <v>0.20833333333333337</v>
      </c>
      <c r="S2967" s="72">
        <f t="shared" si="1110"/>
        <v>0.9946646930106835</v>
      </c>
      <c r="T2967" s="72">
        <f t="shared" si="1111"/>
        <v>0.9805702149568799</v>
      </c>
      <c r="U2967" s="72">
        <f t="shared" si="1112"/>
        <v>1</v>
      </c>
    </row>
    <row r="2968" spans="1:21" x14ac:dyDescent="0.25">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0.8464660831509847</v>
      </c>
      <c r="P2968" s="72">
        <f t="shared" si="1107"/>
        <v>0</v>
      </c>
      <c r="Q2968" s="72">
        <f t="shared" si="1108"/>
        <v>0.70833333333333337</v>
      </c>
      <c r="R2968" s="72">
        <f t="shared" si="1109"/>
        <v>0.29166666666666663</v>
      </c>
      <c r="S2968" s="72">
        <f t="shared" si="1110"/>
        <v>1.0356761487964989</v>
      </c>
      <c r="T2968" s="72">
        <f t="shared" si="1111"/>
        <v>0.98174797271206071</v>
      </c>
      <c r="U2968" s="72">
        <f t="shared" si="1112"/>
        <v>1.04</v>
      </c>
    </row>
    <row r="2969" spans="1:21" x14ac:dyDescent="0.25">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0.84746717724288834</v>
      </c>
      <c r="P2969" s="72">
        <f t="shared" si="1107"/>
        <v>0</v>
      </c>
      <c r="Q2969" s="72">
        <f t="shared" si="1108"/>
        <v>0.625</v>
      </c>
      <c r="R2969" s="72">
        <f t="shared" si="1109"/>
        <v>0.375</v>
      </c>
      <c r="S2969" s="72">
        <f t="shared" si="1110"/>
        <v>1.0369010168618868</v>
      </c>
      <c r="T2969" s="72">
        <f t="shared" si="1111"/>
        <v>0.98292573046724163</v>
      </c>
      <c r="U2969" s="72">
        <f t="shared" si="1112"/>
        <v>1.04</v>
      </c>
    </row>
    <row r="2970" spans="1:21" x14ac:dyDescent="0.25">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0.84846827133479208</v>
      </c>
      <c r="P2970" s="72">
        <f t="shared" si="1107"/>
        <v>0</v>
      </c>
      <c r="Q2970" s="72">
        <f t="shared" si="1108"/>
        <v>0.54166666666666663</v>
      </c>
      <c r="R2970" s="72">
        <f t="shared" si="1109"/>
        <v>0.45833333333333337</v>
      </c>
      <c r="S2970" s="72">
        <f t="shared" si="1110"/>
        <v>1.0381258849272752</v>
      </c>
      <c r="T2970" s="72">
        <f t="shared" si="1111"/>
        <v>0.98410348822242244</v>
      </c>
      <c r="U2970" s="72">
        <f t="shared" si="1112"/>
        <v>1.04</v>
      </c>
    </row>
    <row r="2971" spans="1:21" x14ac:dyDescent="0.25">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0.84946936542669582</v>
      </c>
      <c r="P2971" s="72">
        <f t="shared" si="1107"/>
        <v>0</v>
      </c>
      <c r="Q2971" s="72">
        <f t="shared" si="1108"/>
        <v>0.45833333333333331</v>
      </c>
      <c r="R2971" s="72">
        <f t="shared" si="1109"/>
        <v>0.54166666666666674</v>
      </c>
      <c r="S2971" s="72">
        <f t="shared" si="1110"/>
        <v>1.0393507529926631</v>
      </c>
      <c r="T2971" s="72">
        <f t="shared" si="1111"/>
        <v>0.98528124597760325</v>
      </c>
      <c r="U2971" s="72">
        <f t="shared" si="1112"/>
        <v>1.04</v>
      </c>
    </row>
    <row r="2972" spans="1:21" x14ac:dyDescent="0.25">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0.85048687089715536</v>
      </c>
      <c r="P2972" s="72">
        <f t="shared" si="1107"/>
        <v>0</v>
      </c>
      <c r="Q2972" s="72">
        <f t="shared" si="1108"/>
        <v>0.375</v>
      </c>
      <c r="R2972" s="72">
        <f t="shared" si="1109"/>
        <v>0.625</v>
      </c>
      <c r="S2972" s="72">
        <f t="shared" si="1110"/>
        <v>1.0405957008624018</v>
      </c>
      <c r="T2972" s="72">
        <f t="shared" si="1111"/>
        <v>0.98647831123696739</v>
      </c>
      <c r="U2972" s="72">
        <f t="shared" si="1112"/>
        <v>1.04</v>
      </c>
    </row>
    <row r="2973" spans="1:21" x14ac:dyDescent="0.25">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0.8514879649890591</v>
      </c>
      <c r="P2973" s="72">
        <f t="shared" si="1107"/>
        <v>0</v>
      </c>
      <c r="Q2973" s="72">
        <f t="shared" si="1108"/>
        <v>0.29166666666666669</v>
      </c>
      <c r="R2973" s="72">
        <f t="shared" si="1109"/>
        <v>0.70833333333333326</v>
      </c>
      <c r="S2973" s="72">
        <f t="shared" si="1110"/>
        <v>1.0418205689277902</v>
      </c>
      <c r="T2973" s="72">
        <f t="shared" si="1111"/>
        <v>0.98765606899214831</v>
      </c>
      <c r="U2973" s="72">
        <f t="shared" si="1112"/>
        <v>1.04</v>
      </c>
    </row>
    <row r="2974" spans="1:21" x14ac:dyDescent="0.25">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0.85248905908096273</v>
      </c>
      <c r="P2974" s="72">
        <f t="shared" si="1107"/>
        <v>0</v>
      </c>
      <c r="Q2974" s="72">
        <f t="shared" si="1108"/>
        <v>0.20833333333333334</v>
      </c>
      <c r="R2974" s="72">
        <f t="shared" si="1109"/>
        <v>0.79166666666666663</v>
      </c>
      <c r="S2974" s="72">
        <f t="shared" si="1110"/>
        <v>1.0430454369931779</v>
      </c>
      <c r="T2974" s="72">
        <f t="shared" si="1111"/>
        <v>0.98883382674732911</v>
      </c>
      <c r="U2974" s="72">
        <f t="shared" si="1112"/>
        <v>1.04</v>
      </c>
    </row>
    <row r="2975" spans="1:21" x14ac:dyDescent="0.25">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0.85349015317286647</v>
      </c>
      <c r="P2975" s="72">
        <f t="shared" si="1107"/>
        <v>0</v>
      </c>
      <c r="Q2975" s="72">
        <f t="shared" si="1108"/>
        <v>0.125</v>
      </c>
      <c r="R2975" s="72">
        <f t="shared" si="1109"/>
        <v>0.875</v>
      </c>
      <c r="S2975" s="72">
        <f t="shared" si="1110"/>
        <v>1.0442703050585662</v>
      </c>
      <c r="T2975" s="72">
        <f t="shared" si="1111"/>
        <v>0.99001158450251003</v>
      </c>
      <c r="U2975" s="72">
        <f t="shared" si="1112"/>
        <v>1.04</v>
      </c>
    </row>
    <row r="2976" spans="1:21" x14ac:dyDescent="0.25">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0.85449124726477022</v>
      </c>
      <c r="P2976" s="72">
        <f t="shared" si="1107"/>
        <v>0</v>
      </c>
      <c r="Q2976" s="72">
        <f t="shared" si="1108"/>
        <v>4.1666666666666664E-2</v>
      </c>
      <c r="R2976" s="72">
        <f t="shared" si="1109"/>
        <v>0.95833333333333337</v>
      </c>
      <c r="S2976" s="72">
        <f t="shared" si="1110"/>
        <v>1.0454951731239543</v>
      </c>
      <c r="T2976" s="72">
        <f t="shared" si="1111"/>
        <v>0.99118934225769084</v>
      </c>
      <c r="U2976" s="72">
        <f t="shared" si="1112"/>
        <v>1.04</v>
      </c>
    </row>
    <row r="2977" spans="1:21" x14ac:dyDescent="0.25">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0.85499999999999998</v>
      </c>
      <c r="P2977" s="72">
        <f t="shared" si="1107"/>
        <v>0</v>
      </c>
      <c r="Q2977" s="72">
        <f t="shared" si="1108"/>
        <v>0</v>
      </c>
      <c r="R2977" s="72">
        <f t="shared" si="1109"/>
        <v>0.95833333333333337</v>
      </c>
      <c r="S2977" s="72">
        <f t="shared" si="1110"/>
        <v>1.0461176470588236</v>
      </c>
      <c r="T2977" s="72">
        <f t="shared" si="1111"/>
        <v>0.97829192946325139</v>
      </c>
      <c r="U2977" s="72">
        <f t="shared" si="1112"/>
        <v>1.04</v>
      </c>
    </row>
    <row r="2978" spans="1:21" x14ac:dyDescent="0.25">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0.85499999999999998</v>
      </c>
      <c r="P2978" s="72">
        <f t="shared" si="1107"/>
        <v>0</v>
      </c>
      <c r="Q2978" s="72">
        <f t="shared" si="1108"/>
        <v>0</v>
      </c>
      <c r="R2978" s="72">
        <f t="shared" si="1109"/>
        <v>0.875</v>
      </c>
      <c r="S2978" s="72">
        <f t="shared" si="1110"/>
        <v>1.0461176470588236</v>
      </c>
      <c r="T2978" s="72">
        <f t="shared" si="1111"/>
        <v>0.97943107221006553</v>
      </c>
      <c r="U2978" s="72">
        <f t="shared" si="1112"/>
        <v>1.04</v>
      </c>
    </row>
    <row r="2979" spans="1:21" x14ac:dyDescent="0.25">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0.85499999999999998</v>
      </c>
      <c r="P2979" s="72">
        <f t="shared" si="1107"/>
        <v>0</v>
      </c>
      <c r="Q2979" s="72">
        <f t="shared" si="1108"/>
        <v>0</v>
      </c>
      <c r="R2979" s="72">
        <f t="shared" si="1109"/>
        <v>0.79166666666666663</v>
      </c>
      <c r="S2979" s="72">
        <f t="shared" si="1110"/>
        <v>1.0461176470588236</v>
      </c>
      <c r="T2979" s="72">
        <f t="shared" si="1111"/>
        <v>0.9805702149568799</v>
      </c>
      <c r="U2979" s="72">
        <f t="shared" si="1112"/>
        <v>1.04</v>
      </c>
    </row>
    <row r="2980" spans="1:21" x14ac:dyDescent="0.25">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0.85499999999999998</v>
      </c>
      <c r="P2980" s="72">
        <f t="shared" si="1107"/>
        <v>0</v>
      </c>
      <c r="Q2980" s="72">
        <f t="shared" si="1108"/>
        <v>0</v>
      </c>
      <c r="R2980" s="72">
        <f t="shared" si="1109"/>
        <v>0.70833333333333337</v>
      </c>
      <c r="S2980" s="72">
        <f t="shared" si="1110"/>
        <v>1.0461176470588236</v>
      </c>
      <c r="T2980" s="72">
        <f t="shared" si="1111"/>
        <v>0.98174797271206071</v>
      </c>
      <c r="U2980" s="72">
        <f t="shared" si="1112"/>
        <v>1.04</v>
      </c>
    </row>
    <row r="2981" spans="1:21" x14ac:dyDescent="0.25">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0.85499999999999998</v>
      </c>
      <c r="P2981" s="72">
        <f t="shared" si="1107"/>
        <v>0</v>
      </c>
      <c r="Q2981" s="72">
        <f t="shared" si="1108"/>
        <v>0</v>
      </c>
      <c r="R2981" s="72">
        <f t="shared" si="1109"/>
        <v>0.625</v>
      </c>
      <c r="S2981" s="72">
        <f t="shared" si="1110"/>
        <v>1.0461176470588236</v>
      </c>
      <c r="T2981" s="72">
        <f t="shared" si="1111"/>
        <v>0.98292573046724163</v>
      </c>
      <c r="U2981" s="72">
        <f t="shared" si="1112"/>
        <v>1.04</v>
      </c>
    </row>
    <row r="2982" spans="1:21" x14ac:dyDescent="0.25">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0.85499999999999998</v>
      </c>
      <c r="P2982" s="72">
        <f t="shared" si="1107"/>
        <v>0</v>
      </c>
      <c r="Q2982" s="72">
        <f t="shared" si="1108"/>
        <v>0</v>
      </c>
      <c r="R2982" s="72">
        <f t="shared" si="1109"/>
        <v>0.54166666666666663</v>
      </c>
      <c r="S2982" s="72">
        <f t="shared" si="1110"/>
        <v>1.0461176470588236</v>
      </c>
      <c r="T2982" s="72">
        <f t="shared" si="1111"/>
        <v>0.98410348822242244</v>
      </c>
      <c r="U2982" s="72">
        <f t="shared" si="1112"/>
        <v>1.04</v>
      </c>
    </row>
    <row r="2983" spans="1:21" x14ac:dyDescent="0.25">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0.85499999999999998</v>
      </c>
      <c r="P2983" s="72">
        <f t="shared" si="1107"/>
        <v>0</v>
      </c>
      <c r="Q2983" s="72">
        <f t="shared" si="1108"/>
        <v>0</v>
      </c>
      <c r="R2983" s="72">
        <f t="shared" si="1109"/>
        <v>0.45833333333333331</v>
      </c>
      <c r="S2983" s="72">
        <f t="shared" si="1110"/>
        <v>1.0461176470588236</v>
      </c>
      <c r="T2983" s="72">
        <f t="shared" si="1111"/>
        <v>0.98528124597760325</v>
      </c>
      <c r="U2983" s="72">
        <f t="shared" si="1112"/>
        <v>1.04</v>
      </c>
    </row>
    <row r="2984" spans="1:21" x14ac:dyDescent="0.25">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0.85499999999999998</v>
      </c>
      <c r="P2984" s="72">
        <f t="shared" si="1107"/>
        <v>0</v>
      </c>
      <c r="Q2984" s="72">
        <f t="shared" si="1108"/>
        <v>0</v>
      </c>
      <c r="R2984" s="72">
        <f t="shared" si="1109"/>
        <v>0.375</v>
      </c>
      <c r="S2984" s="72">
        <f t="shared" si="1110"/>
        <v>1.0461176470588236</v>
      </c>
      <c r="T2984" s="72">
        <f t="shared" si="1111"/>
        <v>0.98647831123696739</v>
      </c>
      <c r="U2984" s="72">
        <f t="shared" si="1112"/>
        <v>1.04</v>
      </c>
    </row>
    <row r="2985" spans="1:21" x14ac:dyDescent="0.25">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0.85499999999999998</v>
      </c>
      <c r="P2985" s="72">
        <f t="shared" si="1107"/>
        <v>0</v>
      </c>
      <c r="Q2985" s="72">
        <f t="shared" si="1108"/>
        <v>0</v>
      </c>
      <c r="R2985" s="72">
        <f t="shared" si="1109"/>
        <v>0.29166666666666669</v>
      </c>
      <c r="S2985" s="72">
        <f t="shared" si="1110"/>
        <v>1.0461176470588236</v>
      </c>
      <c r="T2985" s="72">
        <f t="shared" si="1111"/>
        <v>0.98765606899214831</v>
      </c>
      <c r="U2985" s="72">
        <f t="shared" si="1112"/>
        <v>1.04</v>
      </c>
    </row>
    <row r="2986" spans="1:21" x14ac:dyDescent="0.25">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0.85499999999999998</v>
      </c>
      <c r="P2986" s="72">
        <f t="shared" si="1107"/>
        <v>0</v>
      </c>
      <c r="Q2986" s="72">
        <f t="shared" si="1108"/>
        <v>0</v>
      </c>
      <c r="R2986" s="72">
        <f t="shared" si="1109"/>
        <v>0.20833333333333334</v>
      </c>
      <c r="S2986" s="72">
        <f t="shared" si="1110"/>
        <v>1.0461176470588236</v>
      </c>
      <c r="T2986" s="72">
        <f t="shared" si="1111"/>
        <v>0.98883382674732911</v>
      </c>
      <c r="U2986" s="72">
        <f t="shared" si="1112"/>
        <v>1.04</v>
      </c>
    </row>
    <row r="2987" spans="1:21" x14ac:dyDescent="0.25">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0.85499999999999998</v>
      </c>
      <c r="P2987" s="72">
        <f t="shared" si="1107"/>
        <v>0</v>
      </c>
      <c r="Q2987" s="72">
        <f t="shared" si="1108"/>
        <v>0</v>
      </c>
      <c r="R2987" s="72">
        <f t="shared" si="1109"/>
        <v>0.125</v>
      </c>
      <c r="S2987" s="72">
        <f t="shared" si="1110"/>
        <v>1.0461176470588236</v>
      </c>
      <c r="T2987" s="72">
        <f t="shared" si="1111"/>
        <v>0.99001158450251003</v>
      </c>
      <c r="U2987" s="72">
        <f t="shared" si="1112"/>
        <v>1.04</v>
      </c>
    </row>
    <row r="2988" spans="1:21" x14ac:dyDescent="0.25">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0.85499999999999998</v>
      </c>
      <c r="P2988" s="72">
        <f t="shared" si="1107"/>
        <v>0</v>
      </c>
      <c r="Q2988" s="72">
        <f t="shared" si="1108"/>
        <v>0</v>
      </c>
      <c r="R2988" s="72">
        <f t="shared" si="1109"/>
        <v>4.1666666666666664E-2</v>
      </c>
      <c r="S2988" s="72">
        <f t="shared" si="1110"/>
        <v>1.0461176470588236</v>
      </c>
      <c r="T2988" s="72">
        <f t="shared" si="1111"/>
        <v>0.99118934225769084</v>
      </c>
      <c r="U2988" s="72">
        <f t="shared" si="1112"/>
        <v>1.04</v>
      </c>
    </row>
    <row r="2989" spans="1:21" x14ac:dyDescent="0.25">
      <c r="A2989" s="77" t="s">
        <v>1209</v>
      </c>
      <c r="B2989" s="50">
        <f>EXP(SUMPRODUCT((rl_key=$A$2938)*(rl_cons="Y")*rl_ln1p))</f>
        <v>1</v>
      </c>
      <c r="C2989" s="50">
        <f>SUMPRODUCT($H$2941:$H$2988,$P$2941:$P$2988,$U$2941:$U$2988)/SUMPRODUCT($H$2941:$H$2988,$P$2941:$P$2988)</f>
        <v>1</v>
      </c>
      <c r="D2989" s="50">
        <f>SUMPRODUCT($H$2941:$H$2988,$Q$2941:$Q$2988,$U$2941:$U$2988)/SUMPRODUCT($H$2941:$H$2988,$Q$2941:$Q$2988)</f>
        <v>1.01125</v>
      </c>
      <c r="E2989" s="50">
        <f>SUMPRODUCT($H$2941:$H$2988,$R$2941:$R$2988,$U$2941:$U$2988)/SUMPRODUCT($H$2941:$H$2988,$R$2941:$R$2988)</f>
        <v>1.0387500000000001</v>
      </c>
      <c r="F2989" s="169">
        <f>SUMPRODUCT($H$2941:$H$2988,$Q$2941:$Q$2988,$O$2941:$O$2988)/SUMPRODUCT($H$2941:$H$2988,$Q$2941:$Q$2988)</f>
        <v>0.84299370897155379</v>
      </c>
      <c r="G2989" s="169">
        <f>SUMPRODUCT($H$2941:$H$2988,$R$2941:$R$2988,$O$2941:$O$2988)/SUMPRODUCT($H$2941:$H$2988,$R$2941:$R$2988)</f>
        <v>0.85298453455506928</v>
      </c>
    </row>
    <row r="2992" spans="1:21" x14ac:dyDescent="0.25">
      <c r="A2992" s="77" t="str">
        <f>INDEX(lr_key,55)</f>
        <v>BU-C|MN</v>
      </c>
      <c r="B2992" s="77" t="str">
        <f>INDEX(lr_state,55)</f>
        <v>MN</v>
      </c>
      <c r="C2992" s="52">
        <f>nr_TermMonths</f>
        <v>12</v>
      </c>
      <c r="D2992" s="52">
        <f>IF(COUNTIF(se_state,$B2992)=0,0,MATCH($B2992,se_state,0))</f>
        <v>0</v>
      </c>
      <c r="E2992" s="54">
        <f>IF($D2992=0,0,INDEX(se_sum,$D2992))</f>
        <v>0</v>
      </c>
      <c r="F2992" s="169">
        <f>IF(N(INDEX(lr_mind,55))=0,1,INDEX(lr_mind,55))</f>
        <v>0.85</v>
      </c>
      <c r="G2992" s="169">
        <f>IF(N(INDEX(lr_m0,55))=0,1,INDEX(lr_m0,55))</f>
        <v>0.84</v>
      </c>
      <c r="H2992" s="51">
        <f>IF(N(INDEX(lr_m0asof,55))=0,DATE(nr_PlanYear-1,10,1),INDEX(lr_m0asof,55))</f>
        <v>46295</v>
      </c>
      <c r="I2992" s="169">
        <f>IF(N(INDEX(lr_m1,55))=0,1,INDEX(lr_m1,55))</f>
        <v>0.83499999999999996</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25">
      <c r="A2993" s="77">
        <f>EDATE($H$2992,-12)+1</f>
        <v>45931</v>
      </c>
      <c r="B2993" s="77">
        <f>$H$2992+1</f>
        <v>46296</v>
      </c>
      <c r="C2993" s="77">
        <f>DATE(nr_PlanYear,12,31)+1</f>
        <v>46753</v>
      </c>
      <c r="D2993" s="77">
        <f>DATE(nr_PlanYear+1,12,31)+1</f>
        <v>47119</v>
      </c>
      <c r="E2993" s="77">
        <f>IF(N($J$2992)=0,$F$2993-($G$2993-$F$2993)/($C$2993-$B$2993)*($B$2993-$A$2993),$J$2992)</f>
        <v>0.84399343544857763</v>
      </c>
      <c r="F2993" s="77">
        <f>$G$2992</f>
        <v>0.84</v>
      </c>
      <c r="G2993" s="77">
        <f>$I$2992</f>
        <v>0.83499999999999996</v>
      </c>
      <c r="H2993" s="77">
        <f>IF(N($K$2992)=0,$I$2992,$K$2992)</f>
        <v>0.83499999999999996</v>
      </c>
      <c r="I2993" s="77">
        <f>($F$2993-$E$2993)/($B$2993-$A$2993)</f>
        <v>-1.0940919037199081E-5</v>
      </c>
      <c r="J2993" s="77">
        <f>($G$2993-$F$2993)/($C$2993-$B$2993)</f>
        <v>-1.0940919037199135E-5</v>
      </c>
      <c r="K2993" s="77">
        <f>($H$2993-$G$2993)/($D$2993-$C$2993)</f>
        <v>0</v>
      </c>
    </row>
    <row r="2994" spans="1:21" ht="24" x14ac:dyDescent="0.25">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25">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0.84681072210065644</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0.99624790835371346</v>
      </c>
      <c r="T2995" s="72">
        <f t="shared" ref="T2995:T3042" si="1131">IF($G2995&lt;nr_MStartP,$S2995,$T2983*(1+IF($G2995&lt;nr_MStartP1,$M$2992,$N$2992)))</f>
        <v>0.99624790835371346</v>
      </c>
      <c r="U2995" s="72">
        <f t="shared" ref="U2995:U3042" si="1132">IF($L$2992,$T2995,$N2995)</f>
        <v>1</v>
      </c>
    </row>
    <row r="2996" spans="1:21" x14ac:dyDescent="0.25">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0.84648796498905898</v>
      </c>
      <c r="P2996" s="72">
        <f t="shared" si="1127"/>
        <v>0.125</v>
      </c>
      <c r="Q2996" s="72">
        <f t="shared" si="1128"/>
        <v>0</v>
      </c>
      <c r="R2996" s="72">
        <f t="shared" si="1129"/>
        <v>0</v>
      </c>
      <c r="S2996" s="72">
        <f t="shared" si="1130"/>
        <v>0.99586819410477534</v>
      </c>
      <c r="T2996" s="72">
        <f t="shared" si="1131"/>
        <v>0.99586819410477534</v>
      </c>
      <c r="U2996" s="72">
        <f t="shared" si="1132"/>
        <v>1</v>
      </c>
    </row>
    <row r="2997" spans="1:21" x14ac:dyDescent="0.25">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0.84616520787746163</v>
      </c>
      <c r="P2997" s="72">
        <f t="shared" si="1127"/>
        <v>0.20833333333333337</v>
      </c>
      <c r="Q2997" s="72">
        <f t="shared" si="1128"/>
        <v>0</v>
      </c>
      <c r="R2997" s="72">
        <f t="shared" si="1129"/>
        <v>0</v>
      </c>
      <c r="S2997" s="72">
        <f t="shared" si="1130"/>
        <v>0.99548847985583722</v>
      </c>
      <c r="T2997" s="72">
        <f t="shared" si="1131"/>
        <v>0.99548847985583722</v>
      </c>
      <c r="U2997" s="72">
        <f t="shared" si="1132"/>
        <v>1</v>
      </c>
    </row>
    <row r="2998" spans="1:21" x14ac:dyDescent="0.25">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0.84583150984682709</v>
      </c>
      <c r="P2998" s="72">
        <f t="shared" si="1127"/>
        <v>0.29166666666666663</v>
      </c>
      <c r="Q2998" s="72">
        <f t="shared" si="1128"/>
        <v>0</v>
      </c>
      <c r="R2998" s="72">
        <f t="shared" si="1129"/>
        <v>0</v>
      </c>
      <c r="S2998" s="72">
        <f t="shared" si="1130"/>
        <v>0.99509589393744369</v>
      </c>
      <c r="T2998" s="72">
        <f t="shared" si="1131"/>
        <v>0.99509589393744369</v>
      </c>
      <c r="U2998" s="72">
        <f t="shared" si="1132"/>
        <v>1</v>
      </c>
    </row>
    <row r="2999" spans="1:21" x14ac:dyDescent="0.25">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0.84549781181619255</v>
      </c>
      <c r="P2999" s="72">
        <f t="shared" si="1127"/>
        <v>0.375</v>
      </c>
      <c r="Q2999" s="72">
        <f t="shared" si="1128"/>
        <v>0</v>
      </c>
      <c r="R2999" s="72">
        <f t="shared" si="1129"/>
        <v>0</v>
      </c>
      <c r="S2999" s="72">
        <f t="shared" si="1130"/>
        <v>0.99470330801905005</v>
      </c>
      <c r="T2999" s="72">
        <f t="shared" si="1131"/>
        <v>0.99470330801905005</v>
      </c>
      <c r="U2999" s="72">
        <f t="shared" si="1132"/>
        <v>1</v>
      </c>
    </row>
    <row r="3000" spans="1:21" x14ac:dyDescent="0.25">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0.84516411378555789</v>
      </c>
      <c r="P3000" s="72">
        <f t="shared" si="1127"/>
        <v>0.45833333333333337</v>
      </c>
      <c r="Q3000" s="72">
        <f t="shared" si="1128"/>
        <v>0</v>
      </c>
      <c r="R3000" s="72">
        <f t="shared" si="1129"/>
        <v>0</v>
      </c>
      <c r="S3000" s="72">
        <f t="shared" si="1130"/>
        <v>0.99431072210065641</v>
      </c>
      <c r="T3000" s="72">
        <f t="shared" si="1131"/>
        <v>0.99431072210065641</v>
      </c>
      <c r="U3000" s="72">
        <f t="shared" si="1132"/>
        <v>1</v>
      </c>
    </row>
    <row r="3001" spans="1:21" x14ac:dyDescent="0.25">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0.84483041575492335</v>
      </c>
      <c r="P3001" s="72">
        <f t="shared" si="1127"/>
        <v>0.54166666666666674</v>
      </c>
      <c r="Q3001" s="72">
        <f t="shared" si="1128"/>
        <v>0</v>
      </c>
      <c r="R3001" s="72">
        <f t="shared" si="1129"/>
        <v>0</v>
      </c>
      <c r="S3001" s="72">
        <f t="shared" si="1130"/>
        <v>0.99391813618226277</v>
      </c>
      <c r="T3001" s="72">
        <f t="shared" si="1131"/>
        <v>0.99391813618226277</v>
      </c>
      <c r="U3001" s="72">
        <f t="shared" si="1132"/>
        <v>1</v>
      </c>
    </row>
    <row r="3002" spans="1:21" x14ac:dyDescent="0.25">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0.84449124726477021</v>
      </c>
      <c r="P3002" s="72">
        <f t="shared" si="1127"/>
        <v>0.625</v>
      </c>
      <c r="Q3002" s="72">
        <f t="shared" si="1128"/>
        <v>0</v>
      </c>
      <c r="R3002" s="72">
        <f t="shared" si="1129"/>
        <v>0</v>
      </c>
      <c r="S3002" s="72">
        <f t="shared" si="1130"/>
        <v>0.99351911442914143</v>
      </c>
      <c r="T3002" s="72">
        <f t="shared" si="1131"/>
        <v>0.99351911442914143</v>
      </c>
      <c r="U3002" s="72">
        <f t="shared" si="1132"/>
        <v>1</v>
      </c>
    </row>
    <row r="3003" spans="1:21" x14ac:dyDescent="0.25">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0.84415754923413566</v>
      </c>
      <c r="P3003" s="72">
        <f t="shared" si="1127"/>
        <v>0.70833333333333326</v>
      </c>
      <c r="Q3003" s="72">
        <f t="shared" si="1128"/>
        <v>0</v>
      </c>
      <c r="R3003" s="72">
        <f t="shared" si="1129"/>
        <v>0</v>
      </c>
      <c r="S3003" s="72">
        <f t="shared" si="1130"/>
        <v>0.9931265285107479</v>
      </c>
      <c r="T3003" s="72">
        <f t="shared" si="1131"/>
        <v>0.9931265285107479</v>
      </c>
      <c r="U3003" s="72">
        <f t="shared" si="1132"/>
        <v>1</v>
      </c>
    </row>
    <row r="3004" spans="1:21" x14ac:dyDescent="0.25">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0.84382385120350101</v>
      </c>
      <c r="P3004" s="72">
        <f t="shared" si="1127"/>
        <v>0.79166666666666663</v>
      </c>
      <c r="Q3004" s="72">
        <f t="shared" si="1128"/>
        <v>0</v>
      </c>
      <c r="R3004" s="72">
        <f t="shared" si="1129"/>
        <v>0</v>
      </c>
      <c r="S3004" s="72">
        <f t="shared" si="1130"/>
        <v>0.99273394259235415</v>
      </c>
      <c r="T3004" s="72">
        <f t="shared" si="1131"/>
        <v>0.99273394259235415</v>
      </c>
      <c r="U3004" s="72">
        <f t="shared" si="1132"/>
        <v>1</v>
      </c>
    </row>
    <row r="3005" spans="1:21" x14ac:dyDescent="0.25">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0.84349015317286646</v>
      </c>
      <c r="P3005" s="72">
        <f t="shared" si="1127"/>
        <v>0.875</v>
      </c>
      <c r="Q3005" s="72">
        <f t="shared" si="1128"/>
        <v>0</v>
      </c>
      <c r="R3005" s="72">
        <f t="shared" si="1129"/>
        <v>0</v>
      </c>
      <c r="S3005" s="72">
        <f t="shared" si="1130"/>
        <v>0.99234135667396062</v>
      </c>
      <c r="T3005" s="72">
        <f t="shared" si="1131"/>
        <v>0.99234135667396062</v>
      </c>
      <c r="U3005" s="72">
        <f t="shared" si="1132"/>
        <v>1</v>
      </c>
    </row>
    <row r="3006" spans="1:21" x14ac:dyDescent="0.25">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0.84315645514223192</v>
      </c>
      <c r="P3006" s="72">
        <f t="shared" si="1127"/>
        <v>0.95833333333333337</v>
      </c>
      <c r="Q3006" s="72">
        <f t="shared" si="1128"/>
        <v>0</v>
      </c>
      <c r="R3006" s="72">
        <f t="shared" si="1129"/>
        <v>0</v>
      </c>
      <c r="S3006" s="72">
        <f t="shared" si="1130"/>
        <v>0.99194877075556698</v>
      </c>
      <c r="T3006" s="72">
        <f t="shared" si="1131"/>
        <v>0.99194877075556698</v>
      </c>
      <c r="U3006" s="72">
        <f t="shared" si="1132"/>
        <v>1</v>
      </c>
    </row>
    <row r="3007" spans="1:21" x14ac:dyDescent="0.25">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0.84281728665207878</v>
      </c>
      <c r="P3007" s="72">
        <f t="shared" si="1127"/>
        <v>0.95833333333333337</v>
      </c>
      <c r="Q3007" s="72">
        <f t="shared" si="1128"/>
        <v>4.166666666666663E-2</v>
      </c>
      <c r="R3007" s="72">
        <f t="shared" si="1129"/>
        <v>0</v>
      </c>
      <c r="S3007" s="72">
        <f t="shared" si="1130"/>
        <v>0.99154974900244564</v>
      </c>
      <c r="T3007" s="72">
        <f t="shared" si="1131"/>
        <v>0.99154974900244564</v>
      </c>
      <c r="U3007" s="72">
        <f t="shared" si="1132"/>
        <v>1</v>
      </c>
    </row>
    <row r="3008" spans="1:21" x14ac:dyDescent="0.25">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0.84249452954048132</v>
      </c>
      <c r="P3008" s="72">
        <f t="shared" si="1127"/>
        <v>0.875</v>
      </c>
      <c r="Q3008" s="72">
        <f t="shared" si="1128"/>
        <v>0.125</v>
      </c>
      <c r="R3008" s="72">
        <f t="shared" si="1129"/>
        <v>0</v>
      </c>
      <c r="S3008" s="72">
        <f t="shared" si="1130"/>
        <v>0.99117003475350751</v>
      </c>
      <c r="T3008" s="72">
        <f t="shared" si="1131"/>
        <v>0.99117003475350751</v>
      </c>
      <c r="U3008" s="72">
        <f t="shared" si="1132"/>
        <v>1</v>
      </c>
    </row>
    <row r="3009" spans="1:21" x14ac:dyDescent="0.25">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0.84217177242888397</v>
      </c>
      <c r="P3009" s="72">
        <f t="shared" si="1127"/>
        <v>0.79166666666666663</v>
      </c>
      <c r="Q3009" s="72">
        <f t="shared" si="1128"/>
        <v>0.20833333333333337</v>
      </c>
      <c r="R3009" s="72">
        <f t="shared" si="1129"/>
        <v>0</v>
      </c>
      <c r="S3009" s="72">
        <f t="shared" si="1130"/>
        <v>0.99079032050456939</v>
      </c>
      <c r="T3009" s="72">
        <f t="shared" si="1131"/>
        <v>0.99079032050456939</v>
      </c>
      <c r="U3009" s="72">
        <f t="shared" si="1132"/>
        <v>1</v>
      </c>
    </row>
    <row r="3010" spans="1:21" x14ac:dyDescent="0.25">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0.84183807439824943</v>
      </c>
      <c r="P3010" s="72">
        <f t="shared" si="1127"/>
        <v>0.70833333333333337</v>
      </c>
      <c r="Q3010" s="72">
        <f t="shared" si="1128"/>
        <v>0.29166666666666663</v>
      </c>
      <c r="R3010" s="72">
        <f t="shared" si="1129"/>
        <v>0</v>
      </c>
      <c r="S3010" s="72">
        <f t="shared" si="1130"/>
        <v>0.99039773458617586</v>
      </c>
      <c r="T3010" s="72">
        <f t="shared" si="1131"/>
        <v>0.99039773458617586</v>
      </c>
      <c r="U3010" s="72">
        <f t="shared" si="1132"/>
        <v>1</v>
      </c>
    </row>
    <row r="3011" spans="1:21" x14ac:dyDescent="0.25">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0.84150437636761488</v>
      </c>
      <c r="P3011" s="72">
        <f t="shared" si="1127"/>
        <v>0.625</v>
      </c>
      <c r="Q3011" s="72">
        <f t="shared" si="1128"/>
        <v>0.375</v>
      </c>
      <c r="R3011" s="72">
        <f t="shared" si="1129"/>
        <v>0</v>
      </c>
      <c r="S3011" s="72">
        <f t="shared" si="1130"/>
        <v>0.99000514866778222</v>
      </c>
      <c r="T3011" s="72">
        <f t="shared" si="1131"/>
        <v>0.99000514866778222</v>
      </c>
      <c r="U3011" s="72">
        <f t="shared" si="1132"/>
        <v>1</v>
      </c>
    </row>
    <row r="3012" spans="1:21" x14ac:dyDescent="0.25">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0.84117067833698023</v>
      </c>
      <c r="P3012" s="72">
        <f t="shared" si="1127"/>
        <v>0.54166666666666663</v>
      </c>
      <c r="Q3012" s="72">
        <f t="shared" si="1128"/>
        <v>0.45833333333333337</v>
      </c>
      <c r="R3012" s="72">
        <f t="shared" si="1129"/>
        <v>0</v>
      </c>
      <c r="S3012" s="72">
        <f t="shared" si="1130"/>
        <v>0.98961256274938858</v>
      </c>
      <c r="T3012" s="72">
        <f t="shared" si="1131"/>
        <v>0.98961256274938858</v>
      </c>
      <c r="U3012" s="72">
        <f t="shared" si="1132"/>
        <v>1</v>
      </c>
    </row>
    <row r="3013" spans="1:21" x14ac:dyDescent="0.25">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0.84083698030634568</v>
      </c>
      <c r="P3013" s="72">
        <f t="shared" si="1127"/>
        <v>0.45833333333333331</v>
      </c>
      <c r="Q3013" s="72">
        <f t="shared" si="1128"/>
        <v>0.54166666666666674</v>
      </c>
      <c r="R3013" s="72">
        <f t="shared" si="1129"/>
        <v>0</v>
      </c>
      <c r="S3013" s="72">
        <f t="shared" si="1130"/>
        <v>1.0485731754408547</v>
      </c>
      <c r="T3013" s="72">
        <f t="shared" si="1131"/>
        <v>1.0485731754408547</v>
      </c>
      <c r="U3013" s="72">
        <f t="shared" si="1132"/>
        <v>1.06</v>
      </c>
    </row>
    <row r="3014" spans="1:21" x14ac:dyDescent="0.25">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0.84049781181619254</v>
      </c>
      <c r="P3014" s="72">
        <f t="shared" si="1127"/>
        <v>0.375</v>
      </c>
      <c r="Q3014" s="72">
        <f t="shared" si="1128"/>
        <v>0.625</v>
      </c>
      <c r="R3014" s="72">
        <f t="shared" si="1129"/>
        <v>0</v>
      </c>
      <c r="S3014" s="72">
        <f t="shared" si="1130"/>
        <v>1.0481502123825461</v>
      </c>
      <c r="T3014" s="72">
        <f t="shared" si="1131"/>
        <v>1.0481502123825461</v>
      </c>
      <c r="U3014" s="72">
        <f t="shared" si="1132"/>
        <v>1.06</v>
      </c>
    </row>
    <row r="3015" spans="1:21" x14ac:dyDescent="0.25">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0.840164113785558</v>
      </c>
      <c r="P3015" s="72">
        <f t="shared" si="1127"/>
        <v>0.29166666666666669</v>
      </c>
      <c r="Q3015" s="72">
        <f t="shared" si="1128"/>
        <v>0.70833333333333326</v>
      </c>
      <c r="R3015" s="72">
        <f t="shared" si="1129"/>
        <v>0</v>
      </c>
      <c r="S3015" s="72">
        <f t="shared" si="1130"/>
        <v>1.0477340713090488</v>
      </c>
      <c r="T3015" s="72">
        <f t="shared" si="1131"/>
        <v>1.0477340713090488</v>
      </c>
      <c r="U3015" s="72">
        <f t="shared" si="1132"/>
        <v>1.06</v>
      </c>
    </row>
    <row r="3016" spans="1:21" x14ac:dyDescent="0.25">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0.83983041575492334</v>
      </c>
      <c r="P3016" s="72">
        <f t="shared" si="1127"/>
        <v>0.20833333333333334</v>
      </c>
      <c r="Q3016" s="72">
        <f t="shared" si="1128"/>
        <v>0.79166666666666663</v>
      </c>
      <c r="R3016" s="72">
        <f t="shared" si="1129"/>
        <v>0</v>
      </c>
      <c r="S3016" s="72">
        <f t="shared" si="1130"/>
        <v>1.0473179302355515</v>
      </c>
      <c r="T3016" s="72">
        <f t="shared" si="1131"/>
        <v>1.0473179302355515</v>
      </c>
      <c r="U3016" s="72">
        <f t="shared" si="1132"/>
        <v>1.06</v>
      </c>
    </row>
    <row r="3017" spans="1:21" x14ac:dyDescent="0.25">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0.8394967177242888</v>
      </c>
      <c r="P3017" s="72">
        <f t="shared" si="1127"/>
        <v>0.125</v>
      </c>
      <c r="Q3017" s="72">
        <f t="shared" si="1128"/>
        <v>0.875</v>
      </c>
      <c r="R3017" s="72">
        <f t="shared" si="1129"/>
        <v>0</v>
      </c>
      <c r="S3017" s="72">
        <f t="shared" si="1130"/>
        <v>1.0469017891620542</v>
      </c>
      <c r="T3017" s="72">
        <f t="shared" si="1131"/>
        <v>1.0469017891620542</v>
      </c>
      <c r="U3017" s="72">
        <f t="shared" si="1132"/>
        <v>1.06</v>
      </c>
    </row>
    <row r="3018" spans="1:21" x14ac:dyDescent="0.25">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0.83916301969365426</v>
      </c>
      <c r="P3018" s="72">
        <f t="shared" si="1127"/>
        <v>4.1666666666666664E-2</v>
      </c>
      <c r="Q3018" s="72">
        <f t="shared" si="1128"/>
        <v>0.95833333333333337</v>
      </c>
      <c r="R3018" s="72">
        <f t="shared" si="1129"/>
        <v>0</v>
      </c>
      <c r="S3018" s="72">
        <f t="shared" si="1130"/>
        <v>1.0464856480885572</v>
      </c>
      <c r="T3018" s="72">
        <f t="shared" si="1131"/>
        <v>1.0464856480885572</v>
      </c>
      <c r="U3018" s="72">
        <f t="shared" si="1132"/>
        <v>1.06</v>
      </c>
    </row>
    <row r="3019" spans="1:21" x14ac:dyDescent="0.25">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0.83882385120350111</v>
      </c>
      <c r="P3019" s="72">
        <f t="shared" si="1127"/>
        <v>0</v>
      </c>
      <c r="Q3019" s="72">
        <f t="shared" si="1128"/>
        <v>0.95833333333333337</v>
      </c>
      <c r="R3019" s="72">
        <f t="shared" si="1129"/>
        <v>4.166666666666663E-2</v>
      </c>
      <c r="S3019" s="72">
        <f t="shared" si="1130"/>
        <v>1.0460626850302486</v>
      </c>
      <c r="T3019" s="72">
        <f t="shared" si="1131"/>
        <v>0.99154974900244564</v>
      </c>
      <c r="U3019" s="72">
        <f t="shared" si="1132"/>
        <v>1.06</v>
      </c>
    </row>
    <row r="3020" spans="1:21" x14ac:dyDescent="0.25">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0.83850109409190365</v>
      </c>
      <c r="P3020" s="72">
        <f t="shared" si="1127"/>
        <v>0</v>
      </c>
      <c r="Q3020" s="72">
        <f t="shared" si="1128"/>
        <v>0.875</v>
      </c>
      <c r="R3020" s="72">
        <f t="shared" si="1129"/>
        <v>0.125</v>
      </c>
      <c r="S3020" s="72">
        <f t="shared" si="1130"/>
        <v>1.0456601879263741</v>
      </c>
      <c r="T3020" s="72">
        <f t="shared" si="1131"/>
        <v>0.99117003475350751</v>
      </c>
      <c r="U3020" s="72">
        <f t="shared" si="1132"/>
        <v>1.06</v>
      </c>
    </row>
    <row r="3021" spans="1:21" x14ac:dyDescent="0.25">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0.8381783369803063</v>
      </c>
      <c r="P3021" s="72">
        <f t="shared" si="1127"/>
        <v>0</v>
      </c>
      <c r="Q3021" s="72">
        <f t="shared" si="1128"/>
        <v>0.79166666666666663</v>
      </c>
      <c r="R3021" s="72">
        <f t="shared" si="1129"/>
        <v>0.20833333333333337</v>
      </c>
      <c r="S3021" s="72">
        <f t="shared" si="1130"/>
        <v>1.0452576908224998</v>
      </c>
      <c r="T3021" s="72">
        <f t="shared" si="1131"/>
        <v>0.99079032050456939</v>
      </c>
      <c r="U3021" s="72">
        <f t="shared" si="1132"/>
        <v>1.06</v>
      </c>
    </row>
    <row r="3022" spans="1:21" x14ac:dyDescent="0.25">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0.83784463894967176</v>
      </c>
      <c r="P3022" s="72">
        <f t="shared" si="1127"/>
        <v>0</v>
      </c>
      <c r="Q3022" s="72">
        <f t="shared" si="1128"/>
        <v>0.70833333333333337</v>
      </c>
      <c r="R3022" s="72">
        <f t="shared" si="1129"/>
        <v>0.29166666666666663</v>
      </c>
      <c r="S3022" s="72">
        <f t="shared" si="1130"/>
        <v>1.0448415497490027</v>
      </c>
      <c r="T3022" s="72">
        <f t="shared" si="1131"/>
        <v>0.99039773458617586</v>
      </c>
      <c r="U3022" s="72">
        <f t="shared" si="1132"/>
        <v>1.06</v>
      </c>
    </row>
    <row r="3023" spans="1:21" x14ac:dyDescent="0.25">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0.83751094091903722</v>
      </c>
      <c r="P3023" s="72">
        <f t="shared" si="1127"/>
        <v>0</v>
      </c>
      <c r="Q3023" s="72">
        <f t="shared" si="1128"/>
        <v>0.625</v>
      </c>
      <c r="R3023" s="72">
        <f t="shared" si="1129"/>
        <v>0.375</v>
      </c>
      <c r="S3023" s="72">
        <f t="shared" si="1130"/>
        <v>1.0444254086755054</v>
      </c>
      <c r="T3023" s="72">
        <f t="shared" si="1131"/>
        <v>0.99000514866778222</v>
      </c>
      <c r="U3023" s="72">
        <f t="shared" si="1132"/>
        <v>1.06</v>
      </c>
    </row>
    <row r="3024" spans="1:21" x14ac:dyDescent="0.25">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0.83717724288840256</v>
      </c>
      <c r="P3024" s="72">
        <f t="shared" si="1127"/>
        <v>0</v>
      </c>
      <c r="Q3024" s="72">
        <f t="shared" si="1128"/>
        <v>0.54166666666666663</v>
      </c>
      <c r="R3024" s="72">
        <f t="shared" si="1129"/>
        <v>0.45833333333333337</v>
      </c>
      <c r="S3024" s="72">
        <f t="shared" si="1130"/>
        <v>1.0440092676020079</v>
      </c>
      <c r="T3024" s="72">
        <f t="shared" si="1131"/>
        <v>0.98961256274938858</v>
      </c>
      <c r="U3024" s="72">
        <f t="shared" si="1132"/>
        <v>1.06</v>
      </c>
    </row>
    <row r="3025" spans="1:21" x14ac:dyDescent="0.25">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0.83684354485776802</v>
      </c>
      <c r="P3025" s="72">
        <f t="shared" si="1127"/>
        <v>0</v>
      </c>
      <c r="Q3025" s="72">
        <f t="shared" si="1128"/>
        <v>0.45833333333333331</v>
      </c>
      <c r="R3025" s="72">
        <f t="shared" si="1129"/>
        <v>0.54166666666666674</v>
      </c>
      <c r="S3025" s="72">
        <f t="shared" si="1130"/>
        <v>1.0435931265285108</v>
      </c>
      <c r="T3025" s="72">
        <f t="shared" si="1131"/>
        <v>1.0485731754408547</v>
      </c>
      <c r="U3025" s="72">
        <f t="shared" si="1132"/>
        <v>1.06</v>
      </c>
    </row>
    <row r="3026" spans="1:21" x14ac:dyDescent="0.25">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0.83650437636761488</v>
      </c>
      <c r="P3026" s="72">
        <f t="shared" si="1127"/>
        <v>0</v>
      </c>
      <c r="Q3026" s="72">
        <f t="shared" si="1128"/>
        <v>0.375</v>
      </c>
      <c r="R3026" s="72">
        <f t="shared" si="1129"/>
        <v>0.625</v>
      </c>
      <c r="S3026" s="72">
        <f t="shared" si="1130"/>
        <v>1.0431701634702022</v>
      </c>
      <c r="T3026" s="72">
        <f t="shared" si="1131"/>
        <v>1.0481502123825461</v>
      </c>
      <c r="U3026" s="72">
        <f t="shared" si="1132"/>
        <v>1.06</v>
      </c>
    </row>
    <row r="3027" spans="1:21" x14ac:dyDescent="0.25">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0.83617067833698022</v>
      </c>
      <c r="P3027" s="72">
        <f t="shared" si="1127"/>
        <v>0</v>
      </c>
      <c r="Q3027" s="72">
        <f t="shared" si="1128"/>
        <v>0.29166666666666669</v>
      </c>
      <c r="R3027" s="72">
        <f t="shared" si="1129"/>
        <v>0.70833333333333326</v>
      </c>
      <c r="S3027" s="72">
        <f t="shared" si="1130"/>
        <v>1.0427540223967049</v>
      </c>
      <c r="T3027" s="72">
        <f t="shared" si="1131"/>
        <v>1.0477340713090488</v>
      </c>
      <c r="U3027" s="72">
        <f t="shared" si="1132"/>
        <v>1.06</v>
      </c>
    </row>
    <row r="3028" spans="1:21" x14ac:dyDescent="0.25">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0.83583698030634568</v>
      </c>
      <c r="P3028" s="72">
        <f t="shared" si="1127"/>
        <v>0</v>
      </c>
      <c r="Q3028" s="72">
        <f t="shared" si="1128"/>
        <v>0.20833333333333334</v>
      </c>
      <c r="R3028" s="72">
        <f t="shared" si="1129"/>
        <v>0.79166666666666663</v>
      </c>
      <c r="S3028" s="72">
        <f t="shared" si="1130"/>
        <v>1.0423378813232076</v>
      </c>
      <c r="T3028" s="72">
        <f t="shared" si="1131"/>
        <v>1.0473179302355515</v>
      </c>
      <c r="U3028" s="72">
        <f t="shared" si="1132"/>
        <v>1.06</v>
      </c>
    </row>
    <row r="3029" spans="1:21" x14ac:dyDescent="0.25">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0.83550328227571113</v>
      </c>
      <c r="P3029" s="72">
        <f t="shared" si="1127"/>
        <v>0</v>
      </c>
      <c r="Q3029" s="72">
        <f t="shared" si="1128"/>
        <v>0.125</v>
      </c>
      <c r="R3029" s="72">
        <f t="shared" si="1129"/>
        <v>0.875</v>
      </c>
      <c r="S3029" s="72">
        <f t="shared" si="1130"/>
        <v>1.0419217402497103</v>
      </c>
      <c r="T3029" s="72">
        <f t="shared" si="1131"/>
        <v>1.0469017891620542</v>
      </c>
      <c r="U3029" s="72">
        <f t="shared" si="1132"/>
        <v>1.06</v>
      </c>
    </row>
    <row r="3030" spans="1:21" x14ac:dyDescent="0.25">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0.83516958424507659</v>
      </c>
      <c r="P3030" s="72">
        <f t="shared" si="1127"/>
        <v>0</v>
      </c>
      <c r="Q3030" s="72">
        <f t="shared" si="1128"/>
        <v>4.1666666666666664E-2</v>
      </c>
      <c r="R3030" s="72">
        <f t="shared" si="1129"/>
        <v>0.95833333333333337</v>
      </c>
      <c r="S3030" s="72">
        <f t="shared" si="1130"/>
        <v>1.0415055991762132</v>
      </c>
      <c r="T3030" s="72">
        <f t="shared" si="1131"/>
        <v>1.0464856480885572</v>
      </c>
      <c r="U3030" s="72">
        <f t="shared" si="1132"/>
        <v>1.06</v>
      </c>
    </row>
    <row r="3031" spans="1:21" x14ac:dyDescent="0.25">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0.83499999999999996</v>
      </c>
      <c r="P3031" s="72">
        <f t="shared" si="1127"/>
        <v>0</v>
      </c>
      <c r="Q3031" s="72">
        <f t="shared" si="1128"/>
        <v>0</v>
      </c>
      <c r="R3031" s="72">
        <f t="shared" si="1129"/>
        <v>0.95833333333333337</v>
      </c>
      <c r="S3031" s="72">
        <f t="shared" si="1130"/>
        <v>1.0412941176470589</v>
      </c>
      <c r="T3031" s="72">
        <f t="shared" si="1131"/>
        <v>0.99154974900244564</v>
      </c>
      <c r="U3031" s="72">
        <f t="shared" si="1132"/>
        <v>1.06</v>
      </c>
    </row>
    <row r="3032" spans="1:21" x14ac:dyDescent="0.25">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0.83499999999999996</v>
      </c>
      <c r="P3032" s="72">
        <f t="shared" si="1127"/>
        <v>0</v>
      </c>
      <c r="Q3032" s="72">
        <f t="shared" si="1128"/>
        <v>0</v>
      </c>
      <c r="R3032" s="72">
        <f t="shared" si="1129"/>
        <v>0.875</v>
      </c>
      <c r="S3032" s="72">
        <f t="shared" si="1130"/>
        <v>1.0412941176470589</v>
      </c>
      <c r="T3032" s="72">
        <f t="shared" si="1131"/>
        <v>0.99117003475350751</v>
      </c>
      <c r="U3032" s="72">
        <f t="shared" si="1132"/>
        <v>1.06</v>
      </c>
    </row>
    <row r="3033" spans="1:21" x14ac:dyDescent="0.25">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0.83499999999999996</v>
      </c>
      <c r="P3033" s="72">
        <f t="shared" si="1127"/>
        <v>0</v>
      </c>
      <c r="Q3033" s="72">
        <f t="shared" si="1128"/>
        <v>0</v>
      </c>
      <c r="R3033" s="72">
        <f t="shared" si="1129"/>
        <v>0.79166666666666663</v>
      </c>
      <c r="S3033" s="72">
        <f t="shared" si="1130"/>
        <v>1.0412941176470589</v>
      </c>
      <c r="T3033" s="72">
        <f t="shared" si="1131"/>
        <v>0.99079032050456939</v>
      </c>
      <c r="U3033" s="72">
        <f t="shared" si="1132"/>
        <v>1.06</v>
      </c>
    </row>
    <row r="3034" spans="1:21" x14ac:dyDescent="0.25">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0.83499999999999996</v>
      </c>
      <c r="P3034" s="72">
        <f t="shared" si="1127"/>
        <v>0</v>
      </c>
      <c r="Q3034" s="72">
        <f t="shared" si="1128"/>
        <v>0</v>
      </c>
      <c r="R3034" s="72">
        <f t="shared" si="1129"/>
        <v>0.70833333333333337</v>
      </c>
      <c r="S3034" s="72">
        <f t="shared" si="1130"/>
        <v>1.0412941176470589</v>
      </c>
      <c r="T3034" s="72">
        <f t="shared" si="1131"/>
        <v>0.99039773458617586</v>
      </c>
      <c r="U3034" s="72">
        <f t="shared" si="1132"/>
        <v>1.06</v>
      </c>
    </row>
    <row r="3035" spans="1:21" x14ac:dyDescent="0.25">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0.83499999999999996</v>
      </c>
      <c r="P3035" s="72">
        <f t="shared" si="1127"/>
        <v>0</v>
      </c>
      <c r="Q3035" s="72">
        <f t="shared" si="1128"/>
        <v>0</v>
      </c>
      <c r="R3035" s="72">
        <f t="shared" si="1129"/>
        <v>0.625</v>
      </c>
      <c r="S3035" s="72">
        <f t="shared" si="1130"/>
        <v>1.0412941176470589</v>
      </c>
      <c r="T3035" s="72">
        <f t="shared" si="1131"/>
        <v>0.99000514866778222</v>
      </c>
      <c r="U3035" s="72">
        <f t="shared" si="1132"/>
        <v>1.06</v>
      </c>
    </row>
    <row r="3036" spans="1:21" x14ac:dyDescent="0.25">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0.83499999999999996</v>
      </c>
      <c r="P3036" s="72">
        <f t="shared" si="1127"/>
        <v>0</v>
      </c>
      <c r="Q3036" s="72">
        <f t="shared" si="1128"/>
        <v>0</v>
      </c>
      <c r="R3036" s="72">
        <f t="shared" si="1129"/>
        <v>0.54166666666666663</v>
      </c>
      <c r="S3036" s="72">
        <f t="shared" si="1130"/>
        <v>1.0412941176470589</v>
      </c>
      <c r="T3036" s="72">
        <f t="shared" si="1131"/>
        <v>0.98961256274938858</v>
      </c>
      <c r="U3036" s="72">
        <f t="shared" si="1132"/>
        <v>1.06</v>
      </c>
    </row>
    <row r="3037" spans="1:21" x14ac:dyDescent="0.25">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0.83499999999999996</v>
      </c>
      <c r="P3037" s="72">
        <f t="shared" si="1127"/>
        <v>0</v>
      </c>
      <c r="Q3037" s="72">
        <f t="shared" si="1128"/>
        <v>0</v>
      </c>
      <c r="R3037" s="72">
        <f t="shared" si="1129"/>
        <v>0.45833333333333331</v>
      </c>
      <c r="S3037" s="72">
        <f t="shared" si="1130"/>
        <v>1.0412941176470589</v>
      </c>
      <c r="T3037" s="72">
        <f t="shared" si="1131"/>
        <v>1.0485731754408547</v>
      </c>
      <c r="U3037" s="72">
        <f t="shared" si="1132"/>
        <v>1.06</v>
      </c>
    </row>
    <row r="3038" spans="1:21" x14ac:dyDescent="0.25">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0.83499999999999996</v>
      </c>
      <c r="P3038" s="72">
        <f t="shared" si="1127"/>
        <v>0</v>
      </c>
      <c r="Q3038" s="72">
        <f t="shared" si="1128"/>
        <v>0</v>
      </c>
      <c r="R3038" s="72">
        <f t="shared" si="1129"/>
        <v>0.375</v>
      </c>
      <c r="S3038" s="72">
        <f t="shared" si="1130"/>
        <v>1.0412941176470589</v>
      </c>
      <c r="T3038" s="72">
        <f t="shared" si="1131"/>
        <v>1.0481502123825461</v>
      </c>
      <c r="U3038" s="72">
        <f t="shared" si="1132"/>
        <v>1.06</v>
      </c>
    </row>
    <row r="3039" spans="1:21" x14ac:dyDescent="0.25">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0.83499999999999996</v>
      </c>
      <c r="P3039" s="72">
        <f t="shared" si="1127"/>
        <v>0</v>
      </c>
      <c r="Q3039" s="72">
        <f t="shared" si="1128"/>
        <v>0</v>
      </c>
      <c r="R3039" s="72">
        <f t="shared" si="1129"/>
        <v>0.29166666666666669</v>
      </c>
      <c r="S3039" s="72">
        <f t="shared" si="1130"/>
        <v>1.0412941176470589</v>
      </c>
      <c r="T3039" s="72">
        <f t="shared" si="1131"/>
        <v>1.0477340713090488</v>
      </c>
      <c r="U3039" s="72">
        <f t="shared" si="1132"/>
        <v>1.06</v>
      </c>
    </row>
    <row r="3040" spans="1:21" x14ac:dyDescent="0.25">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0.83499999999999996</v>
      </c>
      <c r="P3040" s="72">
        <f t="shared" si="1127"/>
        <v>0</v>
      </c>
      <c r="Q3040" s="72">
        <f t="shared" si="1128"/>
        <v>0</v>
      </c>
      <c r="R3040" s="72">
        <f t="shared" si="1129"/>
        <v>0.20833333333333334</v>
      </c>
      <c r="S3040" s="72">
        <f t="shared" si="1130"/>
        <v>1.0412941176470589</v>
      </c>
      <c r="T3040" s="72">
        <f t="shared" si="1131"/>
        <v>1.0473179302355515</v>
      </c>
      <c r="U3040" s="72">
        <f t="shared" si="1132"/>
        <v>1.06</v>
      </c>
    </row>
    <row r="3041" spans="1:21" x14ac:dyDescent="0.25">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0.83499999999999996</v>
      </c>
      <c r="P3041" s="72">
        <f t="shared" si="1127"/>
        <v>0</v>
      </c>
      <c r="Q3041" s="72">
        <f t="shared" si="1128"/>
        <v>0</v>
      </c>
      <c r="R3041" s="72">
        <f t="shared" si="1129"/>
        <v>0.125</v>
      </c>
      <c r="S3041" s="72">
        <f t="shared" si="1130"/>
        <v>1.0412941176470589</v>
      </c>
      <c r="T3041" s="72">
        <f t="shared" si="1131"/>
        <v>1.0469017891620542</v>
      </c>
      <c r="U3041" s="72">
        <f t="shared" si="1132"/>
        <v>1.06</v>
      </c>
    </row>
    <row r="3042" spans="1:21" x14ac:dyDescent="0.25">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0.83499999999999996</v>
      </c>
      <c r="P3042" s="72">
        <f t="shared" si="1127"/>
        <v>0</v>
      </c>
      <c r="Q3042" s="72">
        <f t="shared" si="1128"/>
        <v>0</v>
      </c>
      <c r="R3042" s="72">
        <f t="shared" si="1129"/>
        <v>4.1666666666666664E-2</v>
      </c>
      <c r="S3042" s="72">
        <f t="shared" si="1130"/>
        <v>1.0412941176470589</v>
      </c>
      <c r="T3042" s="72">
        <f t="shared" si="1131"/>
        <v>1.0464856480885572</v>
      </c>
      <c r="U3042" s="72">
        <f t="shared" si="1132"/>
        <v>1.06</v>
      </c>
    </row>
    <row r="3043" spans="1:21" x14ac:dyDescent="0.25">
      <c r="A3043" s="77" t="s">
        <v>1209</v>
      </c>
      <c r="B3043" s="50">
        <f>EXP(SUMPRODUCT((rl_key=$A$2992)*(rl_cons="Y")*rl_ln1p))</f>
        <v>1.06</v>
      </c>
      <c r="C3043" s="50">
        <f>SUMPRODUCT($H$2995:$H$3042,$P$2995:$P$3042,$U$2995:$U$3042)/SUMPRODUCT($H$2995:$H$3042,$P$2995:$P$3042)</f>
        <v>1.0075000000000001</v>
      </c>
      <c r="D3043" s="50">
        <f>SUMPRODUCT($H$2995:$H$3042,$Q$2995:$Q$3042,$U$2995:$U$3042)/SUMPRODUCT($H$2995:$H$3042,$Q$2995:$Q$3042)</f>
        <v>1.0525000000000002</v>
      </c>
      <c r="E3043" s="50">
        <f>SUMPRODUCT($H$2995:$H$3042,$R$2995:$R$3042,$U$2995:$U$3042)/SUMPRODUCT($H$2995:$H$3042,$R$2995:$R$3042)</f>
        <v>1.0600000000000003</v>
      </c>
      <c r="F3043" s="169">
        <f>SUMPRODUCT($H$2995:$H$3042,$Q$2995:$Q$3042,$O$2995:$O$3042)/SUMPRODUCT($H$2995:$H$3042,$Q$2995:$Q$3042)</f>
        <v>0.83900209700948214</v>
      </c>
      <c r="G3043" s="169">
        <f>SUMPRODUCT($H$2995:$H$3042,$R$2995:$R$3042,$O$2995:$O$3042)/SUMPRODUCT($H$2995:$H$3042,$R$2995:$R$3042)</f>
        <v>0.8356718218149769</v>
      </c>
    </row>
    <row r="3046" spans="1:21" x14ac:dyDescent="0.25">
      <c r="A3046" s="77" t="str">
        <f>INDEX(lr_key,56)</f>
        <v>BU-C|MO</v>
      </c>
      <c r="B3046" s="77" t="str">
        <f>INDEX(lr_state,56)</f>
        <v>MO</v>
      </c>
      <c r="C3046" s="52">
        <f>nr_TermMonths</f>
        <v>12</v>
      </c>
      <c r="D3046" s="52">
        <f>IF(COUNTIF(se_state,$B3046)=0,0,MATCH($B3046,se_state,0))</f>
        <v>0</v>
      </c>
      <c r="E3046" s="54">
        <f>IF($D3046=0,0,INDEX(se_sum,$D3046))</f>
        <v>0</v>
      </c>
      <c r="F3046" s="169">
        <f>IF(N(INDEX(lr_mind,56))=0,1,INDEX(lr_mind,56))</f>
        <v>0.85</v>
      </c>
      <c r="G3046" s="169">
        <f>IF(N(INDEX(lr_m0,56))=0,1,INDEX(lr_m0,56))</f>
        <v>0.84</v>
      </c>
      <c r="H3046" s="51">
        <f>IF(N(INDEX(lr_m0asof,56))=0,DATE(nr_PlanYear-1,10,1),INDEX(lr_m0asof,56))</f>
        <v>46295</v>
      </c>
      <c r="I3046" s="169">
        <f>IF(N(INDEX(lr_m1,56))=0,1,INDEX(lr_m1,56))</f>
        <v>0.85</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25">
      <c r="A3047" s="77">
        <f>EDATE($H$3046,-12)+1</f>
        <v>45931</v>
      </c>
      <c r="B3047" s="77">
        <f>$H$3046+1</f>
        <v>46296</v>
      </c>
      <c r="C3047" s="77">
        <f>DATE(nr_PlanYear,12,31)+1</f>
        <v>46753</v>
      </c>
      <c r="D3047" s="77">
        <f>DATE(nr_PlanYear+1,12,31)+1</f>
        <v>47119</v>
      </c>
      <c r="E3047" s="77">
        <f>IF(N($J$3046)=0,$F$3047-($G$3047-$F$3047)/($C$3047-$B$3047)*($B$3047-$A$3047),$J$3046)</f>
        <v>0.83201312910284464</v>
      </c>
      <c r="F3047" s="77">
        <f>$G$3046</f>
        <v>0.84</v>
      </c>
      <c r="G3047" s="77">
        <f>$I$3046</f>
        <v>0.85</v>
      </c>
      <c r="H3047" s="77">
        <f>IF(N($K$3046)=0,$I$3046,$K$3046)</f>
        <v>0.85</v>
      </c>
      <c r="I3047" s="77">
        <f>($F$3047-$E$3047)/($B$3047-$A$3047)</f>
        <v>2.1881838074398162E-5</v>
      </c>
      <c r="J3047" s="77">
        <f>($G$3047-$F$3047)/($C$3047-$B$3047)</f>
        <v>2.188183807439827E-5</v>
      </c>
      <c r="K3047" s="77">
        <f>($H$3047-$G$3047)/($D$3047-$C$3047)</f>
        <v>0</v>
      </c>
    </row>
    <row r="3048" spans="1:21" ht="24" x14ac:dyDescent="0.25">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25">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0.82637855579868713</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0.97221006564551427</v>
      </c>
      <c r="T3049" s="72">
        <f t="shared" ref="T3049:T3096" si="1151">IF($G3049&lt;nr_MStartP,$S3049,$T3037*(1+IF($G3049&lt;nr_MStartP1,$M$3046,$N$3046)))</f>
        <v>0.97221006564551427</v>
      </c>
      <c r="U3049" s="72">
        <f t="shared" ref="U3049:U3096" si="1152">IF($L$3046,$T3049,$N3049)</f>
        <v>1</v>
      </c>
    </row>
    <row r="3050" spans="1:21" x14ac:dyDescent="0.25">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0.82702407002188183</v>
      </c>
      <c r="P3050" s="72">
        <f t="shared" si="1147"/>
        <v>0.125</v>
      </c>
      <c r="Q3050" s="72">
        <f t="shared" si="1148"/>
        <v>0</v>
      </c>
      <c r="R3050" s="72">
        <f t="shared" si="1149"/>
        <v>0</v>
      </c>
      <c r="S3050" s="72">
        <f t="shared" si="1150"/>
        <v>0.9729694941433904</v>
      </c>
      <c r="T3050" s="72">
        <f t="shared" si="1151"/>
        <v>0.9729694941433904</v>
      </c>
      <c r="U3050" s="72">
        <f t="shared" si="1152"/>
        <v>1</v>
      </c>
    </row>
    <row r="3051" spans="1:21" x14ac:dyDescent="0.25">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0.82766958424507664</v>
      </c>
      <c r="P3051" s="72">
        <f t="shared" si="1147"/>
        <v>0.20833333333333337</v>
      </c>
      <c r="Q3051" s="72">
        <f t="shared" si="1148"/>
        <v>0</v>
      </c>
      <c r="R3051" s="72">
        <f t="shared" si="1149"/>
        <v>0</v>
      </c>
      <c r="S3051" s="72">
        <f t="shared" si="1150"/>
        <v>0.97372892264126665</v>
      </c>
      <c r="T3051" s="72">
        <f t="shared" si="1151"/>
        <v>0.97372892264126665</v>
      </c>
      <c r="U3051" s="72">
        <f t="shared" si="1152"/>
        <v>1</v>
      </c>
    </row>
    <row r="3052" spans="1:21" x14ac:dyDescent="0.25">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0.82833698030634573</v>
      </c>
      <c r="P3052" s="72">
        <f t="shared" si="1147"/>
        <v>0.29166666666666663</v>
      </c>
      <c r="Q3052" s="72">
        <f t="shared" si="1148"/>
        <v>0</v>
      </c>
      <c r="R3052" s="72">
        <f t="shared" si="1149"/>
        <v>0</v>
      </c>
      <c r="S3052" s="72">
        <f t="shared" si="1150"/>
        <v>0.97451409447805382</v>
      </c>
      <c r="T3052" s="72">
        <f t="shared" si="1151"/>
        <v>0.97451409447805382</v>
      </c>
      <c r="U3052" s="72">
        <f t="shared" si="1152"/>
        <v>1</v>
      </c>
    </row>
    <row r="3053" spans="1:21" x14ac:dyDescent="0.25">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0.82900437636761493</v>
      </c>
      <c r="P3053" s="72">
        <f t="shared" si="1147"/>
        <v>0.375</v>
      </c>
      <c r="Q3053" s="72">
        <f t="shared" si="1148"/>
        <v>0</v>
      </c>
      <c r="R3053" s="72">
        <f t="shared" si="1149"/>
        <v>0</v>
      </c>
      <c r="S3053" s="72">
        <f t="shared" si="1150"/>
        <v>0.9752992663148411</v>
      </c>
      <c r="T3053" s="72">
        <f t="shared" si="1151"/>
        <v>0.9752992663148411</v>
      </c>
      <c r="U3053" s="72">
        <f t="shared" si="1152"/>
        <v>1</v>
      </c>
    </row>
    <row r="3054" spans="1:21" x14ac:dyDescent="0.25">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0.82967177242888401</v>
      </c>
      <c r="P3054" s="72">
        <f t="shared" si="1147"/>
        <v>0.45833333333333337</v>
      </c>
      <c r="Q3054" s="72">
        <f t="shared" si="1148"/>
        <v>0</v>
      </c>
      <c r="R3054" s="72">
        <f t="shared" si="1149"/>
        <v>0</v>
      </c>
      <c r="S3054" s="72">
        <f t="shared" si="1150"/>
        <v>0.97608443815162826</v>
      </c>
      <c r="T3054" s="72">
        <f t="shared" si="1151"/>
        <v>0.97608443815162826</v>
      </c>
      <c r="U3054" s="72">
        <f t="shared" si="1152"/>
        <v>1</v>
      </c>
    </row>
    <row r="3055" spans="1:21" x14ac:dyDescent="0.25">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0.83033916849015321</v>
      </c>
      <c r="P3055" s="72">
        <f t="shared" si="1147"/>
        <v>0.54166666666666674</v>
      </c>
      <c r="Q3055" s="72">
        <f t="shared" si="1148"/>
        <v>0</v>
      </c>
      <c r="R3055" s="72">
        <f t="shared" si="1149"/>
        <v>0</v>
      </c>
      <c r="S3055" s="72">
        <f t="shared" si="1150"/>
        <v>0.97686960998841554</v>
      </c>
      <c r="T3055" s="72">
        <f t="shared" si="1151"/>
        <v>0.97686960998841554</v>
      </c>
      <c r="U3055" s="72">
        <f t="shared" si="1152"/>
        <v>1</v>
      </c>
    </row>
    <row r="3056" spans="1:21" x14ac:dyDescent="0.25">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0.83101750547045949</v>
      </c>
      <c r="P3056" s="72">
        <f t="shared" si="1147"/>
        <v>0.625</v>
      </c>
      <c r="Q3056" s="72">
        <f t="shared" si="1148"/>
        <v>0</v>
      </c>
      <c r="R3056" s="72">
        <f t="shared" si="1149"/>
        <v>0</v>
      </c>
      <c r="S3056" s="72">
        <f t="shared" si="1150"/>
        <v>0.97766765349465823</v>
      </c>
      <c r="T3056" s="72">
        <f t="shared" si="1151"/>
        <v>0.97766765349465823</v>
      </c>
      <c r="U3056" s="72">
        <f t="shared" si="1152"/>
        <v>1</v>
      </c>
    </row>
    <row r="3057" spans="1:21" x14ac:dyDescent="0.25">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0.83168490153172869</v>
      </c>
      <c r="P3057" s="72">
        <f t="shared" si="1147"/>
        <v>0.70833333333333326</v>
      </c>
      <c r="Q3057" s="72">
        <f t="shared" si="1148"/>
        <v>0</v>
      </c>
      <c r="R3057" s="72">
        <f t="shared" si="1149"/>
        <v>0</v>
      </c>
      <c r="S3057" s="72">
        <f t="shared" si="1150"/>
        <v>0.97845282533144551</v>
      </c>
      <c r="T3057" s="72">
        <f t="shared" si="1151"/>
        <v>0.97845282533144551</v>
      </c>
      <c r="U3057" s="72">
        <f t="shared" si="1152"/>
        <v>1</v>
      </c>
    </row>
    <row r="3058" spans="1:21" x14ac:dyDescent="0.25">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0.83235229759299778</v>
      </c>
      <c r="P3058" s="72">
        <f t="shared" si="1147"/>
        <v>0.79166666666666663</v>
      </c>
      <c r="Q3058" s="72">
        <f t="shared" si="1148"/>
        <v>0</v>
      </c>
      <c r="R3058" s="72">
        <f t="shared" si="1149"/>
        <v>0</v>
      </c>
      <c r="S3058" s="72">
        <f t="shared" si="1150"/>
        <v>0.97923799716823268</v>
      </c>
      <c r="T3058" s="72">
        <f t="shared" si="1151"/>
        <v>0.97923799716823268</v>
      </c>
      <c r="U3058" s="72">
        <f t="shared" si="1152"/>
        <v>1</v>
      </c>
    </row>
    <row r="3059" spans="1:21" x14ac:dyDescent="0.25">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0.83301969365426698</v>
      </c>
      <c r="P3059" s="72">
        <f t="shared" si="1147"/>
        <v>0.875</v>
      </c>
      <c r="Q3059" s="72">
        <f t="shared" si="1148"/>
        <v>0</v>
      </c>
      <c r="R3059" s="72">
        <f t="shared" si="1149"/>
        <v>0</v>
      </c>
      <c r="S3059" s="72">
        <f t="shared" si="1150"/>
        <v>0.98002316900501996</v>
      </c>
      <c r="T3059" s="72">
        <f t="shared" si="1151"/>
        <v>0.98002316900501996</v>
      </c>
      <c r="U3059" s="72">
        <f t="shared" si="1152"/>
        <v>1</v>
      </c>
    </row>
    <row r="3060" spans="1:21" x14ac:dyDescent="0.25">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0.83368708971553607</v>
      </c>
      <c r="P3060" s="72">
        <f t="shared" si="1147"/>
        <v>0.95833333333333337</v>
      </c>
      <c r="Q3060" s="72">
        <f t="shared" si="1148"/>
        <v>0</v>
      </c>
      <c r="R3060" s="72">
        <f t="shared" si="1149"/>
        <v>0</v>
      </c>
      <c r="S3060" s="72">
        <f t="shared" si="1150"/>
        <v>0.98080834084180712</v>
      </c>
      <c r="T3060" s="72">
        <f t="shared" si="1151"/>
        <v>0.98080834084180712</v>
      </c>
      <c r="U3060" s="72">
        <f t="shared" si="1152"/>
        <v>1</v>
      </c>
    </row>
    <row r="3061" spans="1:21" x14ac:dyDescent="0.25">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0.83436542669584246</v>
      </c>
      <c r="P3061" s="72">
        <f t="shared" si="1147"/>
        <v>0.95833333333333337</v>
      </c>
      <c r="Q3061" s="72">
        <f t="shared" si="1148"/>
        <v>4.166666666666663E-2</v>
      </c>
      <c r="R3061" s="72">
        <f t="shared" si="1149"/>
        <v>0</v>
      </c>
      <c r="S3061" s="72">
        <f t="shared" si="1150"/>
        <v>0.98160638434805003</v>
      </c>
      <c r="T3061" s="72">
        <f t="shared" si="1151"/>
        <v>0.98160638434805003</v>
      </c>
      <c r="U3061" s="72">
        <f t="shared" si="1152"/>
        <v>1</v>
      </c>
    </row>
    <row r="3062" spans="1:21" x14ac:dyDescent="0.25">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0.83501094091903716</v>
      </c>
      <c r="P3062" s="72">
        <f t="shared" si="1147"/>
        <v>0.875</v>
      </c>
      <c r="Q3062" s="72">
        <f t="shared" si="1148"/>
        <v>0.125</v>
      </c>
      <c r="R3062" s="72">
        <f t="shared" si="1149"/>
        <v>0</v>
      </c>
      <c r="S3062" s="72">
        <f t="shared" si="1150"/>
        <v>0.98236581284592606</v>
      </c>
      <c r="T3062" s="72">
        <f t="shared" si="1151"/>
        <v>0.98236581284592606</v>
      </c>
      <c r="U3062" s="72">
        <f t="shared" si="1152"/>
        <v>1</v>
      </c>
    </row>
    <row r="3063" spans="1:21" x14ac:dyDescent="0.25">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0.83565645514223197</v>
      </c>
      <c r="P3063" s="72">
        <f t="shared" si="1147"/>
        <v>0.79166666666666663</v>
      </c>
      <c r="Q3063" s="72">
        <f t="shared" si="1148"/>
        <v>0.20833333333333337</v>
      </c>
      <c r="R3063" s="72">
        <f t="shared" si="1149"/>
        <v>0</v>
      </c>
      <c r="S3063" s="72">
        <f t="shared" si="1150"/>
        <v>0.9831252413438023</v>
      </c>
      <c r="T3063" s="72">
        <f t="shared" si="1151"/>
        <v>0.9831252413438023</v>
      </c>
      <c r="U3063" s="72">
        <f t="shared" si="1152"/>
        <v>1</v>
      </c>
    </row>
    <row r="3064" spans="1:21" x14ac:dyDescent="0.25">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0.83632385120350106</v>
      </c>
      <c r="P3064" s="72">
        <f t="shared" si="1147"/>
        <v>0.70833333333333337</v>
      </c>
      <c r="Q3064" s="72">
        <f t="shared" si="1148"/>
        <v>0.29166666666666663</v>
      </c>
      <c r="R3064" s="72">
        <f t="shared" si="1149"/>
        <v>0</v>
      </c>
      <c r="S3064" s="72">
        <f t="shared" si="1150"/>
        <v>0.98391041318058947</v>
      </c>
      <c r="T3064" s="72">
        <f t="shared" si="1151"/>
        <v>0.98391041318058947</v>
      </c>
      <c r="U3064" s="72">
        <f t="shared" si="1152"/>
        <v>1</v>
      </c>
    </row>
    <row r="3065" spans="1:21" x14ac:dyDescent="0.25">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0.83699124726477026</v>
      </c>
      <c r="P3065" s="72">
        <f t="shared" si="1147"/>
        <v>0.625</v>
      </c>
      <c r="Q3065" s="72">
        <f t="shared" si="1148"/>
        <v>0.375</v>
      </c>
      <c r="R3065" s="72">
        <f t="shared" si="1149"/>
        <v>0</v>
      </c>
      <c r="S3065" s="72">
        <f t="shared" si="1150"/>
        <v>0.98469558501737675</v>
      </c>
      <c r="T3065" s="72">
        <f t="shared" si="1151"/>
        <v>0.98469558501737675</v>
      </c>
      <c r="U3065" s="72">
        <f t="shared" si="1152"/>
        <v>1</v>
      </c>
    </row>
    <row r="3066" spans="1:21" x14ac:dyDescent="0.25">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0.83765864332603934</v>
      </c>
      <c r="P3066" s="72">
        <f t="shared" si="1147"/>
        <v>0.54166666666666663</v>
      </c>
      <c r="Q3066" s="72">
        <f t="shared" si="1148"/>
        <v>0.45833333333333337</v>
      </c>
      <c r="R3066" s="72">
        <f t="shared" si="1149"/>
        <v>0</v>
      </c>
      <c r="S3066" s="72">
        <f t="shared" si="1150"/>
        <v>0.98548075685416392</v>
      </c>
      <c r="T3066" s="72">
        <f t="shared" si="1151"/>
        <v>0.98548075685416392</v>
      </c>
      <c r="U3066" s="72">
        <f t="shared" si="1152"/>
        <v>1</v>
      </c>
    </row>
    <row r="3067" spans="1:21" x14ac:dyDescent="0.25">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0.83832603938730854</v>
      </c>
      <c r="P3067" s="72">
        <f t="shared" si="1147"/>
        <v>0.45833333333333331</v>
      </c>
      <c r="Q3067" s="72">
        <f t="shared" si="1148"/>
        <v>0.54166666666666674</v>
      </c>
      <c r="R3067" s="72">
        <f t="shared" si="1149"/>
        <v>0</v>
      </c>
      <c r="S3067" s="72">
        <f t="shared" si="1150"/>
        <v>0.9862659286909512</v>
      </c>
      <c r="T3067" s="72">
        <f t="shared" si="1151"/>
        <v>0.9862659286909512</v>
      </c>
      <c r="U3067" s="72">
        <f t="shared" si="1152"/>
        <v>1</v>
      </c>
    </row>
    <row r="3068" spans="1:21" x14ac:dyDescent="0.25">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0.83900437636761482</v>
      </c>
      <c r="P3068" s="72">
        <f t="shared" si="1147"/>
        <v>0.375</v>
      </c>
      <c r="Q3068" s="72">
        <f t="shared" si="1148"/>
        <v>0.625</v>
      </c>
      <c r="R3068" s="72">
        <f t="shared" si="1149"/>
        <v>0</v>
      </c>
      <c r="S3068" s="72">
        <f t="shared" si="1150"/>
        <v>1.0068052516411379</v>
      </c>
      <c r="T3068" s="72">
        <f t="shared" si="1151"/>
        <v>1.0068052516411379</v>
      </c>
      <c r="U3068" s="72">
        <f t="shared" si="1152"/>
        <v>1.02</v>
      </c>
    </row>
    <row r="3069" spans="1:21" x14ac:dyDescent="0.25">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0.83967177242888402</v>
      </c>
      <c r="P3069" s="72">
        <f t="shared" si="1147"/>
        <v>0.29166666666666669</v>
      </c>
      <c r="Q3069" s="72">
        <f t="shared" si="1148"/>
        <v>0.70833333333333326</v>
      </c>
      <c r="R3069" s="72">
        <f t="shared" si="1149"/>
        <v>0</v>
      </c>
      <c r="S3069" s="72">
        <f t="shared" si="1150"/>
        <v>1.007606126914661</v>
      </c>
      <c r="T3069" s="72">
        <f t="shared" si="1151"/>
        <v>1.007606126914661</v>
      </c>
      <c r="U3069" s="72">
        <f t="shared" si="1152"/>
        <v>1.02</v>
      </c>
    </row>
    <row r="3070" spans="1:21" x14ac:dyDescent="0.25">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0.84033916849015311</v>
      </c>
      <c r="P3070" s="72">
        <f t="shared" si="1147"/>
        <v>0.20833333333333334</v>
      </c>
      <c r="Q3070" s="72">
        <f t="shared" si="1148"/>
        <v>0.79166666666666663</v>
      </c>
      <c r="R3070" s="72">
        <f t="shared" si="1149"/>
        <v>0</v>
      </c>
      <c r="S3070" s="72">
        <f t="shared" si="1150"/>
        <v>1.0084070021881839</v>
      </c>
      <c r="T3070" s="72">
        <f t="shared" si="1151"/>
        <v>1.0084070021881839</v>
      </c>
      <c r="U3070" s="72">
        <f t="shared" si="1152"/>
        <v>1.02</v>
      </c>
    </row>
    <row r="3071" spans="1:21" x14ac:dyDescent="0.25">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0.84100656455142231</v>
      </c>
      <c r="P3071" s="72">
        <f t="shared" si="1147"/>
        <v>0.125</v>
      </c>
      <c r="Q3071" s="72">
        <f t="shared" si="1148"/>
        <v>0.875</v>
      </c>
      <c r="R3071" s="72">
        <f t="shared" si="1149"/>
        <v>0</v>
      </c>
      <c r="S3071" s="72">
        <f t="shared" si="1150"/>
        <v>1.0092078774617068</v>
      </c>
      <c r="T3071" s="72">
        <f t="shared" si="1151"/>
        <v>1.0092078774617068</v>
      </c>
      <c r="U3071" s="72">
        <f t="shared" si="1152"/>
        <v>1.02</v>
      </c>
    </row>
    <row r="3072" spans="1:21" x14ac:dyDescent="0.25">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0.8416739606126914</v>
      </c>
      <c r="P3072" s="72">
        <f t="shared" si="1147"/>
        <v>4.1666666666666664E-2</v>
      </c>
      <c r="Q3072" s="72">
        <f t="shared" si="1148"/>
        <v>0.95833333333333337</v>
      </c>
      <c r="R3072" s="72">
        <f t="shared" si="1149"/>
        <v>0</v>
      </c>
      <c r="S3072" s="72">
        <f t="shared" si="1150"/>
        <v>1.0100087527352297</v>
      </c>
      <c r="T3072" s="72">
        <f t="shared" si="1151"/>
        <v>1.0100087527352297</v>
      </c>
      <c r="U3072" s="72">
        <f t="shared" si="1152"/>
        <v>1.02</v>
      </c>
    </row>
    <row r="3073" spans="1:21" x14ac:dyDescent="0.25">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0.84235229759299779</v>
      </c>
      <c r="P3073" s="72">
        <f t="shared" si="1147"/>
        <v>0</v>
      </c>
      <c r="Q3073" s="72">
        <f t="shared" si="1148"/>
        <v>0.95833333333333337</v>
      </c>
      <c r="R3073" s="72">
        <f t="shared" si="1149"/>
        <v>4.166666666666663E-2</v>
      </c>
      <c r="S3073" s="72">
        <f t="shared" si="1150"/>
        <v>1.0108227571115975</v>
      </c>
      <c r="T3073" s="72">
        <f t="shared" si="1151"/>
        <v>0.98160638434805003</v>
      </c>
      <c r="U3073" s="72">
        <f t="shared" si="1152"/>
        <v>1.02</v>
      </c>
    </row>
    <row r="3074" spans="1:21" x14ac:dyDescent="0.25">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0.84299781181619249</v>
      </c>
      <c r="P3074" s="72">
        <f t="shared" si="1147"/>
        <v>0</v>
      </c>
      <c r="Q3074" s="72">
        <f t="shared" si="1148"/>
        <v>0.875</v>
      </c>
      <c r="R3074" s="72">
        <f t="shared" si="1149"/>
        <v>0.125</v>
      </c>
      <c r="S3074" s="72">
        <f t="shared" si="1150"/>
        <v>1.0115973741794311</v>
      </c>
      <c r="T3074" s="72">
        <f t="shared" si="1151"/>
        <v>0.98236581284592606</v>
      </c>
      <c r="U3074" s="72">
        <f t="shared" si="1152"/>
        <v>1.02</v>
      </c>
    </row>
    <row r="3075" spans="1:21" x14ac:dyDescent="0.25">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0.8436433260393873</v>
      </c>
      <c r="P3075" s="72">
        <f t="shared" si="1147"/>
        <v>0</v>
      </c>
      <c r="Q3075" s="72">
        <f t="shared" si="1148"/>
        <v>0.79166666666666663</v>
      </c>
      <c r="R3075" s="72">
        <f t="shared" si="1149"/>
        <v>0.20833333333333337</v>
      </c>
      <c r="S3075" s="72">
        <f t="shared" si="1150"/>
        <v>1.0123719912472648</v>
      </c>
      <c r="T3075" s="72">
        <f t="shared" si="1151"/>
        <v>0.9831252413438023</v>
      </c>
      <c r="U3075" s="72">
        <f t="shared" si="1152"/>
        <v>1.02</v>
      </c>
    </row>
    <row r="3076" spans="1:21" x14ac:dyDescent="0.25">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0.84431072210065639</v>
      </c>
      <c r="P3076" s="72">
        <f t="shared" si="1147"/>
        <v>0</v>
      </c>
      <c r="Q3076" s="72">
        <f t="shared" si="1148"/>
        <v>0.70833333333333337</v>
      </c>
      <c r="R3076" s="72">
        <f t="shared" si="1149"/>
        <v>0.29166666666666663</v>
      </c>
      <c r="S3076" s="72">
        <f t="shared" si="1150"/>
        <v>1.0131728665207878</v>
      </c>
      <c r="T3076" s="72">
        <f t="shared" si="1151"/>
        <v>0.98391041318058947</v>
      </c>
      <c r="U3076" s="72">
        <f t="shared" si="1152"/>
        <v>1.02</v>
      </c>
    </row>
    <row r="3077" spans="1:21" x14ac:dyDescent="0.25">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0.84497811816192558</v>
      </c>
      <c r="P3077" s="72">
        <f t="shared" si="1147"/>
        <v>0</v>
      </c>
      <c r="Q3077" s="72">
        <f t="shared" si="1148"/>
        <v>0.625</v>
      </c>
      <c r="R3077" s="72">
        <f t="shared" si="1149"/>
        <v>0.375</v>
      </c>
      <c r="S3077" s="72">
        <f t="shared" si="1150"/>
        <v>1.0139737417943109</v>
      </c>
      <c r="T3077" s="72">
        <f t="shared" si="1151"/>
        <v>0.98469558501737675</v>
      </c>
      <c r="U3077" s="72">
        <f t="shared" si="1152"/>
        <v>1.02</v>
      </c>
    </row>
    <row r="3078" spans="1:21" x14ac:dyDescent="0.25">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0.84564551422319467</v>
      </c>
      <c r="P3078" s="72">
        <f t="shared" si="1147"/>
        <v>0</v>
      </c>
      <c r="Q3078" s="72">
        <f t="shared" si="1148"/>
        <v>0.54166666666666663</v>
      </c>
      <c r="R3078" s="72">
        <f t="shared" si="1149"/>
        <v>0.45833333333333337</v>
      </c>
      <c r="S3078" s="72">
        <f t="shared" si="1150"/>
        <v>1.0147746170678338</v>
      </c>
      <c r="T3078" s="72">
        <f t="shared" si="1151"/>
        <v>0.98548075685416392</v>
      </c>
      <c r="U3078" s="72">
        <f t="shared" si="1152"/>
        <v>1.02</v>
      </c>
    </row>
    <row r="3079" spans="1:21" x14ac:dyDescent="0.25">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0.84631291028446387</v>
      </c>
      <c r="P3079" s="72">
        <f t="shared" si="1147"/>
        <v>0</v>
      </c>
      <c r="Q3079" s="72">
        <f t="shared" si="1148"/>
        <v>0.45833333333333331</v>
      </c>
      <c r="R3079" s="72">
        <f t="shared" si="1149"/>
        <v>0.54166666666666674</v>
      </c>
      <c r="S3079" s="72">
        <f t="shared" si="1150"/>
        <v>1.0155754923413567</v>
      </c>
      <c r="T3079" s="72">
        <f t="shared" si="1151"/>
        <v>0.9862659286909512</v>
      </c>
      <c r="U3079" s="72">
        <f t="shared" si="1152"/>
        <v>1.02</v>
      </c>
    </row>
    <row r="3080" spans="1:21" x14ac:dyDescent="0.25">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0.84699124726477026</v>
      </c>
      <c r="P3080" s="72">
        <f t="shared" si="1147"/>
        <v>0</v>
      </c>
      <c r="Q3080" s="72">
        <f t="shared" si="1148"/>
        <v>0.375</v>
      </c>
      <c r="R3080" s="72">
        <f t="shared" si="1149"/>
        <v>0.625</v>
      </c>
      <c r="S3080" s="72">
        <f t="shared" si="1150"/>
        <v>1.0163894967177243</v>
      </c>
      <c r="T3080" s="72">
        <f t="shared" si="1151"/>
        <v>1.0068052516411379</v>
      </c>
      <c r="U3080" s="72">
        <f t="shared" si="1152"/>
        <v>1.02</v>
      </c>
    </row>
    <row r="3081" spans="1:21" x14ac:dyDescent="0.25">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0.84765864332603935</v>
      </c>
      <c r="P3081" s="72">
        <f t="shared" si="1147"/>
        <v>0</v>
      </c>
      <c r="Q3081" s="72">
        <f t="shared" si="1148"/>
        <v>0.29166666666666669</v>
      </c>
      <c r="R3081" s="72">
        <f t="shared" si="1149"/>
        <v>0.70833333333333326</v>
      </c>
      <c r="S3081" s="72">
        <f t="shared" si="1150"/>
        <v>1.0171903719912472</v>
      </c>
      <c r="T3081" s="72">
        <f t="shared" si="1151"/>
        <v>1.007606126914661</v>
      </c>
      <c r="U3081" s="72">
        <f t="shared" si="1152"/>
        <v>1.02</v>
      </c>
    </row>
    <row r="3082" spans="1:21" x14ac:dyDescent="0.25">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0.84832603938730855</v>
      </c>
      <c r="P3082" s="72">
        <f t="shared" si="1147"/>
        <v>0</v>
      </c>
      <c r="Q3082" s="72">
        <f t="shared" si="1148"/>
        <v>0.20833333333333334</v>
      </c>
      <c r="R3082" s="72">
        <f t="shared" si="1149"/>
        <v>0.79166666666666663</v>
      </c>
      <c r="S3082" s="72">
        <f t="shared" si="1150"/>
        <v>1.0179912472647703</v>
      </c>
      <c r="T3082" s="72">
        <f t="shared" si="1151"/>
        <v>1.0084070021881839</v>
      </c>
      <c r="U3082" s="72">
        <f t="shared" si="1152"/>
        <v>1.02</v>
      </c>
    </row>
    <row r="3083" spans="1:21" x14ac:dyDescent="0.25">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0.84899343544857764</v>
      </c>
      <c r="P3083" s="72">
        <f t="shared" si="1147"/>
        <v>0</v>
      </c>
      <c r="Q3083" s="72">
        <f t="shared" si="1148"/>
        <v>0.125</v>
      </c>
      <c r="R3083" s="72">
        <f t="shared" si="1149"/>
        <v>0.875</v>
      </c>
      <c r="S3083" s="72">
        <f t="shared" si="1150"/>
        <v>1.0187921225382932</v>
      </c>
      <c r="T3083" s="72">
        <f t="shared" si="1151"/>
        <v>1.0092078774617068</v>
      </c>
      <c r="U3083" s="72">
        <f t="shared" si="1152"/>
        <v>1.02</v>
      </c>
    </row>
    <row r="3084" spans="1:21" x14ac:dyDescent="0.25">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0.84966083150984684</v>
      </c>
      <c r="P3084" s="72">
        <f t="shared" si="1147"/>
        <v>0</v>
      </c>
      <c r="Q3084" s="72">
        <f t="shared" si="1148"/>
        <v>4.1666666666666664E-2</v>
      </c>
      <c r="R3084" s="72">
        <f t="shared" si="1149"/>
        <v>0.95833333333333337</v>
      </c>
      <c r="S3084" s="72">
        <f t="shared" si="1150"/>
        <v>1.0195929978118163</v>
      </c>
      <c r="T3084" s="72">
        <f t="shared" si="1151"/>
        <v>1.0100087527352297</v>
      </c>
      <c r="U3084" s="72">
        <f t="shared" si="1152"/>
        <v>1.02</v>
      </c>
    </row>
    <row r="3085" spans="1:21" x14ac:dyDescent="0.25">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0.85</v>
      </c>
      <c r="P3085" s="72">
        <f t="shared" si="1147"/>
        <v>0</v>
      </c>
      <c r="Q3085" s="72">
        <f t="shared" si="1148"/>
        <v>0</v>
      </c>
      <c r="R3085" s="72">
        <f t="shared" si="1149"/>
        <v>0.95833333333333337</v>
      </c>
      <c r="S3085" s="72">
        <f t="shared" si="1150"/>
        <v>1.02</v>
      </c>
      <c r="T3085" s="72">
        <f t="shared" si="1151"/>
        <v>0.98160638434805003</v>
      </c>
      <c r="U3085" s="72">
        <f t="shared" si="1152"/>
        <v>1.02</v>
      </c>
    </row>
    <row r="3086" spans="1:21" x14ac:dyDescent="0.25">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0.85</v>
      </c>
      <c r="P3086" s="72">
        <f t="shared" si="1147"/>
        <v>0</v>
      </c>
      <c r="Q3086" s="72">
        <f t="shared" si="1148"/>
        <v>0</v>
      </c>
      <c r="R3086" s="72">
        <f t="shared" si="1149"/>
        <v>0.875</v>
      </c>
      <c r="S3086" s="72">
        <f t="shared" si="1150"/>
        <v>1.02</v>
      </c>
      <c r="T3086" s="72">
        <f t="shared" si="1151"/>
        <v>0.98236581284592606</v>
      </c>
      <c r="U3086" s="72">
        <f t="shared" si="1152"/>
        <v>1.02</v>
      </c>
    </row>
    <row r="3087" spans="1:21" x14ac:dyDescent="0.25">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0.85</v>
      </c>
      <c r="P3087" s="72">
        <f t="shared" si="1147"/>
        <v>0</v>
      </c>
      <c r="Q3087" s="72">
        <f t="shared" si="1148"/>
        <v>0</v>
      </c>
      <c r="R3087" s="72">
        <f t="shared" si="1149"/>
        <v>0.79166666666666663</v>
      </c>
      <c r="S3087" s="72">
        <f t="shared" si="1150"/>
        <v>1.02</v>
      </c>
      <c r="T3087" s="72">
        <f t="shared" si="1151"/>
        <v>0.9831252413438023</v>
      </c>
      <c r="U3087" s="72">
        <f t="shared" si="1152"/>
        <v>1.02</v>
      </c>
    </row>
    <row r="3088" spans="1:21" x14ac:dyDescent="0.25">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0.85</v>
      </c>
      <c r="P3088" s="72">
        <f t="shared" si="1147"/>
        <v>0</v>
      </c>
      <c r="Q3088" s="72">
        <f t="shared" si="1148"/>
        <v>0</v>
      </c>
      <c r="R3088" s="72">
        <f t="shared" si="1149"/>
        <v>0.70833333333333337</v>
      </c>
      <c r="S3088" s="72">
        <f t="shared" si="1150"/>
        <v>1.02</v>
      </c>
      <c r="T3088" s="72">
        <f t="shared" si="1151"/>
        <v>0.98391041318058947</v>
      </c>
      <c r="U3088" s="72">
        <f t="shared" si="1152"/>
        <v>1.02</v>
      </c>
    </row>
    <row r="3089" spans="1:21" x14ac:dyDescent="0.25">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0.85</v>
      </c>
      <c r="P3089" s="72">
        <f t="shared" si="1147"/>
        <v>0</v>
      </c>
      <c r="Q3089" s="72">
        <f t="shared" si="1148"/>
        <v>0</v>
      </c>
      <c r="R3089" s="72">
        <f t="shared" si="1149"/>
        <v>0.625</v>
      </c>
      <c r="S3089" s="72">
        <f t="shared" si="1150"/>
        <v>1.02</v>
      </c>
      <c r="T3089" s="72">
        <f t="shared" si="1151"/>
        <v>0.98469558501737675</v>
      </c>
      <c r="U3089" s="72">
        <f t="shared" si="1152"/>
        <v>1.02</v>
      </c>
    </row>
    <row r="3090" spans="1:21" x14ac:dyDescent="0.25">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0.85</v>
      </c>
      <c r="P3090" s="72">
        <f t="shared" si="1147"/>
        <v>0</v>
      </c>
      <c r="Q3090" s="72">
        <f t="shared" si="1148"/>
        <v>0</v>
      </c>
      <c r="R3090" s="72">
        <f t="shared" si="1149"/>
        <v>0.54166666666666663</v>
      </c>
      <c r="S3090" s="72">
        <f t="shared" si="1150"/>
        <v>1.02</v>
      </c>
      <c r="T3090" s="72">
        <f t="shared" si="1151"/>
        <v>0.98548075685416392</v>
      </c>
      <c r="U3090" s="72">
        <f t="shared" si="1152"/>
        <v>1.02</v>
      </c>
    </row>
    <row r="3091" spans="1:21" x14ac:dyDescent="0.25">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0.85</v>
      </c>
      <c r="P3091" s="72">
        <f t="shared" si="1147"/>
        <v>0</v>
      </c>
      <c r="Q3091" s="72">
        <f t="shared" si="1148"/>
        <v>0</v>
      </c>
      <c r="R3091" s="72">
        <f t="shared" si="1149"/>
        <v>0.45833333333333331</v>
      </c>
      <c r="S3091" s="72">
        <f t="shared" si="1150"/>
        <v>1.02</v>
      </c>
      <c r="T3091" s="72">
        <f t="shared" si="1151"/>
        <v>0.9862659286909512</v>
      </c>
      <c r="U3091" s="72">
        <f t="shared" si="1152"/>
        <v>1.02</v>
      </c>
    </row>
    <row r="3092" spans="1:21" x14ac:dyDescent="0.25">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0.85</v>
      </c>
      <c r="P3092" s="72">
        <f t="shared" si="1147"/>
        <v>0</v>
      </c>
      <c r="Q3092" s="72">
        <f t="shared" si="1148"/>
        <v>0</v>
      </c>
      <c r="R3092" s="72">
        <f t="shared" si="1149"/>
        <v>0.375</v>
      </c>
      <c r="S3092" s="72">
        <f t="shared" si="1150"/>
        <v>1.02</v>
      </c>
      <c r="T3092" s="72">
        <f t="shared" si="1151"/>
        <v>1.0068052516411379</v>
      </c>
      <c r="U3092" s="72">
        <f t="shared" si="1152"/>
        <v>1.02</v>
      </c>
    </row>
    <row r="3093" spans="1:21" x14ac:dyDescent="0.25">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0.85</v>
      </c>
      <c r="P3093" s="72">
        <f t="shared" si="1147"/>
        <v>0</v>
      </c>
      <c r="Q3093" s="72">
        <f t="shared" si="1148"/>
        <v>0</v>
      </c>
      <c r="R3093" s="72">
        <f t="shared" si="1149"/>
        <v>0.29166666666666669</v>
      </c>
      <c r="S3093" s="72">
        <f t="shared" si="1150"/>
        <v>1.02</v>
      </c>
      <c r="T3093" s="72">
        <f t="shared" si="1151"/>
        <v>1.007606126914661</v>
      </c>
      <c r="U3093" s="72">
        <f t="shared" si="1152"/>
        <v>1.02</v>
      </c>
    </row>
    <row r="3094" spans="1:21" x14ac:dyDescent="0.25">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0.85</v>
      </c>
      <c r="P3094" s="72">
        <f t="shared" si="1147"/>
        <v>0</v>
      </c>
      <c r="Q3094" s="72">
        <f t="shared" si="1148"/>
        <v>0</v>
      </c>
      <c r="R3094" s="72">
        <f t="shared" si="1149"/>
        <v>0.20833333333333334</v>
      </c>
      <c r="S3094" s="72">
        <f t="shared" si="1150"/>
        <v>1.02</v>
      </c>
      <c r="T3094" s="72">
        <f t="shared" si="1151"/>
        <v>1.0084070021881839</v>
      </c>
      <c r="U3094" s="72">
        <f t="shared" si="1152"/>
        <v>1.02</v>
      </c>
    </row>
    <row r="3095" spans="1:21" x14ac:dyDescent="0.25">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0.85</v>
      </c>
      <c r="P3095" s="72">
        <f t="shared" si="1147"/>
        <v>0</v>
      </c>
      <c r="Q3095" s="72">
        <f t="shared" si="1148"/>
        <v>0</v>
      </c>
      <c r="R3095" s="72">
        <f t="shared" si="1149"/>
        <v>0.125</v>
      </c>
      <c r="S3095" s="72">
        <f t="shared" si="1150"/>
        <v>1.02</v>
      </c>
      <c r="T3095" s="72">
        <f t="shared" si="1151"/>
        <v>1.0092078774617068</v>
      </c>
      <c r="U3095" s="72">
        <f t="shared" si="1152"/>
        <v>1.02</v>
      </c>
    </row>
    <row r="3096" spans="1:21" x14ac:dyDescent="0.25">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0.85</v>
      </c>
      <c r="P3096" s="72">
        <f t="shared" si="1147"/>
        <v>0</v>
      </c>
      <c r="Q3096" s="72">
        <f t="shared" si="1148"/>
        <v>0</v>
      </c>
      <c r="R3096" s="72">
        <f t="shared" si="1149"/>
        <v>4.1666666666666664E-2</v>
      </c>
      <c r="S3096" s="72">
        <f t="shared" si="1150"/>
        <v>1.02</v>
      </c>
      <c r="T3096" s="72">
        <f t="shared" si="1151"/>
        <v>1.0100087527352297</v>
      </c>
      <c r="U3096" s="72">
        <f t="shared" si="1152"/>
        <v>1.02</v>
      </c>
    </row>
    <row r="3097" spans="1:21" x14ac:dyDescent="0.25">
      <c r="A3097" s="77" t="s">
        <v>1209</v>
      </c>
      <c r="B3097" s="50">
        <f>EXP(SUMPRODUCT((rl_key=$A$3046)*(rl_cons="Y")*rl_ln1p))</f>
        <v>1.02</v>
      </c>
      <c r="C3097" s="50">
        <f>SUMPRODUCT($H$3049:$H$3096,$P$3049:$P$3096,$U$3049:$U$3096)/SUMPRODUCT($H$3049:$H$3096,$P$3049:$P$3096)</f>
        <v>1.0017361111111112</v>
      </c>
      <c r="D3097" s="50">
        <f>SUMPRODUCT($H$3049:$H$3096,$Q$3049:$Q$3096,$U$3049:$U$3096)/SUMPRODUCT($H$3049:$H$3096,$Q$3049:$Q$3096)</f>
        <v>1.0165972222222222</v>
      </c>
      <c r="E3097" s="50">
        <f>SUMPRODUCT($H$3049:$H$3096,$R$3049:$R$3096,$U$3049:$U$3096)/SUMPRODUCT($H$3049:$H$3096,$R$3049:$R$3096)</f>
        <v>1.0199999999999998</v>
      </c>
      <c r="F3097" s="169">
        <f>SUMPRODUCT($H$3049:$H$3096,$Q$3049:$Q$3096,$O$3049:$O$3096)/SUMPRODUCT($H$3049:$H$3096,$Q$3049:$Q$3096)</f>
        <v>0.84199580598103541</v>
      </c>
      <c r="G3097" s="169">
        <f>SUMPRODUCT($H$3049:$H$3096,$R$3049:$R$3096,$O$3049:$O$3096)/SUMPRODUCT($H$3049:$H$3096,$R$3049:$R$3096)</f>
        <v>0.84865635637004611</v>
      </c>
    </row>
    <row r="3100" spans="1:21" x14ac:dyDescent="0.25">
      <c r="A3100" s="77" t="str">
        <f>INDEX(lr_key,57)</f>
        <v>BU-C|NC</v>
      </c>
      <c r="B3100" s="77" t="str">
        <f>INDEX(lr_state,57)</f>
        <v>NC</v>
      </c>
      <c r="C3100" s="52">
        <f>nr_TermMonths</f>
        <v>12</v>
      </c>
      <c r="D3100" s="52">
        <f>IF(COUNTIF(se_state,$B3100)=0,0,MATCH($B3100,se_state,0))</f>
        <v>0</v>
      </c>
      <c r="E3100" s="54">
        <f>IF($D3100=0,0,INDEX(se_sum,$D3100))</f>
        <v>0</v>
      </c>
      <c r="F3100" s="169">
        <f>IF(N(INDEX(lr_mind,57))=0,1,INDEX(lr_mind,57))</f>
        <v>0.85</v>
      </c>
      <c r="G3100" s="169">
        <f>IF(N(INDEX(lr_m0,57))=0,1,INDEX(lr_m0,57))</f>
        <v>0.84</v>
      </c>
      <c r="H3100" s="51">
        <f>IF(N(INDEX(lr_m0asof,57))=0,DATE(nr_PlanYear-1,10,1),INDEX(lr_m0asof,57))</f>
        <v>46295</v>
      </c>
      <c r="I3100" s="169">
        <f>IF(N(INDEX(lr_m1,57))=0,1,INDEX(lr_m1,57))</f>
        <v>0.83</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25">
      <c r="A3101" s="77">
        <f>EDATE($H$3100,-12)+1</f>
        <v>45931</v>
      </c>
      <c r="B3101" s="77">
        <f>$H$3100+1</f>
        <v>46296</v>
      </c>
      <c r="C3101" s="77">
        <f>DATE(nr_PlanYear,12,31)+1</f>
        <v>46753</v>
      </c>
      <c r="D3101" s="77">
        <f>DATE(nr_PlanYear+1,12,31)+1</f>
        <v>47119</v>
      </c>
      <c r="E3101" s="77">
        <f>IF(N($J$3100)=0,$F$3101-($G$3101-$F$3101)/($C$3101-$B$3101)*($B$3101-$A$3101),$J$3100)</f>
        <v>0.8479868708971553</v>
      </c>
      <c r="F3101" s="77">
        <f>$G$3100</f>
        <v>0.84</v>
      </c>
      <c r="G3101" s="77">
        <f>$I$3100</f>
        <v>0.83</v>
      </c>
      <c r="H3101" s="77">
        <f>IF(N($K$3100)=0,$I$3100,$K$3100)</f>
        <v>0.83</v>
      </c>
      <c r="I3101" s="77">
        <f>($F$3101-$E$3101)/($B$3101-$A$3101)</f>
        <v>-2.1881838074398162E-5</v>
      </c>
      <c r="J3101" s="77">
        <f>($G$3101-$F$3101)/($C$3101-$B$3101)</f>
        <v>-2.188183807439827E-5</v>
      </c>
      <c r="K3101" s="77">
        <f>($H$3101-$G$3101)/($D$3101-$C$3101)</f>
        <v>0</v>
      </c>
    </row>
    <row r="3102" spans="1:21" ht="24" x14ac:dyDescent="0.25">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25">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0.85362144420131281</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1.0042605225897798</v>
      </c>
      <c r="T3103" s="72">
        <f t="shared" ref="T3103:T3150" si="1171">IF($G3103&lt;nr_MStartP,$S3103,$T3091*(1+IF($G3103&lt;nr_MStartP1,$M$3100,$N$3100)))</f>
        <v>1.0042605225897798</v>
      </c>
      <c r="U3103" s="72">
        <f t="shared" ref="U3103:U3150" si="1172">IF($L$3100,$T3103,$N3103)</f>
        <v>1</v>
      </c>
    </row>
    <row r="3104" spans="1:21" x14ac:dyDescent="0.25">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0.85297592997811811</v>
      </c>
      <c r="P3104" s="72">
        <f t="shared" si="1167"/>
        <v>0.125</v>
      </c>
      <c r="Q3104" s="72">
        <f t="shared" si="1168"/>
        <v>0</v>
      </c>
      <c r="R3104" s="72">
        <f t="shared" si="1169"/>
        <v>0</v>
      </c>
      <c r="S3104" s="72">
        <f t="shared" si="1170"/>
        <v>1.0035010940919036</v>
      </c>
      <c r="T3104" s="72">
        <f t="shared" si="1171"/>
        <v>1.0035010940919036</v>
      </c>
      <c r="U3104" s="72">
        <f t="shared" si="1172"/>
        <v>1</v>
      </c>
    </row>
    <row r="3105" spans="1:21" x14ac:dyDescent="0.25">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0.8523304157549233</v>
      </c>
      <c r="P3105" s="72">
        <f t="shared" si="1167"/>
        <v>0.20833333333333337</v>
      </c>
      <c r="Q3105" s="72">
        <f t="shared" si="1168"/>
        <v>0</v>
      </c>
      <c r="R3105" s="72">
        <f t="shared" si="1169"/>
        <v>0</v>
      </c>
      <c r="S3105" s="72">
        <f t="shared" si="1170"/>
        <v>1.0027416655940273</v>
      </c>
      <c r="T3105" s="72">
        <f t="shared" si="1171"/>
        <v>1.0027416655940273</v>
      </c>
      <c r="U3105" s="72">
        <f t="shared" si="1172"/>
        <v>1</v>
      </c>
    </row>
    <row r="3106" spans="1:21" x14ac:dyDescent="0.25">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0.85166301969365421</v>
      </c>
      <c r="P3106" s="72">
        <f t="shared" si="1167"/>
        <v>0.29166666666666663</v>
      </c>
      <c r="Q3106" s="72">
        <f t="shared" si="1168"/>
        <v>0</v>
      </c>
      <c r="R3106" s="72">
        <f t="shared" si="1169"/>
        <v>0</v>
      </c>
      <c r="S3106" s="72">
        <f t="shared" si="1170"/>
        <v>1.0019564937572403</v>
      </c>
      <c r="T3106" s="72">
        <f t="shared" si="1171"/>
        <v>1.0019564937572403</v>
      </c>
      <c r="U3106" s="72">
        <f t="shared" si="1172"/>
        <v>1</v>
      </c>
    </row>
    <row r="3107" spans="1:21" x14ac:dyDescent="0.25">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0.85099562363238501</v>
      </c>
      <c r="P3107" s="72">
        <f t="shared" si="1167"/>
        <v>0.375</v>
      </c>
      <c r="Q3107" s="72">
        <f t="shared" si="1168"/>
        <v>0</v>
      </c>
      <c r="R3107" s="72">
        <f t="shared" si="1169"/>
        <v>0</v>
      </c>
      <c r="S3107" s="72">
        <f t="shared" si="1170"/>
        <v>1.001171321920453</v>
      </c>
      <c r="T3107" s="72">
        <f t="shared" si="1171"/>
        <v>1.001171321920453</v>
      </c>
      <c r="U3107" s="72">
        <f t="shared" si="1172"/>
        <v>1</v>
      </c>
    </row>
    <row r="3108" spans="1:21" x14ac:dyDescent="0.25">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0.85032822757111592</v>
      </c>
      <c r="P3108" s="72">
        <f t="shared" si="1167"/>
        <v>0.45833333333333337</v>
      </c>
      <c r="Q3108" s="72">
        <f t="shared" si="1168"/>
        <v>0</v>
      </c>
      <c r="R3108" s="72">
        <f t="shared" si="1169"/>
        <v>0</v>
      </c>
      <c r="S3108" s="72">
        <f t="shared" si="1170"/>
        <v>1.0003861500836657</v>
      </c>
      <c r="T3108" s="72">
        <f t="shared" si="1171"/>
        <v>1.0003861500836657</v>
      </c>
      <c r="U3108" s="72">
        <f t="shared" si="1172"/>
        <v>1</v>
      </c>
    </row>
    <row r="3109" spans="1:21" x14ac:dyDescent="0.25">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0.84966083150984673</v>
      </c>
      <c r="P3109" s="72">
        <f t="shared" si="1167"/>
        <v>0.54166666666666674</v>
      </c>
      <c r="Q3109" s="72">
        <f t="shared" si="1168"/>
        <v>0</v>
      </c>
      <c r="R3109" s="72">
        <f t="shared" si="1169"/>
        <v>0</v>
      </c>
      <c r="S3109" s="72">
        <f t="shared" si="1170"/>
        <v>0.99960097824687855</v>
      </c>
      <c r="T3109" s="72">
        <f t="shared" si="1171"/>
        <v>0.99960097824687855</v>
      </c>
      <c r="U3109" s="72">
        <f t="shared" si="1172"/>
        <v>1</v>
      </c>
    </row>
    <row r="3110" spans="1:21" x14ac:dyDescent="0.25">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0.84898249452954044</v>
      </c>
      <c r="P3110" s="72">
        <f t="shared" si="1167"/>
        <v>0.625</v>
      </c>
      <c r="Q3110" s="72">
        <f t="shared" si="1168"/>
        <v>0</v>
      </c>
      <c r="R3110" s="72">
        <f t="shared" si="1169"/>
        <v>0</v>
      </c>
      <c r="S3110" s="72">
        <f t="shared" si="1170"/>
        <v>0.99880293474063586</v>
      </c>
      <c r="T3110" s="72">
        <f t="shared" si="1171"/>
        <v>0.99880293474063586</v>
      </c>
      <c r="U3110" s="72">
        <f t="shared" si="1172"/>
        <v>1</v>
      </c>
    </row>
    <row r="3111" spans="1:21" x14ac:dyDescent="0.25">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0.84831509846827124</v>
      </c>
      <c r="P3111" s="72">
        <f t="shared" si="1167"/>
        <v>0.70833333333333326</v>
      </c>
      <c r="Q3111" s="72">
        <f t="shared" si="1168"/>
        <v>0</v>
      </c>
      <c r="R3111" s="72">
        <f t="shared" si="1169"/>
        <v>0</v>
      </c>
      <c r="S3111" s="72">
        <f t="shared" si="1170"/>
        <v>0.99801776290384858</v>
      </c>
      <c r="T3111" s="72">
        <f t="shared" si="1171"/>
        <v>0.99801776290384858</v>
      </c>
      <c r="U3111" s="72">
        <f t="shared" si="1172"/>
        <v>1</v>
      </c>
    </row>
    <row r="3112" spans="1:21" x14ac:dyDescent="0.25">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0.84764770240700216</v>
      </c>
      <c r="P3112" s="72">
        <f t="shared" si="1167"/>
        <v>0.79166666666666663</v>
      </c>
      <c r="Q3112" s="72">
        <f t="shared" si="1168"/>
        <v>0</v>
      </c>
      <c r="R3112" s="72">
        <f t="shared" si="1169"/>
        <v>0</v>
      </c>
      <c r="S3112" s="72">
        <f t="shared" si="1170"/>
        <v>0.99723259106706141</v>
      </c>
      <c r="T3112" s="72">
        <f t="shared" si="1171"/>
        <v>0.99723259106706141</v>
      </c>
      <c r="U3112" s="72">
        <f t="shared" si="1172"/>
        <v>1</v>
      </c>
    </row>
    <row r="3113" spans="1:21" x14ac:dyDescent="0.25">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0.84698030634573296</v>
      </c>
      <c r="P3113" s="72">
        <f t="shared" si="1167"/>
        <v>0.875</v>
      </c>
      <c r="Q3113" s="72">
        <f t="shared" si="1168"/>
        <v>0</v>
      </c>
      <c r="R3113" s="72">
        <f t="shared" si="1169"/>
        <v>0</v>
      </c>
      <c r="S3113" s="72">
        <f t="shared" si="1170"/>
        <v>0.99644741923027413</v>
      </c>
      <c r="T3113" s="72">
        <f t="shared" si="1171"/>
        <v>0.99644741923027413</v>
      </c>
      <c r="U3113" s="72">
        <f t="shared" si="1172"/>
        <v>1</v>
      </c>
    </row>
    <row r="3114" spans="1:21" x14ac:dyDescent="0.25">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0.84631291028446387</v>
      </c>
      <c r="P3114" s="72">
        <f t="shared" si="1167"/>
        <v>0.95833333333333337</v>
      </c>
      <c r="Q3114" s="72">
        <f t="shared" si="1168"/>
        <v>0</v>
      </c>
      <c r="R3114" s="72">
        <f t="shared" si="1169"/>
        <v>0</v>
      </c>
      <c r="S3114" s="72">
        <f t="shared" si="1170"/>
        <v>0.99566224739348697</v>
      </c>
      <c r="T3114" s="72">
        <f t="shared" si="1171"/>
        <v>0.99566224739348697</v>
      </c>
      <c r="U3114" s="72">
        <f t="shared" si="1172"/>
        <v>1</v>
      </c>
    </row>
    <row r="3115" spans="1:21" x14ac:dyDescent="0.25">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0.84563457330415748</v>
      </c>
      <c r="P3115" s="72">
        <f t="shared" si="1167"/>
        <v>0.95833333333333337</v>
      </c>
      <c r="Q3115" s="72">
        <f t="shared" si="1168"/>
        <v>4.166666666666663E-2</v>
      </c>
      <c r="R3115" s="72">
        <f t="shared" si="1169"/>
        <v>0</v>
      </c>
      <c r="S3115" s="72">
        <f t="shared" si="1170"/>
        <v>0.99486420388724417</v>
      </c>
      <c r="T3115" s="72">
        <f t="shared" si="1171"/>
        <v>0.99486420388724417</v>
      </c>
      <c r="U3115" s="72">
        <f t="shared" si="1172"/>
        <v>1</v>
      </c>
    </row>
    <row r="3116" spans="1:21" x14ac:dyDescent="0.25">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0.84498905908096278</v>
      </c>
      <c r="P3116" s="72">
        <f t="shared" si="1167"/>
        <v>0.875</v>
      </c>
      <c r="Q3116" s="72">
        <f t="shared" si="1168"/>
        <v>0.125</v>
      </c>
      <c r="R3116" s="72">
        <f t="shared" si="1169"/>
        <v>0</v>
      </c>
      <c r="S3116" s="72">
        <f t="shared" si="1170"/>
        <v>0.99410477538936803</v>
      </c>
      <c r="T3116" s="72">
        <f t="shared" si="1171"/>
        <v>0.99410477538936803</v>
      </c>
      <c r="U3116" s="72">
        <f t="shared" si="1172"/>
        <v>1</v>
      </c>
    </row>
    <row r="3117" spans="1:21" x14ac:dyDescent="0.25">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0.84434354485776797</v>
      </c>
      <c r="P3117" s="72">
        <f t="shared" si="1167"/>
        <v>0.79166666666666663</v>
      </c>
      <c r="Q3117" s="72">
        <f t="shared" si="1168"/>
        <v>0.20833333333333337</v>
      </c>
      <c r="R3117" s="72">
        <f t="shared" si="1169"/>
        <v>0</v>
      </c>
      <c r="S3117" s="72">
        <f t="shared" si="1170"/>
        <v>0.99334534689149179</v>
      </c>
      <c r="T3117" s="72">
        <f t="shared" si="1171"/>
        <v>0.99334534689149179</v>
      </c>
      <c r="U3117" s="72">
        <f t="shared" si="1172"/>
        <v>1</v>
      </c>
    </row>
    <row r="3118" spans="1:21" x14ac:dyDescent="0.25">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0.84367614879649888</v>
      </c>
      <c r="P3118" s="72">
        <f t="shared" si="1167"/>
        <v>0.70833333333333337</v>
      </c>
      <c r="Q3118" s="72">
        <f t="shared" si="1168"/>
        <v>0.29166666666666663</v>
      </c>
      <c r="R3118" s="72">
        <f t="shared" si="1169"/>
        <v>0</v>
      </c>
      <c r="S3118" s="72">
        <f t="shared" si="1170"/>
        <v>0.99256017505470462</v>
      </c>
      <c r="T3118" s="72">
        <f t="shared" si="1171"/>
        <v>0.99256017505470462</v>
      </c>
      <c r="U3118" s="72">
        <f t="shared" si="1172"/>
        <v>1</v>
      </c>
    </row>
    <row r="3119" spans="1:21" x14ac:dyDescent="0.25">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0.84300875273522968</v>
      </c>
      <c r="P3119" s="72">
        <f t="shared" si="1167"/>
        <v>0.625</v>
      </c>
      <c r="Q3119" s="72">
        <f t="shared" si="1168"/>
        <v>0.375</v>
      </c>
      <c r="R3119" s="72">
        <f t="shared" si="1169"/>
        <v>0</v>
      </c>
      <c r="S3119" s="72">
        <f t="shared" si="1170"/>
        <v>0.99177500321791734</v>
      </c>
      <c r="T3119" s="72">
        <f t="shared" si="1171"/>
        <v>0.99177500321791734</v>
      </c>
      <c r="U3119" s="72">
        <f t="shared" si="1172"/>
        <v>1</v>
      </c>
    </row>
    <row r="3120" spans="1:21" x14ac:dyDescent="0.25">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0.8423413566739606</v>
      </c>
      <c r="P3120" s="72">
        <f t="shared" si="1167"/>
        <v>0.54166666666666663</v>
      </c>
      <c r="Q3120" s="72">
        <f t="shared" si="1168"/>
        <v>0.45833333333333337</v>
      </c>
      <c r="R3120" s="72">
        <f t="shared" si="1169"/>
        <v>0</v>
      </c>
      <c r="S3120" s="72">
        <f t="shared" si="1170"/>
        <v>0.99098983138113017</v>
      </c>
      <c r="T3120" s="72">
        <f t="shared" si="1171"/>
        <v>0.99098983138113017</v>
      </c>
      <c r="U3120" s="72">
        <f t="shared" si="1172"/>
        <v>1</v>
      </c>
    </row>
    <row r="3121" spans="1:21" x14ac:dyDescent="0.25">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0.8416739606126914</v>
      </c>
      <c r="P3121" s="72">
        <f t="shared" si="1167"/>
        <v>0.45833333333333331</v>
      </c>
      <c r="Q3121" s="72">
        <f t="shared" si="1168"/>
        <v>0.54166666666666674</v>
      </c>
      <c r="R3121" s="72">
        <f t="shared" si="1169"/>
        <v>0</v>
      </c>
      <c r="S3121" s="72">
        <f t="shared" si="1170"/>
        <v>0.99020465954434289</v>
      </c>
      <c r="T3121" s="72">
        <f t="shared" si="1171"/>
        <v>0.99020465954434289</v>
      </c>
      <c r="U3121" s="72">
        <f t="shared" si="1172"/>
        <v>1</v>
      </c>
    </row>
    <row r="3122" spans="1:21" x14ac:dyDescent="0.25">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0.84099562363238511</v>
      </c>
      <c r="P3122" s="72">
        <f t="shared" si="1167"/>
        <v>0.375</v>
      </c>
      <c r="Q3122" s="72">
        <f t="shared" si="1168"/>
        <v>0.625</v>
      </c>
      <c r="R3122" s="72">
        <f t="shared" si="1169"/>
        <v>0</v>
      </c>
      <c r="S3122" s="72">
        <f t="shared" si="1170"/>
        <v>0.98940661603810021</v>
      </c>
      <c r="T3122" s="72">
        <f t="shared" si="1171"/>
        <v>0.98940661603810021</v>
      </c>
      <c r="U3122" s="72">
        <f t="shared" si="1172"/>
        <v>1</v>
      </c>
    </row>
    <row r="3123" spans="1:21" x14ac:dyDescent="0.25">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0.84032822757111592</v>
      </c>
      <c r="P3123" s="72">
        <f t="shared" si="1167"/>
        <v>0.29166666666666669</v>
      </c>
      <c r="Q3123" s="72">
        <f t="shared" si="1168"/>
        <v>0.70833333333333326</v>
      </c>
      <c r="R3123" s="72">
        <f t="shared" si="1169"/>
        <v>0</v>
      </c>
      <c r="S3123" s="72">
        <f t="shared" si="1170"/>
        <v>0.98862144420131282</v>
      </c>
      <c r="T3123" s="72">
        <f t="shared" si="1171"/>
        <v>0.98862144420131282</v>
      </c>
      <c r="U3123" s="72">
        <f t="shared" si="1172"/>
        <v>1</v>
      </c>
    </row>
    <row r="3124" spans="1:21" x14ac:dyDescent="0.25">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0.83966083150984683</v>
      </c>
      <c r="P3124" s="72">
        <f t="shared" si="1167"/>
        <v>0.20833333333333334</v>
      </c>
      <c r="Q3124" s="72">
        <f t="shared" si="1168"/>
        <v>0.79166666666666663</v>
      </c>
      <c r="R3124" s="72">
        <f t="shared" si="1169"/>
        <v>0</v>
      </c>
      <c r="S3124" s="72">
        <f t="shared" si="1170"/>
        <v>0.98783627236452576</v>
      </c>
      <c r="T3124" s="72">
        <f t="shared" si="1171"/>
        <v>0.98783627236452576</v>
      </c>
      <c r="U3124" s="72">
        <f t="shared" si="1172"/>
        <v>1</v>
      </c>
    </row>
    <row r="3125" spans="1:21" x14ac:dyDescent="0.25">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0.83899343544857763</v>
      </c>
      <c r="P3125" s="72">
        <f t="shared" si="1167"/>
        <v>0.125</v>
      </c>
      <c r="Q3125" s="72">
        <f t="shared" si="1168"/>
        <v>0.875</v>
      </c>
      <c r="R3125" s="72">
        <f t="shared" si="1169"/>
        <v>0</v>
      </c>
      <c r="S3125" s="72">
        <f t="shared" si="1170"/>
        <v>0.98705110052773837</v>
      </c>
      <c r="T3125" s="72">
        <f t="shared" si="1171"/>
        <v>0.98705110052773837</v>
      </c>
      <c r="U3125" s="72">
        <f t="shared" si="1172"/>
        <v>1</v>
      </c>
    </row>
    <row r="3126" spans="1:21" x14ac:dyDescent="0.25">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0.83832603938730854</v>
      </c>
      <c r="P3126" s="72">
        <f t="shared" si="1167"/>
        <v>4.1666666666666664E-2</v>
      </c>
      <c r="Q3126" s="72">
        <f t="shared" si="1168"/>
        <v>0.95833333333333337</v>
      </c>
      <c r="R3126" s="72">
        <f t="shared" si="1169"/>
        <v>0</v>
      </c>
      <c r="S3126" s="72">
        <f t="shared" si="1170"/>
        <v>0.9862659286909512</v>
      </c>
      <c r="T3126" s="72">
        <f t="shared" si="1171"/>
        <v>0.9862659286909512</v>
      </c>
      <c r="U3126" s="72">
        <f t="shared" si="1172"/>
        <v>1</v>
      </c>
    </row>
    <row r="3127" spans="1:21" x14ac:dyDescent="0.25">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0.83764770240700215</v>
      </c>
      <c r="P3127" s="72">
        <f t="shared" si="1167"/>
        <v>0</v>
      </c>
      <c r="Q3127" s="72">
        <f t="shared" si="1168"/>
        <v>0.95833333333333337</v>
      </c>
      <c r="R3127" s="72">
        <f t="shared" si="1169"/>
        <v>4.166666666666663E-2</v>
      </c>
      <c r="S3127" s="72">
        <f t="shared" si="1170"/>
        <v>0.9854678851847084</v>
      </c>
      <c r="T3127" s="72">
        <f t="shared" si="1171"/>
        <v>0.99486420388724417</v>
      </c>
      <c r="U3127" s="72">
        <f t="shared" si="1172"/>
        <v>1</v>
      </c>
    </row>
    <row r="3128" spans="1:21" x14ac:dyDescent="0.25">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0.83700218818380745</v>
      </c>
      <c r="P3128" s="72">
        <f t="shared" si="1167"/>
        <v>0</v>
      </c>
      <c r="Q3128" s="72">
        <f t="shared" si="1168"/>
        <v>0.875</v>
      </c>
      <c r="R3128" s="72">
        <f t="shared" si="1169"/>
        <v>0.125</v>
      </c>
      <c r="S3128" s="72">
        <f t="shared" si="1170"/>
        <v>0.98470845668683227</v>
      </c>
      <c r="T3128" s="72">
        <f t="shared" si="1171"/>
        <v>0.99410477538936803</v>
      </c>
      <c r="U3128" s="72">
        <f t="shared" si="1172"/>
        <v>1</v>
      </c>
    </row>
    <row r="3129" spans="1:21" x14ac:dyDescent="0.25">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0.83635667396061264</v>
      </c>
      <c r="P3129" s="72">
        <f t="shared" si="1167"/>
        <v>0</v>
      </c>
      <c r="Q3129" s="72">
        <f t="shared" si="1168"/>
        <v>0.79166666666666663</v>
      </c>
      <c r="R3129" s="72">
        <f t="shared" si="1169"/>
        <v>0.20833333333333337</v>
      </c>
      <c r="S3129" s="72">
        <f t="shared" si="1170"/>
        <v>0.98394902818895602</v>
      </c>
      <c r="T3129" s="72">
        <f t="shared" si="1171"/>
        <v>0.99334534689149179</v>
      </c>
      <c r="U3129" s="72">
        <f t="shared" si="1172"/>
        <v>1</v>
      </c>
    </row>
    <row r="3130" spans="1:21" x14ac:dyDescent="0.25">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0.83568927789934355</v>
      </c>
      <c r="P3130" s="72">
        <f t="shared" si="1167"/>
        <v>0</v>
      </c>
      <c r="Q3130" s="72">
        <f t="shared" si="1168"/>
        <v>0.70833333333333337</v>
      </c>
      <c r="R3130" s="72">
        <f t="shared" si="1169"/>
        <v>0.29166666666666663</v>
      </c>
      <c r="S3130" s="72">
        <f t="shared" si="1170"/>
        <v>0.98316385635216896</v>
      </c>
      <c r="T3130" s="72">
        <f t="shared" si="1171"/>
        <v>0.99256017505470462</v>
      </c>
      <c r="U3130" s="72">
        <f t="shared" si="1172"/>
        <v>1</v>
      </c>
    </row>
    <row r="3131" spans="1:21" x14ac:dyDescent="0.25">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0.83502188183807435</v>
      </c>
      <c r="P3131" s="72">
        <f t="shared" si="1167"/>
        <v>0</v>
      </c>
      <c r="Q3131" s="72">
        <f t="shared" si="1168"/>
        <v>0.625</v>
      </c>
      <c r="R3131" s="72">
        <f t="shared" si="1169"/>
        <v>0.375</v>
      </c>
      <c r="S3131" s="72">
        <f t="shared" si="1170"/>
        <v>0.98237868451538157</v>
      </c>
      <c r="T3131" s="72">
        <f t="shared" si="1171"/>
        <v>0.99177500321791734</v>
      </c>
      <c r="U3131" s="72">
        <f t="shared" si="1172"/>
        <v>1</v>
      </c>
    </row>
    <row r="3132" spans="1:21" x14ac:dyDescent="0.25">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0.83435448577680527</v>
      </c>
      <c r="P3132" s="72">
        <f t="shared" si="1167"/>
        <v>0</v>
      </c>
      <c r="Q3132" s="72">
        <f t="shared" si="1168"/>
        <v>0.54166666666666663</v>
      </c>
      <c r="R3132" s="72">
        <f t="shared" si="1169"/>
        <v>0.45833333333333337</v>
      </c>
      <c r="S3132" s="72">
        <f t="shared" si="1170"/>
        <v>0.9815935126785944</v>
      </c>
      <c r="T3132" s="72">
        <f t="shared" si="1171"/>
        <v>0.99098983138113017</v>
      </c>
      <c r="U3132" s="72">
        <f t="shared" si="1172"/>
        <v>1</v>
      </c>
    </row>
    <row r="3133" spans="1:21" x14ac:dyDescent="0.25">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0.83368708971553607</v>
      </c>
      <c r="P3133" s="72">
        <f t="shared" si="1167"/>
        <v>0</v>
      </c>
      <c r="Q3133" s="72">
        <f t="shared" si="1168"/>
        <v>0.45833333333333331</v>
      </c>
      <c r="R3133" s="72">
        <f t="shared" si="1169"/>
        <v>0.54166666666666674</v>
      </c>
      <c r="S3133" s="72">
        <f t="shared" si="1170"/>
        <v>0.98080834084180712</v>
      </c>
      <c r="T3133" s="72">
        <f t="shared" si="1171"/>
        <v>0.99020465954434289</v>
      </c>
      <c r="U3133" s="72">
        <f t="shared" si="1172"/>
        <v>1</v>
      </c>
    </row>
    <row r="3134" spans="1:21" x14ac:dyDescent="0.25">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0.83300875273522967</v>
      </c>
      <c r="P3134" s="72">
        <f t="shared" si="1167"/>
        <v>0</v>
      </c>
      <c r="Q3134" s="72">
        <f t="shared" si="1168"/>
        <v>0.375</v>
      </c>
      <c r="R3134" s="72">
        <f t="shared" si="1169"/>
        <v>0.625</v>
      </c>
      <c r="S3134" s="72">
        <f t="shared" si="1170"/>
        <v>0.98001029733556433</v>
      </c>
      <c r="T3134" s="72">
        <f t="shared" si="1171"/>
        <v>0.98940661603810021</v>
      </c>
      <c r="U3134" s="72">
        <f t="shared" si="1172"/>
        <v>1</v>
      </c>
    </row>
    <row r="3135" spans="1:21" x14ac:dyDescent="0.25">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0.83234135667396059</v>
      </c>
      <c r="P3135" s="72">
        <f t="shared" si="1167"/>
        <v>0</v>
      </c>
      <c r="Q3135" s="72">
        <f t="shared" si="1168"/>
        <v>0.29166666666666669</v>
      </c>
      <c r="R3135" s="72">
        <f t="shared" si="1169"/>
        <v>0.70833333333333326</v>
      </c>
      <c r="S3135" s="72">
        <f t="shared" si="1170"/>
        <v>0.97922512549877716</v>
      </c>
      <c r="T3135" s="72">
        <f t="shared" si="1171"/>
        <v>0.98862144420131282</v>
      </c>
      <c r="U3135" s="72">
        <f t="shared" si="1172"/>
        <v>1</v>
      </c>
    </row>
    <row r="3136" spans="1:21" x14ac:dyDescent="0.25">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0.83167396061269139</v>
      </c>
      <c r="P3136" s="72">
        <f t="shared" si="1167"/>
        <v>0</v>
      </c>
      <c r="Q3136" s="72">
        <f t="shared" si="1168"/>
        <v>0.20833333333333334</v>
      </c>
      <c r="R3136" s="72">
        <f t="shared" si="1169"/>
        <v>0.79166666666666663</v>
      </c>
      <c r="S3136" s="72">
        <f t="shared" si="1170"/>
        <v>0.97843995366198988</v>
      </c>
      <c r="T3136" s="72">
        <f t="shared" si="1171"/>
        <v>0.98783627236452576</v>
      </c>
      <c r="U3136" s="72">
        <f t="shared" si="1172"/>
        <v>1</v>
      </c>
    </row>
    <row r="3137" spans="1:21" x14ac:dyDescent="0.25">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0.8310065645514223</v>
      </c>
      <c r="P3137" s="72">
        <f t="shared" si="1167"/>
        <v>0</v>
      </c>
      <c r="Q3137" s="72">
        <f t="shared" si="1168"/>
        <v>0.125</v>
      </c>
      <c r="R3137" s="72">
        <f t="shared" si="1169"/>
        <v>0.875</v>
      </c>
      <c r="S3137" s="72">
        <f t="shared" si="1170"/>
        <v>0.97765478182520271</v>
      </c>
      <c r="T3137" s="72">
        <f t="shared" si="1171"/>
        <v>0.98705110052773837</v>
      </c>
      <c r="U3137" s="72">
        <f t="shared" si="1172"/>
        <v>1</v>
      </c>
    </row>
    <row r="3138" spans="1:21" x14ac:dyDescent="0.25">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0.8303391684901531</v>
      </c>
      <c r="P3138" s="72">
        <f t="shared" si="1167"/>
        <v>0</v>
      </c>
      <c r="Q3138" s="72">
        <f t="shared" si="1168"/>
        <v>4.1666666666666664E-2</v>
      </c>
      <c r="R3138" s="72">
        <f t="shared" si="1169"/>
        <v>0.95833333333333337</v>
      </c>
      <c r="S3138" s="72">
        <f t="shared" si="1170"/>
        <v>0.97686960998841543</v>
      </c>
      <c r="T3138" s="72">
        <f t="shared" si="1171"/>
        <v>0.9862659286909512</v>
      </c>
      <c r="U3138" s="72">
        <f t="shared" si="1172"/>
        <v>1</v>
      </c>
    </row>
    <row r="3139" spans="1:21" x14ac:dyDescent="0.25">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0.83</v>
      </c>
      <c r="P3139" s="72">
        <f t="shared" si="1167"/>
        <v>0</v>
      </c>
      <c r="Q3139" s="72">
        <f t="shared" si="1168"/>
        <v>0</v>
      </c>
      <c r="R3139" s="72">
        <f t="shared" si="1169"/>
        <v>0.95833333333333337</v>
      </c>
      <c r="S3139" s="72">
        <f t="shared" si="1170"/>
        <v>0.97647058823529409</v>
      </c>
      <c r="T3139" s="72">
        <f t="shared" si="1171"/>
        <v>0.99486420388724417</v>
      </c>
      <c r="U3139" s="72">
        <f t="shared" si="1172"/>
        <v>1</v>
      </c>
    </row>
    <row r="3140" spans="1:21" x14ac:dyDescent="0.25">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0.83</v>
      </c>
      <c r="P3140" s="72">
        <f t="shared" si="1167"/>
        <v>0</v>
      </c>
      <c r="Q3140" s="72">
        <f t="shared" si="1168"/>
        <v>0</v>
      </c>
      <c r="R3140" s="72">
        <f t="shared" si="1169"/>
        <v>0.875</v>
      </c>
      <c r="S3140" s="72">
        <f t="shared" si="1170"/>
        <v>0.97647058823529409</v>
      </c>
      <c r="T3140" s="72">
        <f t="shared" si="1171"/>
        <v>0.99410477538936803</v>
      </c>
      <c r="U3140" s="72">
        <f t="shared" si="1172"/>
        <v>1</v>
      </c>
    </row>
    <row r="3141" spans="1:21" x14ac:dyDescent="0.25">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0.83</v>
      </c>
      <c r="P3141" s="72">
        <f t="shared" si="1167"/>
        <v>0</v>
      </c>
      <c r="Q3141" s="72">
        <f t="shared" si="1168"/>
        <v>0</v>
      </c>
      <c r="R3141" s="72">
        <f t="shared" si="1169"/>
        <v>0.79166666666666663</v>
      </c>
      <c r="S3141" s="72">
        <f t="shared" si="1170"/>
        <v>0.97647058823529409</v>
      </c>
      <c r="T3141" s="72">
        <f t="shared" si="1171"/>
        <v>0.99334534689149179</v>
      </c>
      <c r="U3141" s="72">
        <f t="shared" si="1172"/>
        <v>1</v>
      </c>
    </row>
    <row r="3142" spans="1:21" x14ac:dyDescent="0.25">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0.83</v>
      </c>
      <c r="P3142" s="72">
        <f t="shared" si="1167"/>
        <v>0</v>
      </c>
      <c r="Q3142" s="72">
        <f t="shared" si="1168"/>
        <v>0</v>
      </c>
      <c r="R3142" s="72">
        <f t="shared" si="1169"/>
        <v>0.70833333333333337</v>
      </c>
      <c r="S3142" s="72">
        <f t="shared" si="1170"/>
        <v>0.97647058823529409</v>
      </c>
      <c r="T3142" s="72">
        <f t="shared" si="1171"/>
        <v>0.99256017505470462</v>
      </c>
      <c r="U3142" s="72">
        <f t="shared" si="1172"/>
        <v>1</v>
      </c>
    </row>
    <row r="3143" spans="1:21" x14ac:dyDescent="0.25">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0.83</v>
      </c>
      <c r="P3143" s="72">
        <f t="shared" si="1167"/>
        <v>0</v>
      </c>
      <c r="Q3143" s="72">
        <f t="shared" si="1168"/>
        <v>0</v>
      </c>
      <c r="R3143" s="72">
        <f t="shared" si="1169"/>
        <v>0.625</v>
      </c>
      <c r="S3143" s="72">
        <f t="shared" si="1170"/>
        <v>0.97647058823529409</v>
      </c>
      <c r="T3143" s="72">
        <f t="shared" si="1171"/>
        <v>0.99177500321791734</v>
      </c>
      <c r="U3143" s="72">
        <f t="shared" si="1172"/>
        <v>1</v>
      </c>
    </row>
    <row r="3144" spans="1:21" x14ac:dyDescent="0.25">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0.83</v>
      </c>
      <c r="P3144" s="72">
        <f t="shared" si="1167"/>
        <v>0</v>
      </c>
      <c r="Q3144" s="72">
        <f t="shared" si="1168"/>
        <v>0</v>
      </c>
      <c r="R3144" s="72">
        <f t="shared" si="1169"/>
        <v>0.54166666666666663</v>
      </c>
      <c r="S3144" s="72">
        <f t="shared" si="1170"/>
        <v>0.97647058823529409</v>
      </c>
      <c r="T3144" s="72">
        <f t="shared" si="1171"/>
        <v>0.99098983138113017</v>
      </c>
      <c r="U3144" s="72">
        <f t="shared" si="1172"/>
        <v>1</v>
      </c>
    </row>
    <row r="3145" spans="1:21" x14ac:dyDescent="0.25">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0.83</v>
      </c>
      <c r="P3145" s="72">
        <f t="shared" si="1167"/>
        <v>0</v>
      </c>
      <c r="Q3145" s="72">
        <f t="shared" si="1168"/>
        <v>0</v>
      </c>
      <c r="R3145" s="72">
        <f t="shared" si="1169"/>
        <v>0.45833333333333331</v>
      </c>
      <c r="S3145" s="72">
        <f t="shared" si="1170"/>
        <v>0.97647058823529409</v>
      </c>
      <c r="T3145" s="72">
        <f t="shared" si="1171"/>
        <v>0.99020465954434289</v>
      </c>
      <c r="U3145" s="72">
        <f t="shared" si="1172"/>
        <v>1</v>
      </c>
    </row>
    <row r="3146" spans="1:21" x14ac:dyDescent="0.25">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0.83</v>
      </c>
      <c r="P3146" s="72">
        <f t="shared" si="1167"/>
        <v>0</v>
      </c>
      <c r="Q3146" s="72">
        <f t="shared" si="1168"/>
        <v>0</v>
      </c>
      <c r="R3146" s="72">
        <f t="shared" si="1169"/>
        <v>0.375</v>
      </c>
      <c r="S3146" s="72">
        <f t="shared" si="1170"/>
        <v>0.97647058823529409</v>
      </c>
      <c r="T3146" s="72">
        <f t="shared" si="1171"/>
        <v>0.98940661603810021</v>
      </c>
      <c r="U3146" s="72">
        <f t="shared" si="1172"/>
        <v>1</v>
      </c>
    </row>
    <row r="3147" spans="1:21" x14ac:dyDescent="0.25">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0.83</v>
      </c>
      <c r="P3147" s="72">
        <f t="shared" si="1167"/>
        <v>0</v>
      </c>
      <c r="Q3147" s="72">
        <f t="shared" si="1168"/>
        <v>0</v>
      </c>
      <c r="R3147" s="72">
        <f t="shared" si="1169"/>
        <v>0.29166666666666669</v>
      </c>
      <c r="S3147" s="72">
        <f t="shared" si="1170"/>
        <v>0.97647058823529409</v>
      </c>
      <c r="T3147" s="72">
        <f t="shared" si="1171"/>
        <v>0.98862144420131282</v>
      </c>
      <c r="U3147" s="72">
        <f t="shared" si="1172"/>
        <v>1</v>
      </c>
    </row>
    <row r="3148" spans="1:21" x14ac:dyDescent="0.25">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0.83</v>
      </c>
      <c r="P3148" s="72">
        <f t="shared" si="1167"/>
        <v>0</v>
      </c>
      <c r="Q3148" s="72">
        <f t="shared" si="1168"/>
        <v>0</v>
      </c>
      <c r="R3148" s="72">
        <f t="shared" si="1169"/>
        <v>0.20833333333333334</v>
      </c>
      <c r="S3148" s="72">
        <f t="shared" si="1170"/>
        <v>0.97647058823529409</v>
      </c>
      <c r="T3148" s="72">
        <f t="shared" si="1171"/>
        <v>0.98783627236452576</v>
      </c>
      <c r="U3148" s="72">
        <f t="shared" si="1172"/>
        <v>1</v>
      </c>
    </row>
    <row r="3149" spans="1:21" x14ac:dyDescent="0.25">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0.83</v>
      </c>
      <c r="P3149" s="72">
        <f t="shared" si="1167"/>
        <v>0</v>
      </c>
      <c r="Q3149" s="72">
        <f t="shared" si="1168"/>
        <v>0</v>
      </c>
      <c r="R3149" s="72">
        <f t="shared" si="1169"/>
        <v>0.125</v>
      </c>
      <c r="S3149" s="72">
        <f t="shared" si="1170"/>
        <v>0.97647058823529409</v>
      </c>
      <c r="T3149" s="72">
        <f t="shared" si="1171"/>
        <v>0.98705110052773837</v>
      </c>
      <c r="U3149" s="72">
        <f t="shared" si="1172"/>
        <v>1</v>
      </c>
    </row>
    <row r="3150" spans="1:21" x14ac:dyDescent="0.25">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0.83</v>
      </c>
      <c r="P3150" s="72">
        <f t="shared" si="1167"/>
        <v>0</v>
      </c>
      <c r="Q3150" s="72">
        <f t="shared" si="1168"/>
        <v>0</v>
      </c>
      <c r="R3150" s="72">
        <f t="shared" si="1169"/>
        <v>4.1666666666666664E-2</v>
      </c>
      <c r="S3150" s="72">
        <f t="shared" si="1170"/>
        <v>0.97647058823529409</v>
      </c>
      <c r="T3150" s="72">
        <f t="shared" si="1171"/>
        <v>0.9862659286909512</v>
      </c>
      <c r="U3150" s="72">
        <f t="shared" si="1172"/>
        <v>1</v>
      </c>
    </row>
    <row r="3151" spans="1:21" x14ac:dyDescent="0.25">
      <c r="A3151" s="77" t="s">
        <v>1209</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0.8380041940189642</v>
      </c>
      <c r="G3151" s="169">
        <f>SUMPRODUCT($H$3103:$H$3150,$R$3103:$R$3150,$O$3103:$O$3150)/SUMPRODUCT($H$3103:$H$3150,$R$3103:$R$3150)</f>
        <v>0.83134364362995383</v>
      </c>
    </row>
    <row r="3154" spans="1:21" x14ac:dyDescent="0.25">
      <c r="A3154" s="77" t="str">
        <f>INDEX(lr_key,58)</f>
        <v>BU-C|NJ</v>
      </c>
      <c r="B3154" s="77" t="str">
        <f>INDEX(lr_state,58)</f>
        <v>NJ</v>
      </c>
      <c r="C3154" s="52">
        <f>nr_TermMonths</f>
        <v>12</v>
      </c>
      <c r="D3154" s="52">
        <f>IF(COUNTIF(se_state,$B3154)=0,0,MATCH($B3154,se_state,0))</f>
        <v>0</v>
      </c>
      <c r="E3154" s="54">
        <f>IF($D3154=0,0,INDEX(se_sum,$D3154))</f>
        <v>0</v>
      </c>
      <c r="F3154" s="169">
        <f>IF(N(INDEX(lr_mind,58))=0,1,INDEX(lr_mind,58))</f>
        <v>0.85</v>
      </c>
      <c r="G3154" s="169">
        <f>IF(N(INDEX(lr_m0,58))=0,1,INDEX(lr_m0,58))</f>
        <v>0.84</v>
      </c>
      <c r="H3154" s="51">
        <f>IF(N(INDEX(lr_m0asof,58))=0,DATE(nr_PlanYear-1,10,1),INDEX(lr_m0asof,58))</f>
        <v>46295</v>
      </c>
      <c r="I3154" s="169">
        <f>IF(N(INDEX(lr_m1,58))=0,1,INDEX(lr_m1,58))</f>
        <v>0.84499999999999997</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25">
      <c r="A3155" s="77">
        <f>EDATE($H$3154,-12)+1</f>
        <v>45931</v>
      </c>
      <c r="B3155" s="77">
        <f>$H$3154+1</f>
        <v>46296</v>
      </c>
      <c r="C3155" s="77">
        <f>DATE(nr_PlanYear,12,31)+1</f>
        <v>46753</v>
      </c>
      <c r="D3155" s="77">
        <f>DATE(nr_PlanYear+1,12,31)+1</f>
        <v>47119</v>
      </c>
      <c r="E3155" s="77">
        <f>IF(N($J$3154)=0,$F$3155-($G$3155-$F$3155)/($C$3155-$B$3155)*($B$3155-$A$3155),$J$3154)</f>
        <v>0.8360065645514223</v>
      </c>
      <c r="F3155" s="77">
        <f>$G$3154</f>
        <v>0.84</v>
      </c>
      <c r="G3155" s="77">
        <f>$I$3154</f>
        <v>0.84499999999999997</v>
      </c>
      <c r="H3155" s="77">
        <f>IF(N($K$3154)=0,$I$3154,$K$3154)</f>
        <v>0.84499999999999997</v>
      </c>
      <c r="I3155" s="77">
        <f>($F$3155-$E$3155)/($B$3155-$A$3155)</f>
        <v>1.0940919037199081E-5</v>
      </c>
      <c r="J3155" s="77">
        <f>($G$3155-$F$3155)/($C$3155-$B$3155)</f>
        <v>1.0940919037199135E-5</v>
      </c>
      <c r="K3155" s="77">
        <f>($H$3155-$G$3155)/($D$3155-$C$3155)</f>
        <v>0</v>
      </c>
    </row>
    <row r="3156" spans="1:21" ht="24" x14ac:dyDescent="0.25">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25">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0.83318927789934349</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0.98022267988158063</v>
      </c>
      <c r="T3157" s="72">
        <f t="shared" ref="T3157:T3204" si="1191">IF($G3157&lt;nr_MStartP,$S3157,$T3145*(1+IF($G3157&lt;nr_MStartP1,$M$3154,$N$3154)))</f>
        <v>0.98022267988158063</v>
      </c>
      <c r="U3157" s="72">
        <f t="shared" ref="U3157:U3204" si="1192">IF($L$3154,$T3157,$N3157)</f>
        <v>1</v>
      </c>
    </row>
    <row r="3158" spans="1:21" x14ac:dyDescent="0.25">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0.83351203501094095</v>
      </c>
      <c r="P3158" s="72">
        <f t="shared" si="1187"/>
        <v>0.125</v>
      </c>
      <c r="Q3158" s="72">
        <f t="shared" si="1188"/>
        <v>0</v>
      </c>
      <c r="R3158" s="72">
        <f t="shared" si="1189"/>
        <v>0</v>
      </c>
      <c r="S3158" s="72">
        <f t="shared" si="1190"/>
        <v>0.98060239413051875</v>
      </c>
      <c r="T3158" s="72">
        <f t="shared" si="1191"/>
        <v>0.98060239413051875</v>
      </c>
      <c r="U3158" s="72">
        <f t="shared" si="1192"/>
        <v>1</v>
      </c>
    </row>
    <row r="3159" spans="1:21" x14ac:dyDescent="0.25">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0.8338347921225383</v>
      </c>
      <c r="P3159" s="72">
        <f t="shared" si="1187"/>
        <v>0.20833333333333337</v>
      </c>
      <c r="Q3159" s="72">
        <f t="shared" si="1188"/>
        <v>0</v>
      </c>
      <c r="R3159" s="72">
        <f t="shared" si="1189"/>
        <v>0</v>
      </c>
      <c r="S3159" s="72">
        <f t="shared" si="1190"/>
        <v>0.98098210837945687</v>
      </c>
      <c r="T3159" s="72">
        <f t="shared" si="1191"/>
        <v>0.98098210837945687</v>
      </c>
      <c r="U3159" s="72">
        <f t="shared" si="1192"/>
        <v>1</v>
      </c>
    </row>
    <row r="3160" spans="1:21" x14ac:dyDescent="0.25">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0.83416849015317285</v>
      </c>
      <c r="P3160" s="72">
        <f t="shared" si="1187"/>
        <v>0.29166666666666663</v>
      </c>
      <c r="Q3160" s="72">
        <f t="shared" si="1188"/>
        <v>0</v>
      </c>
      <c r="R3160" s="72">
        <f t="shared" si="1189"/>
        <v>0</v>
      </c>
      <c r="S3160" s="72">
        <f t="shared" si="1190"/>
        <v>0.9813746942978504</v>
      </c>
      <c r="T3160" s="72">
        <f t="shared" si="1191"/>
        <v>0.9813746942978504</v>
      </c>
      <c r="U3160" s="72">
        <f t="shared" si="1192"/>
        <v>1</v>
      </c>
    </row>
    <row r="3161" spans="1:21" x14ac:dyDescent="0.25">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0.83450218818380739</v>
      </c>
      <c r="P3161" s="72">
        <f t="shared" si="1187"/>
        <v>0.375</v>
      </c>
      <c r="Q3161" s="72">
        <f t="shared" si="1188"/>
        <v>0</v>
      </c>
      <c r="R3161" s="72">
        <f t="shared" si="1189"/>
        <v>0</v>
      </c>
      <c r="S3161" s="72">
        <f t="shared" si="1190"/>
        <v>0.98176728021624404</v>
      </c>
      <c r="T3161" s="72">
        <f t="shared" si="1191"/>
        <v>0.98176728021624404</v>
      </c>
      <c r="U3161" s="72">
        <f t="shared" si="1192"/>
        <v>1</v>
      </c>
    </row>
    <row r="3162" spans="1:21" x14ac:dyDescent="0.25">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0.83483588621444205</v>
      </c>
      <c r="P3162" s="72">
        <f t="shared" si="1187"/>
        <v>0.45833333333333337</v>
      </c>
      <c r="Q3162" s="72">
        <f t="shared" si="1188"/>
        <v>0</v>
      </c>
      <c r="R3162" s="72">
        <f t="shared" si="1189"/>
        <v>0</v>
      </c>
      <c r="S3162" s="72">
        <f t="shared" si="1190"/>
        <v>0.98215986613463768</v>
      </c>
      <c r="T3162" s="72">
        <f t="shared" si="1191"/>
        <v>0.98215986613463768</v>
      </c>
      <c r="U3162" s="72">
        <f t="shared" si="1192"/>
        <v>1</v>
      </c>
    </row>
    <row r="3163" spans="1:21" x14ac:dyDescent="0.25">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0.83516958424507659</v>
      </c>
      <c r="P3163" s="72">
        <f t="shared" si="1187"/>
        <v>0.54166666666666674</v>
      </c>
      <c r="Q3163" s="72">
        <f t="shared" si="1188"/>
        <v>0</v>
      </c>
      <c r="R3163" s="72">
        <f t="shared" si="1189"/>
        <v>0</v>
      </c>
      <c r="S3163" s="72">
        <f t="shared" si="1190"/>
        <v>0.98255245205303132</v>
      </c>
      <c r="T3163" s="72">
        <f t="shared" si="1191"/>
        <v>0.98255245205303132</v>
      </c>
      <c r="U3163" s="72">
        <f t="shared" si="1192"/>
        <v>1</v>
      </c>
    </row>
    <row r="3164" spans="1:21" x14ac:dyDescent="0.25">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0.83550875273522973</v>
      </c>
      <c r="P3164" s="72">
        <f t="shared" si="1187"/>
        <v>0.625</v>
      </c>
      <c r="Q3164" s="72">
        <f t="shared" si="1188"/>
        <v>0</v>
      </c>
      <c r="R3164" s="72">
        <f t="shared" si="1189"/>
        <v>0</v>
      </c>
      <c r="S3164" s="72">
        <f t="shared" si="1190"/>
        <v>0.98295147380615266</v>
      </c>
      <c r="T3164" s="72">
        <f t="shared" si="1191"/>
        <v>0.98295147380615266</v>
      </c>
      <c r="U3164" s="72">
        <f t="shared" si="1192"/>
        <v>1</v>
      </c>
    </row>
    <row r="3165" spans="1:21" x14ac:dyDescent="0.25">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0.83584245076586428</v>
      </c>
      <c r="P3165" s="72">
        <f t="shared" si="1187"/>
        <v>0.70833333333333326</v>
      </c>
      <c r="Q3165" s="72">
        <f t="shared" si="1188"/>
        <v>0</v>
      </c>
      <c r="R3165" s="72">
        <f t="shared" si="1189"/>
        <v>0</v>
      </c>
      <c r="S3165" s="72">
        <f t="shared" si="1190"/>
        <v>0.98334405972454619</v>
      </c>
      <c r="T3165" s="72">
        <f t="shared" si="1191"/>
        <v>0.98334405972454619</v>
      </c>
      <c r="U3165" s="72">
        <f t="shared" si="1192"/>
        <v>1</v>
      </c>
    </row>
    <row r="3166" spans="1:21" x14ac:dyDescent="0.25">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0.83617614879649893</v>
      </c>
      <c r="P3166" s="72">
        <f t="shared" si="1187"/>
        <v>0.79166666666666663</v>
      </c>
      <c r="Q3166" s="72">
        <f t="shared" si="1188"/>
        <v>0</v>
      </c>
      <c r="R3166" s="72">
        <f t="shared" si="1189"/>
        <v>0</v>
      </c>
      <c r="S3166" s="72">
        <f t="shared" si="1190"/>
        <v>0.98373664564293994</v>
      </c>
      <c r="T3166" s="72">
        <f t="shared" si="1191"/>
        <v>0.98373664564293994</v>
      </c>
      <c r="U3166" s="72">
        <f t="shared" si="1192"/>
        <v>1</v>
      </c>
    </row>
    <row r="3167" spans="1:21" x14ac:dyDescent="0.25">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0.83650984682713347</v>
      </c>
      <c r="P3167" s="72">
        <f t="shared" si="1187"/>
        <v>0.875</v>
      </c>
      <c r="Q3167" s="72">
        <f t="shared" si="1188"/>
        <v>0</v>
      </c>
      <c r="R3167" s="72">
        <f t="shared" si="1189"/>
        <v>0</v>
      </c>
      <c r="S3167" s="72">
        <f t="shared" si="1190"/>
        <v>0.98412923156133347</v>
      </c>
      <c r="T3167" s="72">
        <f t="shared" si="1191"/>
        <v>0.98412923156133347</v>
      </c>
      <c r="U3167" s="72">
        <f t="shared" si="1192"/>
        <v>1</v>
      </c>
    </row>
    <row r="3168" spans="1:21" x14ac:dyDescent="0.25">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0.83684354485776802</v>
      </c>
      <c r="P3168" s="72">
        <f t="shared" si="1187"/>
        <v>0.95833333333333337</v>
      </c>
      <c r="Q3168" s="72">
        <f t="shared" si="1188"/>
        <v>0</v>
      </c>
      <c r="R3168" s="72">
        <f t="shared" si="1189"/>
        <v>0</v>
      </c>
      <c r="S3168" s="72">
        <f t="shared" si="1190"/>
        <v>0.98452181747972711</v>
      </c>
      <c r="T3168" s="72">
        <f t="shared" si="1191"/>
        <v>0.98452181747972711</v>
      </c>
      <c r="U3168" s="72">
        <f t="shared" si="1192"/>
        <v>1</v>
      </c>
    </row>
    <row r="3169" spans="1:21" x14ac:dyDescent="0.25">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0.83718271334792116</v>
      </c>
      <c r="P3169" s="72">
        <f t="shared" si="1187"/>
        <v>0.95833333333333337</v>
      </c>
      <c r="Q3169" s="72">
        <f t="shared" si="1188"/>
        <v>4.166666666666663E-2</v>
      </c>
      <c r="R3169" s="72">
        <f t="shared" si="1189"/>
        <v>0</v>
      </c>
      <c r="S3169" s="72">
        <f t="shared" si="1190"/>
        <v>0.98492083923284846</v>
      </c>
      <c r="T3169" s="72">
        <f t="shared" si="1191"/>
        <v>0.98492083923284846</v>
      </c>
      <c r="U3169" s="72">
        <f t="shared" si="1192"/>
        <v>1</v>
      </c>
    </row>
    <row r="3170" spans="1:21" x14ac:dyDescent="0.25">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0.83750547045951862</v>
      </c>
      <c r="P3170" s="72">
        <f t="shared" si="1187"/>
        <v>0.875</v>
      </c>
      <c r="Q3170" s="72">
        <f t="shared" si="1188"/>
        <v>0.125</v>
      </c>
      <c r="R3170" s="72">
        <f t="shared" si="1189"/>
        <v>0</v>
      </c>
      <c r="S3170" s="72">
        <f t="shared" si="1190"/>
        <v>0.98530055348178669</v>
      </c>
      <c r="T3170" s="72">
        <f t="shared" si="1191"/>
        <v>0.98530055348178669</v>
      </c>
      <c r="U3170" s="72">
        <f t="shared" si="1192"/>
        <v>1</v>
      </c>
    </row>
    <row r="3171" spans="1:21" x14ac:dyDescent="0.25">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0.83782822757111597</v>
      </c>
      <c r="P3171" s="72">
        <f t="shared" si="1187"/>
        <v>0.79166666666666663</v>
      </c>
      <c r="Q3171" s="72">
        <f t="shared" si="1188"/>
        <v>0.20833333333333337</v>
      </c>
      <c r="R3171" s="72">
        <f t="shared" si="1189"/>
        <v>0</v>
      </c>
      <c r="S3171" s="72">
        <f t="shared" si="1190"/>
        <v>0.9856802677307247</v>
      </c>
      <c r="T3171" s="72">
        <f t="shared" si="1191"/>
        <v>0.9856802677307247</v>
      </c>
      <c r="U3171" s="72">
        <f t="shared" si="1192"/>
        <v>1</v>
      </c>
    </row>
    <row r="3172" spans="1:21" x14ac:dyDescent="0.25">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0.83816192560175051</v>
      </c>
      <c r="P3172" s="72">
        <f t="shared" si="1187"/>
        <v>0.70833333333333337</v>
      </c>
      <c r="Q3172" s="72">
        <f t="shared" si="1188"/>
        <v>0.29166666666666663</v>
      </c>
      <c r="R3172" s="72">
        <f t="shared" si="1189"/>
        <v>0</v>
      </c>
      <c r="S3172" s="72">
        <f t="shared" si="1190"/>
        <v>0.98607285364911823</v>
      </c>
      <c r="T3172" s="72">
        <f t="shared" si="1191"/>
        <v>0.98607285364911823</v>
      </c>
      <c r="U3172" s="72">
        <f t="shared" si="1192"/>
        <v>1</v>
      </c>
    </row>
    <row r="3173" spans="1:21" x14ac:dyDescent="0.25">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0.83849562363238506</v>
      </c>
      <c r="P3173" s="72">
        <f t="shared" si="1187"/>
        <v>0.625</v>
      </c>
      <c r="Q3173" s="72">
        <f t="shared" si="1188"/>
        <v>0.375</v>
      </c>
      <c r="R3173" s="72">
        <f t="shared" si="1189"/>
        <v>0</v>
      </c>
      <c r="S3173" s="72">
        <f t="shared" si="1190"/>
        <v>0.98646543956751187</v>
      </c>
      <c r="T3173" s="72">
        <f t="shared" si="1191"/>
        <v>0.98646543956751187</v>
      </c>
      <c r="U3173" s="72">
        <f t="shared" si="1192"/>
        <v>1</v>
      </c>
    </row>
    <row r="3174" spans="1:21" x14ac:dyDescent="0.25">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0.83882932166301971</v>
      </c>
      <c r="P3174" s="72">
        <f t="shared" si="1187"/>
        <v>0.54166666666666663</v>
      </c>
      <c r="Q3174" s="72">
        <f t="shared" si="1188"/>
        <v>0.45833333333333337</v>
      </c>
      <c r="R3174" s="72">
        <f t="shared" si="1189"/>
        <v>0</v>
      </c>
      <c r="S3174" s="72">
        <f t="shared" si="1190"/>
        <v>0.98685802548590562</v>
      </c>
      <c r="T3174" s="72">
        <f t="shared" si="1191"/>
        <v>0.98685802548590562</v>
      </c>
      <c r="U3174" s="72">
        <f t="shared" si="1192"/>
        <v>1</v>
      </c>
    </row>
    <row r="3175" spans="1:21" x14ac:dyDescent="0.25">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0.83916301969365426</v>
      </c>
      <c r="P3175" s="72">
        <f t="shared" si="1187"/>
        <v>0.45833333333333331</v>
      </c>
      <c r="Q3175" s="72">
        <f t="shared" si="1188"/>
        <v>0.54166666666666674</v>
      </c>
      <c r="R3175" s="72">
        <f t="shared" si="1189"/>
        <v>0</v>
      </c>
      <c r="S3175" s="72">
        <f t="shared" si="1190"/>
        <v>0.98725061140429915</v>
      </c>
      <c r="T3175" s="72">
        <f t="shared" si="1191"/>
        <v>0.98725061140429915</v>
      </c>
      <c r="U3175" s="72">
        <f t="shared" si="1192"/>
        <v>1</v>
      </c>
    </row>
    <row r="3176" spans="1:21" x14ac:dyDescent="0.25">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0.8395021881838074</v>
      </c>
      <c r="P3176" s="72">
        <f t="shared" si="1187"/>
        <v>0.375</v>
      </c>
      <c r="Q3176" s="72">
        <f t="shared" si="1188"/>
        <v>0.625</v>
      </c>
      <c r="R3176" s="72">
        <f t="shared" si="1189"/>
        <v>0</v>
      </c>
      <c r="S3176" s="72">
        <f t="shared" si="1190"/>
        <v>0.98764963315742049</v>
      </c>
      <c r="T3176" s="72">
        <f t="shared" si="1191"/>
        <v>0.98764963315742049</v>
      </c>
      <c r="U3176" s="72">
        <f t="shared" si="1192"/>
        <v>1</v>
      </c>
    </row>
    <row r="3177" spans="1:21" x14ac:dyDescent="0.25">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0.83983588621444194</v>
      </c>
      <c r="P3177" s="72">
        <f t="shared" si="1187"/>
        <v>0.29166666666666669</v>
      </c>
      <c r="Q3177" s="72">
        <f t="shared" si="1188"/>
        <v>0.70833333333333326</v>
      </c>
      <c r="R3177" s="72">
        <f t="shared" si="1189"/>
        <v>0</v>
      </c>
      <c r="S3177" s="72">
        <f t="shared" si="1190"/>
        <v>0.98804221907581402</v>
      </c>
      <c r="T3177" s="72">
        <f t="shared" si="1191"/>
        <v>0.98804221907581402</v>
      </c>
      <c r="U3177" s="72">
        <f t="shared" si="1192"/>
        <v>1</v>
      </c>
    </row>
    <row r="3178" spans="1:21" x14ac:dyDescent="0.25">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0.84016958424507659</v>
      </c>
      <c r="P3178" s="72">
        <f t="shared" si="1187"/>
        <v>0.20833333333333334</v>
      </c>
      <c r="Q3178" s="72">
        <f t="shared" si="1188"/>
        <v>0.79166666666666663</v>
      </c>
      <c r="R3178" s="72">
        <f t="shared" si="1189"/>
        <v>0</v>
      </c>
      <c r="S3178" s="72">
        <f t="shared" si="1190"/>
        <v>1.0279721971939761</v>
      </c>
      <c r="T3178" s="72">
        <f t="shared" si="1191"/>
        <v>1.0279721971939761</v>
      </c>
      <c r="U3178" s="72">
        <f t="shared" si="1192"/>
        <v>1.04</v>
      </c>
    </row>
    <row r="3179" spans="1:21" x14ac:dyDescent="0.25">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0.84050328227571114</v>
      </c>
      <c r="P3179" s="72">
        <f t="shared" si="1187"/>
        <v>0.125</v>
      </c>
      <c r="Q3179" s="72">
        <f t="shared" si="1188"/>
        <v>0.875</v>
      </c>
      <c r="R3179" s="72">
        <f t="shared" si="1189"/>
        <v>0</v>
      </c>
      <c r="S3179" s="72">
        <f t="shared" si="1190"/>
        <v>1.0283804865491055</v>
      </c>
      <c r="T3179" s="72">
        <f t="shared" si="1191"/>
        <v>1.0283804865491055</v>
      </c>
      <c r="U3179" s="72">
        <f t="shared" si="1192"/>
        <v>1.04</v>
      </c>
    </row>
    <row r="3180" spans="1:21" x14ac:dyDescent="0.25">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0.84083698030634568</v>
      </c>
      <c r="P3180" s="72">
        <f t="shared" si="1187"/>
        <v>4.1666666666666664E-2</v>
      </c>
      <c r="Q3180" s="72">
        <f t="shared" si="1188"/>
        <v>0.95833333333333337</v>
      </c>
      <c r="R3180" s="72">
        <f t="shared" si="1189"/>
        <v>0</v>
      </c>
      <c r="S3180" s="72">
        <f t="shared" si="1190"/>
        <v>1.0287887759042347</v>
      </c>
      <c r="T3180" s="72">
        <f t="shared" si="1191"/>
        <v>1.0287887759042347</v>
      </c>
      <c r="U3180" s="72">
        <f t="shared" si="1192"/>
        <v>1.04</v>
      </c>
    </row>
    <row r="3181" spans="1:21" x14ac:dyDescent="0.25">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0.84117614879649882</v>
      </c>
      <c r="P3181" s="72">
        <f t="shared" si="1187"/>
        <v>0</v>
      </c>
      <c r="Q3181" s="72">
        <f t="shared" si="1188"/>
        <v>0.95833333333333337</v>
      </c>
      <c r="R3181" s="72">
        <f t="shared" si="1189"/>
        <v>4.166666666666663E-2</v>
      </c>
      <c r="S3181" s="72">
        <f t="shared" si="1190"/>
        <v>1.0292037585274809</v>
      </c>
      <c r="T3181" s="72">
        <f t="shared" si="1191"/>
        <v>0.98492083923284846</v>
      </c>
      <c r="U3181" s="72">
        <f t="shared" si="1192"/>
        <v>1.04</v>
      </c>
    </row>
    <row r="3182" spans="1:21" x14ac:dyDescent="0.25">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0.84149890590809628</v>
      </c>
      <c r="P3182" s="72">
        <f t="shared" si="1187"/>
        <v>0</v>
      </c>
      <c r="Q3182" s="72">
        <f t="shared" si="1188"/>
        <v>0.875</v>
      </c>
      <c r="R3182" s="72">
        <f t="shared" si="1189"/>
        <v>0.125</v>
      </c>
      <c r="S3182" s="72">
        <f t="shared" si="1190"/>
        <v>1.0295986613463768</v>
      </c>
      <c r="T3182" s="72">
        <f t="shared" si="1191"/>
        <v>0.98530055348178669</v>
      </c>
      <c r="U3182" s="72">
        <f t="shared" si="1192"/>
        <v>1.04</v>
      </c>
    </row>
    <row r="3183" spans="1:21" x14ac:dyDescent="0.25">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0.84182166301969363</v>
      </c>
      <c r="P3183" s="72">
        <f t="shared" si="1187"/>
        <v>0</v>
      </c>
      <c r="Q3183" s="72">
        <f t="shared" si="1188"/>
        <v>0.79166666666666663</v>
      </c>
      <c r="R3183" s="72">
        <f t="shared" si="1189"/>
        <v>0.20833333333333337</v>
      </c>
      <c r="S3183" s="72">
        <f t="shared" si="1190"/>
        <v>1.0299935641652722</v>
      </c>
      <c r="T3183" s="72">
        <f t="shared" si="1191"/>
        <v>0.9856802677307247</v>
      </c>
      <c r="U3183" s="72">
        <f t="shared" si="1192"/>
        <v>1.04</v>
      </c>
    </row>
    <row r="3184" spans="1:21" x14ac:dyDescent="0.25">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0.84215536105032818</v>
      </c>
      <c r="P3184" s="72">
        <f t="shared" si="1187"/>
        <v>0</v>
      </c>
      <c r="Q3184" s="72">
        <f t="shared" si="1188"/>
        <v>0.70833333333333337</v>
      </c>
      <c r="R3184" s="72">
        <f t="shared" si="1189"/>
        <v>0.29166666666666663</v>
      </c>
      <c r="S3184" s="72">
        <f t="shared" si="1190"/>
        <v>1.0304018535204016</v>
      </c>
      <c r="T3184" s="72">
        <f t="shared" si="1191"/>
        <v>0.98607285364911823</v>
      </c>
      <c r="U3184" s="72">
        <f t="shared" si="1192"/>
        <v>1.04</v>
      </c>
    </row>
    <row r="3185" spans="1:21" x14ac:dyDescent="0.25">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0.84248905908096272</v>
      </c>
      <c r="P3185" s="72">
        <f t="shared" si="1187"/>
        <v>0</v>
      </c>
      <c r="Q3185" s="72">
        <f t="shared" si="1188"/>
        <v>0.625</v>
      </c>
      <c r="R3185" s="72">
        <f t="shared" si="1189"/>
        <v>0.375</v>
      </c>
      <c r="S3185" s="72">
        <f t="shared" si="1190"/>
        <v>1.030810142875531</v>
      </c>
      <c r="T3185" s="72">
        <f t="shared" si="1191"/>
        <v>0.98646543956751187</v>
      </c>
      <c r="U3185" s="72">
        <f t="shared" si="1192"/>
        <v>1.04</v>
      </c>
    </row>
    <row r="3186" spans="1:21" x14ac:dyDescent="0.25">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0.84282275711159738</v>
      </c>
      <c r="P3186" s="72">
        <f t="shared" si="1187"/>
        <v>0</v>
      </c>
      <c r="Q3186" s="72">
        <f t="shared" si="1188"/>
        <v>0.54166666666666663</v>
      </c>
      <c r="R3186" s="72">
        <f t="shared" si="1189"/>
        <v>0.45833333333333337</v>
      </c>
      <c r="S3186" s="72">
        <f t="shared" si="1190"/>
        <v>1.0312184322306603</v>
      </c>
      <c r="T3186" s="72">
        <f t="shared" si="1191"/>
        <v>0.98685802548590562</v>
      </c>
      <c r="U3186" s="72">
        <f t="shared" si="1192"/>
        <v>1.04</v>
      </c>
    </row>
    <row r="3187" spans="1:21" x14ac:dyDescent="0.25">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0.84315645514223192</v>
      </c>
      <c r="P3187" s="72">
        <f t="shared" si="1187"/>
        <v>0</v>
      </c>
      <c r="Q3187" s="72">
        <f t="shared" si="1188"/>
        <v>0.45833333333333331</v>
      </c>
      <c r="R3187" s="72">
        <f t="shared" si="1189"/>
        <v>0.54166666666666674</v>
      </c>
      <c r="S3187" s="72">
        <f t="shared" si="1190"/>
        <v>1.0316267215857897</v>
      </c>
      <c r="T3187" s="72">
        <f t="shared" si="1191"/>
        <v>0.98725061140429915</v>
      </c>
      <c r="U3187" s="72">
        <f t="shared" si="1192"/>
        <v>1.04</v>
      </c>
    </row>
    <row r="3188" spans="1:21" x14ac:dyDescent="0.25">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0.84349562363238506</v>
      </c>
      <c r="P3188" s="72">
        <f t="shared" si="1187"/>
        <v>0</v>
      </c>
      <c r="Q3188" s="72">
        <f t="shared" si="1188"/>
        <v>0.375</v>
      </c>
      <c r="R3188" s="72">
        <f t="shared" si="1189"/>
        <v>0.625</v>
      </c>
      <c r="S3188" s="72">
        <f t="shared" si="1190"/>
        <v>1.0733233723773974</v>
      </c>
      <c r="T3188" s="72">
        <f t="shared" si="1191"/>
        <v>0.98764963315742049</v>
      </c>
      <c r="U3188" s="72">
        <f t="shared" si="1192"/>
        <v>1.0816000000000001</v>
      </c>
    </row>
    <row r="3189" spans="1:21" x14ac:dyDescent="0.25">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0.84382932166301972</v>
      </c>
      <c r="P3189" s="72">
        <f t="shared" si="1187"/>
        <v>0</v>
      </c>
      <c r="Q3189" s="72">
        <f t="shared" si="1188"/>
        <v>0.29166666666666669</v>
      </c>
      <c r="R3189" s="72">
        <f t="shared" si="1189"/>
        <v>0.70833333333333326</v>
      </c>
      <c r="S3189" s="72">
        <f t="shared" si="1190"/>
        <v>1.073747993306732</v>
      </c>
      <c r="T3189" s="72">
        <f t="shared" si="1191"/>
        <v>0.98804221907581402</v>
      </c>
      <c r="U3189" s="72">
        <f t="shared" si="1192"/>
        <v>1.0816000000000001</v>
      </c>
    </row>
    <row r="3190" spans="1:21" x14ac:dyDescent="0.25">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0.84416301969365426</v>
      </c>
      <c r="P3190" s="72">
        <f t="shared" si="1187"/>
        <v>0</v>
      </c>
      <c r="Q3190" s="72">
        <f t="shared" si="1188"/>
        <v>0.20833333333333334</v>
      </c>
      <c r="R3190" s="72">
        <f t="shared" si="1189"/>
        <v>0.79166666666666663</v>
      </c>
      <c r="S3190" s="72">
        <f t="shared" si="1190"/>
        <v>1.0741726142360666</v>
      </c>
      <c r="T3190" s="72">
        <f t="shared" si="1191"/>
        <v>1.0279721971939761</v>
      </c>
      <c r="U3190" s="72">
        <f t="shared" si="1192"/>
        <v>1.0816000000000001</v>
      </c>
    </row>
    <row r="3191" spans="1:21" x14ac:dyDescent="0.25">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0.8444967177242888</v>
      </c>
      <c r="P3191" s="72">
        <f t="shared" si="1187"/>
        <v>0</v>
      </c>
      <c r="Q3191" s="72">
        <f t="shared" si="1188"/>
        <v>0.125</v>
      </c>
      <c r="R3191" s="72">
        <f t="shared" si="1189"/>
        <v>0.875</v>
      </c>
      <c r="S3191" s="72">
        <f t="shared" si="1190"/>
        <v>1.0745972351654012</v>
      </c>
      <c r="T3191" s="72">
        <f t="shared" si="1191"/>
        <v>1.0283804865491055</v>
      </c>
      <c r="U3191" s="72">
        <f t="shared" si="1192"/>
        <v>1.0816000000000001</v>
      </c>
    </row>
    <row r="3192" spans="1:21" x14ac:dyDescent="0.25">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0.84483041575492335</v>
      </c>
      <c r="P3192" s="72">
        <f t="shared" si="1187"/>
        <v>0</v>
      </c>
      <c r="Q3192" s="72">
        <f t="shared" si="1188"/>
        <v>4.1666666666666664E-2</v>
      </c>
      <c r="R3192" s="72">
        <f t="shared" si="1189"/>
        <v>0.95833333333333337</v>
      </c>
      <c r="S3192" s="72">
        <f t="shared" si="1190"/>
        <v>1.0750218560947356</v>
      </c>
      <c r="T3192" s="72">
        <f t="shared" si="1191"/>
        <v>1.0287887759042347</v>
      </c>
      <c r="U3192" s="72">
        <f t="shared" si="1192"/>
        <v>1.0816000000000001</v>
      </c>
    </row>
    <row r="3193" spans="1:21" x14ac:dyDescent="0.25">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0.84499999999999997</v>
      </c>
      <c r="P3193" s="72">
        <f t="shared" si="1187"/>
        <v>0</v>
      </c>
      <c r="Q3193" s="72">
        <f t="shared" si="1188"/>
        <v>0</v>
      </c>
      <c r="R3193" s="72">
        <f t="shared" si="1189"/>
        <v>0.95833333333333337</v>
      </c>
      <c r="S3193" s="72">
        <f t="shared" si="1190"/>
        <v>1.0752376470588236</v>
      </c>
      <c r="T3193" s="72">
        <f t="shared" si="1191"/>
        <v>0.98492083923284846</v>
      </c>
      <c r="U3193" s="72">
        <f t="shared" si="1192"/>
        <v>1.0816000000000001</v>
      </c>
    </row>
    <row r="3194" spans="1:21" x14ac:dyDescent="0.25">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0.84499999999999997</v>
      </c>
      <c r="P3194" s="72">
        <f t="shared" si="1187"/>
        <v>0</v>
      </c>
      <c r="Q3194" s="72">
        <f t="shared" si="1188"/>
        <v>0</v>
      </c>
      <c r="R3194" s="72">
        <f t="shared" si="1189"/>
        <v>0.875</v>
      </c>
      <c r="S3194" s="72">
        <f t="shared" si="1190"/>
        <v>1.0752376470588236</v>
      </c>
      <c r="T3194" s="72">
        <f t="shared" si="1191"/>
        <v>0.98530055348178669</v>
      </c>
      <c r="U3194" s="72">
        <f t="shared" si="1192"/>
        <v>1.0816000000000001</v>
      </c>
    </row>
    <row r="3195" spans="1:21" x14ac:dyDescent="0.25">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0.84499999999999997</v>
      </c>
      <c r="P3195" s="72">
        <f t="shared" si="1187"/>
        <v>0</v>
      </c>
      <c r="Q3195" s="72">
        <f t="shared" si="1188"/>
        <v>0</v>
      </c>
      <c r="R3195" s="72">
        <f t="shared" si="1189"/>
        <v>0.79166666666666663</v>
      </c>
      <c r="S3195" s="72">
        <f t="shared" si="1190"/>
        <v>1.0752376470588236</v>
      </c>
      <c r="T3195" s="72">
        <f t="shared" si="1191"/>
        <v>0.9856802677307247</v>
      </c>
      <c r="U3195" s="72">
        <f t="shared" si="1192"/>
        <v>1.0816000000000001</v>
      </c>
    </row>
    <row r="3196" spans="1:21" x14ac:dyDescent="0.25">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0.84499999999999997</v>
      </c>
      <c r="P3196" s="72">
        <f t="shared" si="1187"/>
        <v>0</v>
      </c>
      <c r="Q3196" s="72">
        <f t="shared" si="1188"/>
        <v>0</v>
      </c>
      <c r="R3196" s="72">
        <f t="shared" si="1189"/>
        <v>0.70833333333333337</v>
      </c>
      <c r="S3196" s="72">
        <f t="shared" si="1190"/>
        <v>1.0752376470588236</v>
      </c>
      <c r="T3196" s="72">
        <f t="shared" si="1191"/>
        <v>0.98607285364911823</v>
      </c>
      <c r="U3196" s="72">
        <f t="shared" si="1192"/>
        <v>1.0816000000000001</v>
      </c>
    </row>
    <row r="3197" spans="1:21" x14ac:dyDescent="0.25">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0.84499999999999997</v>
      </c>
      <c r="P3197" s="72">
        <f t="shared" si="1187"/>
        <v>0</v>
      </c>
      <c r="Q3197" s="72">
        <f t="shared" si="1188"/>
        <v>0</v>
      </c>
      <c r="R3197" s="72">
        <f t="shared" si="1189"/>
        <v>0.625</v>
      </c>
      <c r="S3197" s="72">
        <f t="shared" si="1190"/>
        <v>1.0752376470588236</v>
      </c>
      <c r="T3197" s="72">
        <f t="shared" si="1191"/>
        <v>0.98646543956751187</v>
      </c>
      <c r="U3197" s="72">
        <f t="shared" si="1192"/>
        <v>1.0816000000000001</v>
      </c>
    </row>
    <row r="3198" spans="1:21" x14ac:dyDescent="0.25">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0.84499999999999997</v>
      </c>
      <c r="P3198" s="72">
        <f t="shared" si="1187"/>
        <v>0</v>
      </c>
      <c r="Q3198" s="72">
        <f t="shared" si="1188"/>
        <v>0</v>
      </c>
      <c r="R3198" s="72">
        <f t="shared" si="1189"/>
        <v>0.54166666666666663</v>
      </c>
      <c r="S3198" s="72">
        <f t="shared" si="1190"/>
        <v>1.0752376470588236</v>
      </c>
      <c r="T3198" s="72">
        <f t="shared" si="1191"/>
        <v>0.98685802548590562</v>
      </c>
      <c r="U3198" s="72">
        <f t="shared" si="1192"/>
        <v>1.0816000000000001</v>
      </c>
    </row>
    <row r="3199" spans="1:21" x14ac:dyDescent="0.25">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0.84499999999999997</v>
      </c>
      <c r="P3199" s="72">
        <f t="shared" si="1187"/>
        <v>0</v>
      </c>
      <c r="Q3199" s="72">
        <f t="shared" si="1188"/>
        <v>0</v>
      </c>
      <c r="R3199" s="72">
        <f t="shared" si="1189"/>
        <v>0.45833333333333331</v>
      </c>
      <c r="S3199" s="72">
        <f t="shared" si="1190"/>
        <v>1.0752376470588236</v>
      </c>
      <c r="T3199" s="72">
        <f t="shared" si="1191"/>
        <v>0.98725061140429915</v>
      </c>
      <c r="U3199" s="72">
        <f t="shared" si="1192"/>
        <v>1.0816000000000001</v>
      </c>
    </row>
    <row r="3200" spans="1:21" x14ac:dyDescent="0.25">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0.84499999999999997</v>
      </c>
      <c r="P3200" s="72">
        <f t="shared" si="1187"/>
        <v>0</v>
      </c>
      <c r="Q3200" s="72">
        <f t="shared" si="1188"/>
        <v>0</v>
      </c>
      <c r="R3200" s="72">
        <f t="shared" si="1189"/>
        <v>0.375</v>
      </c>
      <c r="S3200" s="72">
        <f t="shared" si="1190"/>
        <v>1.0752376470588236</v>
      </c>
      <c r="T3200" s="72">
        <f t="shared" si="1191"/>
        <v>0.98764963315742049</v>
      </c>
      <c r="U3200" s="72">
        <f t="shared" si="1192"/>
        <v>1.0816000000000001</v>
      </c>
    </row>
    <row r="3201" spans="1:21" x14ac:dyDescent="0.25">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0.84499999999999997</v>
      </c>
      <c r="P3201" s="72">
        <f t="shared" si="1187"/>
        <v>0</v>
      </c>
      <c r="Q3201" s="72">
        <f t="shared" si="1188"/>
        <v>0</v>
      </c>
      <c r="R3201" s="72">
        <f t="shared" si="1189"/>
        <v>0.29166666666666669</v>
      </c>
      <c r="S3201" s="72">
        <f t="shared" si="1190"/>
        <v>1.0752376470588236</v>
      </c>
      <c r="T3201" s="72">
        <f t="shared" si="1191"/>
        <v>0.98804221907581402</v>
      </c>
      <c r="U3201" s="72">
        <f t="shared" si="1192"/>
        <v>1.0816000000000001</v>
      </c>
    </row>
    <row r="3202" spans="1:21" x14ac:dyDescent="0.25">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0.84499999999999997</v>
      </c>
      <c r="P3202" s="72">
        <f t="shared" si="1187"/>
        <v>0</v>
      </c>
      <c r="Q3202" s="72">
        <f t="shared" si="1188"/>
        <v>0</v>
      </c>
      <c r="R3202" s="72">
        <f t="shared" si="1189"/>
        <v>0.20833333333333334</v>
      </c>
      <c r="S3202" s="72">
        <f t="shared" si="1190"/>
        <v>1.0752376470588236</v>
      </c>
      <c r="T3202" s="72">
        <f t="shared" si="1191"/>
        <v>1.0279721971939761</v>
      </c>
      <c r="U3202" s="72">
        <f t="shared" si="1192"/>
        <v>1.0816000000000001</v>
      </c>
    </row>
    <row r="3203" spans="1:21" x14ac:dyDescent="0.25">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0.84499999999999997</v>
      </c>
      <c r="P3203" s="72">
        <f t="shared" si="1187"/>
        <v>0</v>
      </c>
      <c r="Q3203" s="72">
        <f t="shared" si="1188"/>
        <v>0</v>
      </c>
      <c r="R3203" s="72">
        <f t="shared" si="1189"/>
        <v>0.125</v>
      </c>
      <c r="S3203" s="72">
        <f t="shared" si="1190"/>
        <v>1.0752376470588236</v>
      </c>
      <c r="T3203" s="72">
        <f t="shared" si="1191"/>
        <v>1.0283804865491055</v>
      </c>
      <c r="U3203" s="72">
        <f t="shared" si="1192"/>
        <v>1.0816000000000001</v>
      </c>
    </row>
    <row r="3204" spans="1:21" x14ac:dyDescent="0.25">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0.84499999999999997</v>
      </c>
      <c r="P3204" s="72">
        <f t="shared" si="1187"/>
        <v>0</v>
      </c>
      <c r="Q3204" s="72">
        <f t="shared" si="1188"/>
        <v>0</v>
      </c>
      <c r="R3204" s="72">
        <f t="shared" si="1189"/>
        <v>4.1666666666666664E-2</v>
      </c>
      <c r="S3204" s="72">
        <f t="shared" si="1190"/>
        <v>1.0752376470588236</v>
      </c>
      <c r="T3204" s="72">
        <f t="shared" si="1191"/>
        <v>1.0287887759042347</v>
      </c>
      <c r="U3204" s="72">
        <f t="shared" si="1192"/>
        <v>1.0816000000000001</v>
      </c>
    </row>
    <row r="3205" spans="1:21" x14ac:dyDescent="0.25">
      <c r="A3205" s="77" t="s">
        <v>1209</v>
      </c>
      <c r="B3205" s="50">
        <f>EXP(SUMPRODUCT((rl_key=$A$3154)*(rl_cons="Y")*rl_ln1p))</f>
        <v>1.04</v>
      </c>
      <c r="C3205" s="50">
        <f>SUMPRODUCT($H$3157:$H$3204,$P$3157:$P$3204,$U$3157:$U$3204)/SUMPRODUCT($H$3157:$H$3204,$P$3157:$P$3204)</f>
        <v>1.00125</v>
      </c>
      <c r="D3205" s="50">
        <f>SUMPRODUCT($H$3157:$H$3204,$Q$3157:$Q$3204,$U$3157:$U$3204)/SUMPRODUCT($H$3157:$H$3204,$Q$3157:$Q$3204)</f>
        <v>1.0323611111111111</v>
      </c>
      <c r="E3205" s="50">
        <f>SUMPRODUCT($H$3157:$H$3204,$R$3157:$R$3204,$U$3157:$U$3204)/SUMPRODUCT($H$3157:$H$3204,$R$3157:$R$3204)</f>
        <v>1.0745222222222226</v>
      </c>
      <c r="F3205" s="169">
        <f>SUMPRODUCT($H$3157:$H$3204,$Q$3157:$Q$3204,$O$3157:$O$3204)/SUMPRODUCT($H$3157:$H$3204,$Q$3157:$Q$3204)</f>
        <v>0.84099790299051769</v>
      </c>
      <c r="G3205" s="169">
        <f>SUMPRODUCT($H$3157:$H$3204,$R$3157:$R$3204,$O$3157:$O$3204)/SUMPRODUCT($H$3157:$H$3204,$R$3157:$R$3204)</f>
        <v>0.84432817818502282</v>
      </c>
    </row>
    <row r="3208" spans="1:21" x14ac:dyDescent="0.25">
      <c r="A3208" s="77" t="str">
        <f>INDEX(lr_key,59)</f>
        <v>BU-C|NY</v>
      </c>
      <c r="B3208" s="77" t="str">
        <f>INDEX(lr_state,59)</f>
        <v>NY</v>
      </c>
      <c r="C3208" s="52">
        <f>nr_TermMonths</f>
        <v>12</v>
      </c>
      <c r="D3208" s="52">
        <f>IF(COUNTIF(se_state,$B3208)=0,0,MATCH($B3208,se_state,0))</f>
        <v>0</v>
      </c>
      <c r="E3208" s="54">
        <f>IF($D3208=0,0,INDEX(se_sum,$D3208))</f>
        <v>0</v>
      </c>
      <c r="F3208" s="169">
        <f>IF(N(INDEX(lr_mind,59))=0,1,INDEX(lr_mind,59))</f>
        <v>0.85</v>
      </c>
      <c r="G3208" s="169">
        <f>IF(N(INDEX(lr_m0,59))=0,1,INDEX(lr_m0,59))</f>
        <v>0.84</v>
      </c>
      <c r="H3208" s="51">
        <f>IF(N(INDEX(lr_m0asof,59))=0,DATE(nr_PlanYear-1,10,1),INDEX(lr_m0asof,59))</f>
        <v>46295</v>
      </c>
      <c r="I3208" s="169">
        <f>IF(N(INDEX(lr_m1,59))=0,1,INDEX(lr_m1,59))</f>
        <v>0.86</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25">
      <c r="A3209" s="77">
        <f>EDATE($H$3208,-12)+1</f>
        <v>45931</v>
      </c>
      <c r="B3209" s="77">
        <f>$H$3208+1</f>
        <v>46296</v>
      </c>
      <c r="C3209" s="77">
        <f>DATE(nr_PlanYear,12,31)+1</f>
        <v>46753</v>
      </c>
      <c r="D3209" s="77">
        <f>DATE(nr_PlanYear+1,12,31)+1</f>
        <v>47119</v>
      </c>
      <c r="E3209" s="77">
        <f>IF(N($J$3208)=0,$F$3209-($G$3209-$F$3209)/($C$3209-$B$3209)*($B$3209-$A$3209),$J$3208)</f>
        <v>0.8240262582056892</v>
      </c>
      <c r="F3209" s="77">
        <f>$G$3208</f>
        <v>0.84</v>
      </c>
      <c r="G3209" s="77">
        <f>$I$3208</f>
        <v>0.86</v>
      </c>
      <c r="H3209" s="77">
        <f>IF(N($K$3208)=0,$I$3208,$K$3208)</f>
        <v>0.86</v>
      </c>
      <c r="I3209" s="77">
        <f>($F$3209-$E$3209)/($B$3209-$A$3209)</f>
        <v>4.3763676148796628E-5</v>
      </c>
      <c r="J3209" s="77">
        <f>($G$3209-$F$3209)/($C$3209-$B$3209)</f>
        <v>4.376367614879654E-5</v>
      </c>
      <c r="K3209" s="77">
        <f>($H$3209-$G$3209)/($D$3209-$C$3209)</f>
        <v>0</v>
      </c>
    </row>
    <row r="3210" spans="1:21" ht="24" x14ac:dyDescent="0.25">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25">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0.81275711159737407</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0.95618483717338132</v>
      </c>
      <c r="T3211" s="72">
        <f t="shared" ref="T3211:T3258" si="1211">IF($G3211&lt;nr_MStartP,$S3211,$T3199*(1+IF($G3211&lt;nr_MStartP1,$M$3208,$N$3208)))</f>
        <v>0.95618483717338132</v>
      </c>
      <c r="U3211" s="72">
        <f t="shared" ref="U3211:U3258" si="1212">IF($L$3208,$T3211,$N3211)</f>
        <v>1</v>
      </c>
    </row>
    <row r="3212" spans="1:21" x14ac:dyDescent="0.25">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0.81404814004376358</v>
      </c>
      <c r="P3212" s="72">
        <f t="shared" si="1207"/>
        <v>0.125</v>
      </c>
      <c r="Q3212" s="72">
        <f t="shared" si="1208"/>
        <v>0</v>
      </c>
      <c r="R3212" s="72">
        <f t="shared" si="1209"/>
        <v>0</v>
      </c>
      <c r="S3212" s="72">
        <f t="shared" si="1210"/>
        <v>0.9577036941691337</v>
      </c>
      <c r="T3212" s="72">
        <f t="shared" si="1211"/>
        <v>0.9577036941691337</v>
      </c>
      <c r="U3212" s="72">
        <f t="shared" si="1212"/>
        <v>1</v>
      </c>
    </row>
    <row r="3213" spans="1:21" x14ac:dyDescent="0.25">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0.81533916849015309</v>
      </c>
      <c r="P3213" s="72">
        <f t="shared" si="1207"/>
        <v>0.20833333333333337</v>
      </c>
      <c r="Q3213" s="72">
        <f t="shared" si="1208"/>
        <v>0</v>
      </c>
      <c r="R3213" s="72">
        <f t="shared" si="1209"/>
        <v>0</v>
      </c>
      <c r="S3213" s="72">
        <f t="shared" si="1210"/>
        <v>0.95922255116488597</v>
      </c>
      <c r="T3213" s="72">
        <f t="shared" si="1211"/>
        <v>0.95922255116488597</v>
      </c>
      <c r="U3213" s="72">
        <f t="shared" si="1212"/>
        <v>1</v>
      </c>
    </row>
    <row r="3214" spans="1:21" x14ac:dyDescent="0.25">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0.81667396061269137</v>
      </c>
      <c r="P3214" s="72">
        <f t="shared" si="1207"/>
        <v>0.29166666666666663</v>
      </c>
      <c r="Q3214" s="72">
        <f t="shared" si="1208"/>
        <v>0</v>
      </c>
      <c r="R3214" s="72">
        <f t="shared" si="1209"/>
        <v>0</v>
      </c>
      <c r="S3214" s="72">
        <f t="shared" si="1210"/>
        <v>0.96079289483846042</v>
      </c>
      <c r="T3214" s="72">
        <f t="shared" si="1211"/>
        <v>0.96079289483846042</v>
      </c>
      <c r="U3214" s="72">
        <f t="shared" si="1212"/>
        <v>1</v>
      </c>
    </row>
    <row r="3215" spans="1:21" x14ac:dyDescent="0.25">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0.81800875273522966</v>
      </c>
      <c r="P3215" s="72">
        <f t="shared" si="1207"/>
        <v>0.375</v>
      </c>
      <c r="Q3215" s="72">
        <f t="shared" si="1208"/>
        <v>0</v>
      </c>
      <c r="R3215" s="72">
        <f t="shared" si="1209"/>
        <v>0</v>
      </c>
      <c r="S3215" s="72">
        <f t="shared" si="1210"/>
        <v>0.96236323851203487</v>
      </c>
      <c r="T3215" s="72">
        <f t="shared" si="1211"/>
        <v>0.96236323851203487</v>
      </c>
      <c r="U3215" s="72">
        <f t="shared" si="1212"/>
        <v>1</v>
      </c>
    </row>
    <row r="3216" spans="1:21" x14ac:dyDescent="0.25">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0.81934354485776795</v>
      </c>
      <c r="P3216" s="72">
        <f t="shared" si="1207"/>
        <v>0.45833333333333337</v>
      </c>
      <c r="Q3216" s="72">
        <f t="shared" si="1208"/>
        <v>0</v>
      </c>
      <c r="R3216" s="72">
        <f t="shared" si="1209"/>
        <v>0</v>
      </c>
      <c r="S3216" s="72">
        <f t="shared" si="1210"/>
        <v>0.96393358218560943</v>
      </c>
      <c r="T3216" s="72">
        <f t="shared" si="1211"/>
        <v>0.96393358218560943</v>
      </c>
      <c r="U3216" s="72">
        <f t="shared" si="1212"/>
        <v>1</v>
      </c>
    </row>
    <row r="3217" spans="1:21" x14ac:dyDescent="0.25">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0.82067833698030623</v>
      </c>
      <c r="P3217" s="72">
        <f t="shared" si="1207"/>
        <v>0.54166666666666674</v>
      </c>
      <c r="Q3217" s="72">
        <f t="shared" si="1208"/>
        <v>0</v>
      </c>
      <c r="R3217" s="72">
        <f t="shared" si="1209"/>
        <v>0</v>
      </c>
      <c r="S3217" s="72">
        <f t="shared" si="1210"/>
        <v>0.96550392585918388</v>
      </c>
      <c r="T3217" s="72">
        <f t="shared" si="1211"/>
        <v>0.96550392585918388</v>
      </c>
      <c r="U3217" s="72">
        <f t="shared" si="1212"/>
        <v>1</v>
      </c>
    </row>
    <row r="3218" spans="1:21" x14ac:dyDescent="0.25">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0.82203501094091891</v>
      </c>
      <c r="P3218" s="72">
        <f t="shared" si="1207"/>
        <v>0.625</v>
      </c>
      <c r="Q3218" s="72">
        <f t="shared" si="1208"/>
        <v>0</v>
      </c>
      <c r="R3218" s="72">
        <f t="shared" si="1209"/>
        <v>0</v>
      </c>
      <c r="S3218" s="72">
        <f t="shared" si="1210"/>
        <v>0.96710001287166936</v>
      </c>
      <c r="T3218" s="72">
        <f t="shared" si="1211"/>
        <v>0.96710001287166936</v>
      </c>
      <c r="U3218" s="72">
        <f t="shared" si="1212"/>
        <v>1</v>
      </c>
    </row>
    <row r="3219" spans="1:21" x14ac:dyDescent="0.25">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0.8233698030634572</v>
      </c>
      <c r="P3219" s="72">
        <f t="shared" si="1207"/>
        <v>0.70833333333333326</v>
      </c>
      <c r="Q3219" s="72">
        <f t="shared" si="1208"/>
        <v>0</v>
      </c>
      <c r="R3219" s="72">
        <f t="shared" si="1209"/>
        <v>0</v>
      </c>
      <c r="S3219" s="72">
        <f t="shared" si="1210"/>
        <v>0.9686703565452438</v>
      </c>
      <c r="T3219" s="72">
        <f t="shared" si="1211"/>
        <v>0.9686703565452438</v>
      </c>
      <c r="U3219" s="72">
        <f t="shared" si="1212"/>
        <v>1</v>
      </c>
    </row>
    <row r="3220" spans="1:21" x14ac:dyDescent="0.25">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0.82470459518599559</v>
      </c>
      <c r="P3220" s="72">
        <f t="shared" si="1207"/>
        <v>0.79166666666666663</v>
      </c>
      <c r="Q3220" s="72">
        <f t="shared" si="1208"/>
        <v>0</v>
      </c>
      <c r="R3220" s="72">
        <f t="shared" si="1209"/>
        <v>0</v>
      </c>
      <c r="S3220" s="72">
        <f t="shared" si="1210"/>
        <v>0.97024070021881836</v>
      </c>
      <c r="T3220" s="72">
        <f t="shared" si="1211"/>
        <v>0.97024070021881836</v>
      </c>
      <c r="U3220" s="72">
        <f t="shared" si="1212"/>
        <v>1</v>
      </c>
    </row>
    <row r="3221" spans="1:21" x14ac:dyDescent="0.25">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0.82603938730853388</v>
      </c>
      <c r="P3221" s="72">
        <f t="shared" si="1207"/>
        <v>0.875</v>
      </c>
      <c r="Q3221" s="72">
        <f t="shared" si="1208"/>
        <v>0</v>
      </c>
      <c r="R3221" s="72">
        <f t="shared" si="1209"/>
        <v>0</v>
      </c>
      <c r="S3221" s="72">
        <f t="shared" si="1210"/>
        <v>0.97181104389239281</v>
      </c>
      <c r="T3221" s="72">
        <f t="shared" si="1211"/>
        <v>0.97181104389239281</v>
      </c>
      <c r="U3221" s="72">
        <f t="shared" si="1212"/>
        <v>1</v>
      </c>
    </row>
    <row r="3222" spans="1:21" x14ac:dyDescent="0.25">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0.82737417943107217</v>
      </c>
      <c r="P3222" s="72">
        <f t="shared" si="1207"/>
        <v>0.95833333333333337</v>
      </c>
      <c r="Q3222" s="72">
        <f t="shared" si="1208"/>
        <v>0</v>
      </c>
      <c r="R3222" s="72">
        <f t="shared" si="1209"/>
        <v>0</v>
      </c>
      <c r="S3222" s="72">
        <f t="shared" si="1210"/>
        <v>0.97338138756596726</v>
      </c>
      <c r="T3222" s="72">
        <f t="shared" si="1211"/>
        <v>0.97338138756596726</v>
      </c>
      <c r="U3222" s="72">
        <f t="shared" si="1212"/>
        <v>1</v>
      </c>
    </row>
    <row r="3223" spans="1:21" x14ac:dyDescent="0.25">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0.82873085339168484</v>
      </c>
      <c r="P3223" s="72">
        <f t="shared" si="1207"/>
        <v>0.95833333333333337</v>
      </c>
      <c r="Q3223" s="72">
        <f t="shared" si="1208"/>
        <v>4.166666666666663E-2</v>
      </c>
      <c r="R3223" s="72">
        <f t="shared" si="1209"/>
        <v>0</v>
      </c>
      <c r="S3223" s="72">
        <f t="shared" si="1210"/>
        <v>0.97497747457845274</v>
      </c>
      <c r="T3223" s="72">
        <f t="shared" si="1211"/>
        <v>0.97497747457845274</v>
      </c>
      <c r="U3223" s="72">
        <f t="shared" si="1212"/>
        <v>1</v>
      </c>
    </row>
    <row r="3224" spans="1:21" x14ac:dyDescent="0.25">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0.83002188183807435</v>
      </c>
      <c r="P3224" s="72">
        <f t="shared" si="1207"/>
        <v>0.875</v>
      </c>
      <c r="Q3224" s="72">
        <f t="shared" si="1208"/>
        <v>0.125</v>
      </c>
      <c r="R3224" s="72">
        <f t="shared" si="1209"/>
        <v>0</v>
      </c>
      <c r="S3224" s="72">
        <f t="shared" si="1210"/>
        <v>0.97649633157420512</v>
      </c>
      <c r="T3224" s="72">
        <f t="shared" si="1211"/>
        <v>0.97649633157420512</v>
      </c>
      <c r="U3224" s="72">
        <f t="shared" si="1212"/>
        <v>1</v>
      </c>
    </row>
    <row r="3225" spans="1:21" x14ac:dyDescent="0.25">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0.83131291028446386</v>
      </c>
      <c r="P3225" s="72">
        <f t="shared" si="1207"/>
        <v>0.79166666666666663</v>
      </c>
      <c r="Q3225" s="72">
        <f t="shared" si="1208"/>
        <v>0.20833333333333337</v>
      </c>
      <c r="R3225" s="72">
        <f t="shared" si="1209"/>
        <v>0</v>
      </c>
      <c r="S3225" s="72">
        <f t="shared" si="1210"/>
        <v>0.97801518856995751</v>
      </c>
      <c r="T3225" s="72">
        <f t="shared" si="1211"/>
        <v>0.97801518856995751</v>
      </c>
      <c r="U3225" s="72">
        <f t="shared" si="1212"/>
        <v>1</v>
      </c>
    </row>
    <row r="3226" spans="1:21" x14ac:dyDescent="0.25">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0.83264770240700214</v>
      </c>
      <c r="P3226" s="72">
        <f t="shared" si="1207"/>
        <v>0.70833333333333337</v>
      </c>
      <c r="Q3226" s="72">
        <f t="shared" si="1208"/>
        <v>0.29166666666666663</v>
      </c>
      <c r="R3226" s="72">
        <f t="shared" si="1209"/>
        <v>0</v>
      </c>
      <c r="S3226" s="72">
        <f t="shared" si="1210"/>
        <v>0.97958553224353195</v>
      </c>
      <c r="T3226" s="72">
        <f t="shared" si="1211"/>
        <v>0.97958553224353195</v>
      </c>
      <c r="U3226" s="72">
        <f t="shared" si="1212"/>
        <v>1</v>
      </c>
    </row>
    <row r="3227" spans="1:21" x14ac:dyDescent="0.25">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0.83398249452954043</v>
      </c>
      <c r="P3227" s="72">
        <f t="shared" si="1207"/>
        <v>0.625</v>
      </c>
      <c r="Q3227" s="72">
        <f t="shared" si="1208"/>
        <v>0.375</v>
      </c>
      <c r="R3227" s="72">
        <f t="shared" si="1209"/>
        <v>0</v>
      </c>
      <c r="S3227" s="72">
        <f t="shared" si="1210"/>
        <v>0.9811558759171064</v>
      </c>
      <c r="T3227" s="72">
        <f t="shared" si="1211"/>
        <v>0.9811558759171064</v>
      </c>
      <c r="U3227" s="72">
        <f t="shared" si="1212"/>
        <v>1</v>
      </c>
    </row>
    <row r="3228" spans="1:21" x14ac:dyDescent="0.25">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0.83531728665207872</v>
      </c>
      <c r="P3228" s="72">
        <f t="shared" si="1207"/>
        <v>0.54166666666666663</v>
      </c>
      <c r="Q3228" s="72">
        <f t="shared" si="1208"/>
        <v>0.45833333333333337</v>
      </c>
      <c r="R3228" s="72">
        <f t="shared" si="1209"/>
        <v>0</v>
      </c>
      <c r="S3228" s="72">
        <f t="shared" si="1210"/>
        <v>0.98272621959068085</v>
      </c>
      <c r="T3228" s="72">
        <f t="shared" si="1211"/>
        <v>0.98272621959068085</v>
      </c>
      <c r="U3228" s="72">
        <f t="shared" si="1212"/>
        <v>1</v>
      </c>
    </row>
    <row r="3229" spans="1:21" x14ac:dyDescent="0.25">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0.836652078774617</v>
      </c>
      <c r="P3229" s="72">
        <f t="shared" si="1207"/>
        <v>0.45833333333333331</v>
      </c>
      <c r="Q3229" s="72">
        <f t="shared" si="1208"/>
        <v>0.54166666666666674</v>
      </c>
      <c r="R3229" s="72">
        <f t="shared" si="1209"/>
        <v>0</v>
      </c>
      <c r="S3229" s="72">
        <f t="shared" si="1210"/>
        <v>0.9842965632642553</v>
      </c>
      <c r="T3229" s="72">
        <f t="shared" si="1211"/>
        <v>0.9842965632642553</v>
      </c>
      <c r="U3229" s="72">
        <f t="shared" si="1212"/>
        <v>1</v>
      </c>
    </row>
    <row r="3230" spans="1:21" x14ac:dyDescent="0.25">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0.83800875273522968</v>
      </c>
      <c r="P3230" s="72">
        <f t="shared" si="1207"/>
        <v>0.375</v>
      </c>
      <c r="Q3230" s="72">
        <f t="shared" si="1208"/>
        <v>0.625</v>
      </c>
      <c r="R3230" s="72">
        <f t="shared" si="1209"/>
        <v>0</v>
      </c>
      <c r="S3230" s="72">
        <f t="shared" si="1210"/>
        <v>0.98589265027674078</v>
      </c>
      <c r="T3230" s="72">
        <f t="shared" si="1211"/>
        <v>0.98589265027674078</v>
      </c>
      <c r="U3230" s="72">
        <f t="shared" si="1212"/>
        <v>1</v>
      </c>
    </row>
    <row r="3231" spans="1:21" x14ac:dyDescent="0.25">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0.83934354485776796</v>
      </c>
      <c r="P3231" s="72">
        <f t="shared" si="1207"/>
        <v>0.29166666666666669</v>
      </c>
      <c r="Q3231" s="72">
        <f t="shared" si="1208"/>
        <v>0.70833333333333326</v>
      </c>
      <c r="R3231" s="72">
        <f t="shared" si="1209"/>
        <v>0</v>
      </c>
      <c r="S3231" s="72">
        <f t="shared" si="1210"/>
        <v>0.98746299395031523</v>
      </c>
      <c r="T3231" s="72">
        <f t="shared" si="1211"/>
        <v>0.98746299395031523</v>
      </c>
      <c r="U3231" s="72">
        <f t="shared" si="1212"/>
        <v>1</v>
      </c>
    </row>
    <row r="3232" spans="1:21" x14ac:dyDescent="0.25">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0.84067833698030636</v>
      </c>
      <c r="P3232" s="72">
        <f t="shared" si="1207"/>
        <v>0.20833333333333334</v>
      </c>
      <c r="Q3232" s="72">
        <f t="shared" si="1208"/>
        <v>0.79166666666666663</v>
      </c>
      <c r="R3232" s="72">
        <f t="shared" si="1209"/>
        <v>0</v>
      </c>
      <c r="S3232" s="72">
        <f t="shared" si="1210"/>
        <v>0.9890333376238899</v>
      </c>
      <c r="T3232" s="72">
        <f t="shared" si="1211"/>
        <v>0.9890333376238899</v>
      </c>
      <c r="U3232" s="72">
        <f t="shared" si="1212"/>
        <v>1</v>
      </c>
    </row>
    <row r="3233" spans="1:21" x14ac:dyDescent="0.25">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0.84201312910284465</v>
      </c>
      <c r="P3233" s="72">
        <f t="shared" si="1207"/>
        <v>0.125</v>
      </c>
      <c r="Q3233" s="72">
        <f t="shared" si="1208"/>
        <v>0.875</v>
      </c>
      <c r="R3233" s="72">
        <f t="shared" si="1209"/>
        <v>0</v>
      </c>
      <c r="S3233" s="72">
        <f t="shared" si="1210"/>
        <v>1.0401338653623375</v>
      </c>
      <c r="T3233" s="72">
        <f t="shared" si="1211"/>
        <v>1.0401338653623375</v>
      </c>
      <c r="U3233" s="72">
        <f t="shared" si="1212"/>
        <v>1.05</v>
      </c>
    </row>
    <row r="3234" spans="1:21" x14ac:dyDescent="0.25">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0.84334792122538293</v>
      </c>
      <c r="P3234" s="72">
        <f t="shared" si="1207"/>
        <v>4.1666666666666664E-2</v>
      </c>
      <c r="Q3234" s="72">
        <f t="shared" si="1208"/>
        <v>0.95833333333333337</v>
      </c>
      <c r="R3234" s="72">
        <f t="shared" si="1209"/>
        <v>0</v>
      </c>
      <c r="S3234" s="72">
        <f t="shared" si="1210"/>
        <v>1.0417827262195907</v>
      </c>
      <c r="T3234" s="72">
        <f t="shared" si="1211"/>
        <v>1.0417827262195907</v>
      </c>
      <c r="U3234" s="72">
        <f t="shared" si="1212"/>
        <v>1.05</v>
      </c>
    </row>
    <row r="3235" spans="1:21" x14ac:dyDescent="0.25">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0.84470459518599561</v>
      </c>
      <c r="P3235" s="72">
        <f t="shared" si="1207"/>
        <v>0</v>
      </c>
      <c r="Q3235" s="72">
        <f t="shared" si="1208"/>
        <v>0.95833333333333337</v>
      </c>
      <c r="R3235" s="72">
        <f t="shared" si="1209"/>
        <v>4.166666666666663E-2</v>
      </c>
      <c r="S3235" s="72">
        <f t="shared" si="1210"/>
        <v>1.0434586175827005</v>
      </c>
      <c r="T3235" s="72">
        <f t="shared" si="1211"/>
        <v>0.97497747457845274</v>
      </c>
      <c r="U3235" s="72">
        <f t="shared" si="1212"/>
        <v>1.05</v>
      </c>
    </row>
    <row r="3236" spans="1:21" x14ac:dyDescent="0.25">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0.84599562363238512</v>
      </c>
      <c r="P3236" s="72">
        <f t="shared" si="1207"/>
        <v>0</v>
      </c>
      <c r="Q3236" s="72">
        <f t="shared" si="1208"/>
        <v>0.875</v>
      </c>
      <c r="R3236" s="72">
        <f t="shared" si="1209"/>
        <v>0.125</v>
      </c>
      <c r="S3236" s="72">
        <f t="shared" si="1210"/>
        <v>1.0450534174282404</v>
      </c>
      <c r="T3236" s="72">
        <f t="shared" si="1211"/>
        <v>0.97649633157420512</v>
      </c>
      <c r="U3236" s="72">
        <f t="shared" si="1212"/>
        <v>1.05</v>
      </c>
    </row>
    <row r="3237" spans="1:21" x14ac:dyDescent="0.25">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0.84728665207877463</v>
      </c>
      <c r="P3237" s="72">
        <f t="shared" si="1207"/>
        <v>0</v>
      </c>
      <c r="Q3237" s="72">
        <f t="shared" si="1208"/>
        <v>0.79166666666666663</v>
      </c>
      <c r="R3237" s="72">
        <f t="shared" si="1209"/>
        <v>0.20833333333333337</v>
      </c>
      <c r="S3237" s="72">
        <f t="shared" si="1210"/>
        <v>1.0466482172737805</v>
      </c>
      <c r="T3237" s="72">
        <f t="shared" si="1211"/>
        <v>0.97801518856995751</v>
      </c>
      <c r="U3237" s="72">
        <f t="shared" si="1212"/>
        <v>1.05</v>
      </c>
    </row>
    <row r="3238" spans="1:21" x14ac:dyDescent="0.25">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0.84862144420131291</v>
      </c>
      <c r="P3238" s="72">
        <f t="shared" si="1207"/>
        <v>0</v>
      </c>
      <c r="Q3238" s="72">
        <f t="shared" si="1208"/>
        <v>0.70833333333333337</v>
      </c>
      <c r="R3238" s="72">
        <f t="shared" si="1209"/>
        <v>0.29166666666666663</v>
      </c>
      <c r="S3238" s="72">
        <f t="shared" si="1210"/>
        <v>1.0482970781310337</v>
      </c>
      <c r="T3238" s="72">
        <f t="shared" si="1211"/>
        <v>0.97958553224353195</v>
      </c>
      <c r="U3238" s="72">
        <f t="shared" si="1212"/>
        <v>1.05</v>
      </c>
    </row>
    <row r="3239" spans="1:21" x14ac:dyDescent="0.25">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0.8499562363238512</v>
      </c>
      <c r="P3239" s="72">
        <f t="shared" si="1207"/>
        <v>0</v>
      </c>
      <c r="Q3239" s="72">
        <f t="shared" si="1208"/>
        <v>0.625</v>
      </c>
      <c r="R3239" s="72">
        <f t="shared" si="1209"/>
        <v>0.375</v>
      </c>
      <c r="S3239" s="72">
        <f t="shared" si="1210"/>
        <v>1.0499459389882868</v>
      </c>
      <c r="T3239" s="72">
        <f t="shared" si="1211"/>
        <v>0.9811558759171064</v>
      </c>
      <c r="U3239" s="72">
        <f t="shared" si="1212"/>
        <v>1.05</v>
      </c>
    </row>
    <row r="3240" spans="1:21" x14ac:dyDescent="0.25">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0.85129102844638949</v>
      </c>
      <c r="P3240" s="72">
        <f t="shared" si="1207"/>
        <v>0</v>
      </c>
      <c r="Q3240" s="72">
        <f t="shared" si="1208"/>
        <v>0.54166666666666663</v>
      </c>
      <c r="R3240" s="72">
        <f t="shared" si="1209"/>
        <v>0.45833333333333337</v>
      </c>
      <c r="S3240" s="72">
        <f t="shared" si="1210"/>
        <v>1.0515947998455399</v>
      </c>
      <c r="T3240" s="72">
        <f t="shared" si="1211"/>
        <v>0.98272621959068085</v>
      </c>
      <c r="U3240" s="72">
        <f t="shared" si="1212"/>
        <v>1.05</v>
      </c>
    </row>
    <row r="3241" spans="1:21" x14ac:dyDescent="0.25">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0.85262582056892777</v>
      </c>
      <c r="P3241" s="72">
        <f t="shared" si="1207"/>
        <v>0</v>
      </c>
      <c r="Q3241" s="72">
        <f t="shared" si="1208"/>
        <v>0.45833333333333331</v>
      </c>
      <c r="R3241" s="72">
        <f t="shared" si="1209"/>
        <v>0.54166666666666674</v>
      </c>
      <c r="S3241" s="72">
        <f t="shared" si="1210"/>
        <v>1.0532436607027933</v>
      </c>
      <c r="T3241" s="72">
        <f t="shared" si="1211"/>
        <v>0.9842965632642553</v>
      </c>
      <c r="U3241" s="72">
        <f t="shared" si="1212"/>
        <v>1.05</v>
      </c>
    </row>
    <row r="3242" spans="1:21" x14ac:dyDescent="0.25">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0.85398249452954045</v>
      </c>
      <c r="P3242" s="72">
        <f t="shared" si="1207"/>
        <v>0</v>
      </c>
      <c r="Q3242" s="72">
        <f t="shared" si="1208"/>
        <v>0.375</v>
      </c>
      <c r="R3242" s="72">
        <f t="shared" si="1209"/>
        <v>0.625</v>
      </c>
      <c r="S3242" s="72">
        <f t="shared" si="1210"/>
        <v>1.0549195520659032</v>
      </c>
      <c r="T3242" s="72">
        <f t="shared" si="1211"/>
        <v>0.98589265027674078</v>
      </c>
      <c r="U3242" s="72">
        <f t="shared" si="1212"/>
        <v>1.05</v>
      </c>
    </row>
    <row r="3243" spans="1:21" x14ac:dyDescent="0.25">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0.85531728665207873</v>
      </c>
      <c r="P3243" s="72">
        <f t="shared" si="1207"/>
        <v>0</v>
      </c>
      <c r="Q3243" s="72">
        <f t="shared" si="1208"/>
        <v>0.29166666666666669</v>
      </c>
      <c r="R3243" s="72">
        <f t="shared" si="1209"/>
        <v>0.70833333333333326</v>
      </c>
      <c r="S3243" s="72">
        <f t="shared" si="1210"/>
        <v>1.0565684129231561</v>
      </c>
      <c r="T3243" s="72">
        <f t="shared" si="1211"/>
        <v>0.98746299395031523</v>
      </c>
      <c r="U3243" s="72">
        <f t="shared" si="1212"/>
        <v>1.05</v>
      </c>
    </row>
    <row r="3244" spans="1:21" x14ac:dyDescent="0.25">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0.85665207877461702</v>
      </c>
      <c r="P3244" s="72">
        <f t="shared" si="1207"/>
        <v>0</v>
      </c>
      <c r="Q3244" s="72">
        <f t="shared" si="1208"/>
        <v>0.20833333333333334</v>
      </c>
      <c r="R3244" s="72">
        <f t="shared" si="1209"/>
        <v>0.79166666666666663</v>
      </c>
      <c r="S3244" s="72">
        <f t="shared" si="1210"/>
        <v>1.0582172737804094</v>
      </c>
      <c r="T3244" s="72">
        <f t="shared" si="1211"/>
        <v>0.9890333376238899</v>
      </c>
      <c r="U3244" s="72">
        <f t="shared" si="1212"/>
        <v>1.05</v>
      </c>
    </row>
    <row r="3245" spans="1:21" x14ac:dyDescent="0.25">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0.85798687089715531</v>
      </c>
      <c r="P3245" s="72">
        <f t="shared" si="1207"/>
        <v>0</v>
      </c>
      <c r="Q3245" s="72">
        <f t="shared" si="1208"/>
        <v>0.125</v>
      </c>
      <c r="R3245" s="72">
        <f t="shared" si="1209"/>
        <v>0.875</v>
      </c>
      <c r="S3245" s="72">
        <f t="shared" si="1210"/>
        <v>1.0598661346376625</v>
      </c>
      <c r="T3245" s="72">
        <f t="shared" si="1211"/>
        <v>1.0401338653623375</v>
      </c>
      <c r="U3245" s="72">
        <f t="shared" si="1212"/>
        <v>1.05</v>
      </c>
    </row>
    <row r="3246" spans="1:21" x14ac:dyDescent="0.25">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0.85932166301969359</v>
      </c>
      <c r="P3246" s="72">
        <f t="shared" si="1207"/>
        <v>0</v>
      </c>
      <c r="Q3246" s="72">
        <f t="shared" si="1208"/>
        <v>4.1666666666666664E-2</v>
      </c>
      <c r="R3246" s="72">
        <f t="shared" si="1209"/>
        <v>0.95833333333333337</v>
      </c>
      <c r="S3246" s="72">
        <f t="shared" si="1210"/>
        <v>1.0615149954949157</v>
      </c>
      <c r="T3246" s="72">
        <f t="shared" si="1211"/>
        <v>1.0417827262195907</v>
      </c>
      <c r="U3246" s="72">
        <f t="shared" si="1212"/>
        <v>1.05</v>
      </c>
    </row>
    <row r="3247" spans="1:21" x14ac:dyDescent="0.25">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0.86</v>
      </c>
      <c r="P3247" s="72">
        <f t="shared" si="1207"/>
        <v>0</v>
      </c>
      <c r="Q3247" s="72">
        <f t="shared" si="1208"/>
        <v>0</v>
      </c>
      <c r="R3247" s="72">
        <f t="shared" si="1209"/>
        <v>0.95833333333333337</v>
      </c>
      <c r="S3247" s="72">
        <f t="shared" si="1210"/>
        <v>1.0623529411764705</v>
      </c>
      <c r="T3247" s="72">
        <f t="shared" si="1211"/>
        <v>0.97497747457845274</v>
      </c>
      <c r="U3247" s="72">
        <f t="shared" si="1212"/>
        <v>1.05</v>
      </c>
    </row>
    <row r="3248" spans="1:21" x14ac:dyDescent="0.25">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0.86</v>
      </c>
      <c r="P3248" s="72">
        <f t="shared" si="1207"/>
        <v>0</v>
      </c>
      <c r="Q3248" s="72">
        <f t="shared" si="1208"/>
        <v>0</v>
      </c>
      <c r="R3248" s="72">
        <f t="shared" si="1209"/>
        <v>0.875</v>
      </c>
      <c r="S3248" s="72">
        <f t="shared" si="1210"/>
        <v>1.0623529411764705</v>
      </c>
      <c r="T3248" s="72">
        <f t="shared" si="1211"/>
        <v>0.97649633157420512</v>
      </c>
      <c r="U3248" s="72">
        <f t="shared" si="1212"/>
        <v>1.05</v>
      </c>
    </row>
    <row r="3249" spans="1:21" x14ac:dyDescent="0.25">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0.86</v>
      </c>
      <c r="P3249" s="72">
        <f t="shared" si="1207"/>
        <v>0</v>
      </c>
      <c r="Q3249" s="72">
        <f t="shared" si="1208"/>
        <v>0</v>
      </c>
      <c r="R3249" s="72">
        <f t="shared" si="1209"/>
        <v>0.79166666666666663</v>
      </c>
      <c r="S3249" s="72">
        <f t="shared" si="1210"/>
        <v>1.0623529411764705</v>
      </c>
      <c r="T3249" s="72">
        <f t="shared" si="1211"/>
        <v>0.97801518856995751</v>
      </c>
      <c r="U3249" s="72">
        <f t="shared" si="1212"/>
        <v>1.05</v>
      </c>
    </row>
    <row r="3250" spans="1:21" x14ac:dyDescent="0.25">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0.86</v>
      </c>
      <c r="P3250" s="72">
        <f t="shared" si="1207"/>
        <v>0</v>
      </c>
      <c r="Q3250" s="72">
        <f t="shared" si="1208"/>
        <v>0</v>
      </c>
      <c r="R3250" s="72">
        <f t="shared" si="1209"/>
        <v>0.70833333333333337</v>
      </c>
      <c r="S3250" s="72">
        <f t="shared" si="1210"/>
        <v>1.0623529411764705</v>
      </c>
      <c r="T3250" s="72">
        <f t="shared" si="1211"/>
        <v>0.97958553224353195</v>
      </c>
      <c r="U3250" s="72">
        <f t="shared" si="1212"/>
        <v>1.05</v>
      </c>
    </row>
    <row r="3251" spans="1:21" x14ac:dyDescent="0.25">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0.86</v>
      </c>
      <c r="P3251" s="72">
        <f t="shared" si="1207"/>
        <v>0</v>
      </c>
      <c r="Q3251" s="72">
        <f t="shared" si="1208"/>
        <v>0</v>
      </c>
      <c r="R3251" s="72">
        <f t="shared" si="1209"/>
        <v>0.625</v>
      </c>
      <c r="S3251" s="72">
        <f t="shared" si="1210"/>
        <v>1.0623529411764705</v>
      </c>
      <c r="T3251" s="72">
        <f t="shared" si="1211"/>
        <v>0.9811558759171064</v>
      </c>
      <c r="U3251" s="72">
        <f t="shared" si="1212"/>
        <v>1.05</v>
      </c>
    </row>
    <row r="3252" spans="1:21" x14ac:dyDescent="0.25">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0.86</v>
      </c>
      <c r="P3252" s="72">
        <f t="shared" si="1207"/>
        <v>0</v>
      </c>
      <c r="Q3252" s="72">
        <f t="shared" si="1208"/>
        <v>0</v>
      </c>
      <c r="R3252" s="72">
        <f t="shared" si="1209"/>
        <v>0.54166666666666663</v>
      </c>
      <c r="S3252" s="72">
        <f t="shared" si="1210"/>
        <v>1.0623529411764705</v>
      </c>
      <c r="T3252" s="72">
        <f t="shared" si="1211"/>
        <v>0.98272621959068085</v>
      </c>
      <c r="U3252" s="72">
        <f t="shared" si="1212"/>
        <v>1.05</v>
      </c>
    </row>
    <row r="3253" spans="1:21" x14ac:dyDescent="0.25">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0.86</v>
      </c>
      <c r="P3253" s="72">
        <f t="shared" si="1207"/>
        <v>0</v>
      </c>
      <c r="Q3253" s="72">
        <f t="shared" si="1208"/>
        <v>0</v>
      </c>
      <c r="R3253" s="72">
        <f t="shared" si="1209"/>
        <v>0.45833333333333331</v>
      </c>
      <c r="S3253" s="72">
        <f t="shared" si="1210"/>
        <v>1.0623529411764705</v>
      </c>
      <c r="T3253" s="72">
        <f t="shared" si="1211"/>
        <v>0.9842965632642553</v>
      </c>
      <c r="U3253" s="72">
        <f t="shared" si="1212"/>
        <v>1.05</v>
      </c>
    </row>
    <row r="3254" spans="1:21" x14ac:dyDescent="0.25">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0.86</v>
      </c>
      <c r="P3254" s="72">
        <f t="shared" si="1207"/>
        <v>0</v>
      </c>
      <c r="Q3254" s="72">
        <f t="shared" si="1208"/>
        <v>0</v>
      </c>
      <c r="R3254" s="72">
        <f t="shared" si="1209"/>
        <v>0.375</v>
      </c>
      <c r="S3254" s="72">
        <f t="shared" si="1210"/>
        <v>1.0623529411764705</v>
      </c>
      <c r="T3254" s="72">
        <f t="shared" si="1211"/>
        <v>0.98589265027674078</v>
      </c>
      <c r="U3254" s="72">
        <f t="shared" si="1212"/>
        <v>1.05</v>
      </c>
    </row>
    <row r="3255" spans="1:21" x14ac:dyDescent="0.25">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0.86</v>
      </c>
      <c r="P3255" s="72">
        <f t="shared" si="1207"/>
        <v>0</v>
      </c>
      <c r="Q3255" s="72">
        <f t="shared" si="1208"/>
        <v>0</v>
      </c>
      <c r="R3255" s="72">
        <f t="shared" si="1209"/>
        <v>0.29166666666666669</v>
      </c>
      <c r="S3255" s="72">
        <f t="shared" si="1210"/>
        <v>1.0623529411764705</v>
      </c>
      <c r="T3255" s="72">
        <f t="shared" si="1211"/>
        <v>0.98746299395031523</v>
      </c>
      <c r="U3255" s="72">
        <f t="shared" si="1212"/>
        <v>1.05</v>
      </c>
    </row>
    <row r="3256" spans="1:21" x14ac:dyDescent="0.25">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0.86</v>
      </c>
      <c r="P3256" s="72">
        <f t="shared" si="1207"/>
        <v>0</v>
      </c>
      <c r="Q3256" s="72">
        <f t="shared" si="1208"/>
        <v>0</v>
      </c>
      <c r="R3256" s="72">
        <f t="shared" si="1209"/>
        <v>0.20833333333333334</v>
      </c>
      <c r="S3256" s="72">
        <f t="shared" si="1210"/>
        <v>1.0623529411764705</v>
      </c>
      <c r="T3256" s="72">
        <f t="shared" si="1211"/>
        <v>0.9890333376238899</v>
      </c>
      <c r="U3256" s="72">
        <f t="shared" si="1212"/>
        <v>1.05</v>
      </c>
    </row>
    <row r="3257" spans="1:21" x14ac:dyDescent="0.25">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0.86</v>
      </c>
      <c r="P3257" s="72">
        <f t="shared" si="1207"/>
        <v>0</v>
      </c>
      <c r="Q3257" s="72">
        <f t="shared" si="1208"/>
        <v>0</v>
      </c>
      <c r="R3257" s="72">
        <f t="shared" si="1209"/>
        <v>0.125</v>
      </c>
      <c r="S3257" s="72">
        <f t="shared" si="1210"/>
        <v>1.0623529411764705</v>
      </c>
      <c r="T3257" s="72">
        <f t="shared" si="1211"/>
        <v>1.0401338653623375</v>
      </c>
      <c r="U3257" s="72">
        <f t="shared" si="1212"/>
        <v>1.05</v>
      </c>
    </row>
    <row r="3258" spans="1:21" x14ac:dyDescent="0.25">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0.86</v>
      </c>
      <c r="P3258" s="72">
        <f t="shared" si="1207"/>
        <v>0</v>
      </c>
      <c r="Q3258" s="72">
        <f t="shared" si="1208"/>
        <v>0</v>
      </c>
      <c r="R3258" s="72">
        <f t="shared" si="1209"/>
        <v>4.1666666666666664E-2</v>
      </c>
      <c r="S3258" s="72">
        <f t="shared" si="1210"/>
        <v>1.0623529411764705</v>
      </c>
      <c r="T3258" s="72">
        <f t="shared" si="1211"/>
        <v>1.0417827262195907</v>
      </c>
      <c r="U3258" s="72">
        <f t="shared" si="1212"/>
        <v>1.05</v>
      </c>
    </row>
    <row r="3259" spans="1:21" x14ac:dyDescent="0.25">
      <c r="A3259" s="77" t="s">
        <v>1209</v>
      </c>
      <c r="B3259" s="50">
        <f>EXP(SUMPRODUCT((rl_key=$A$3208)*(rl_cons="Y")*rl_ln1p))</f>
        <v>1.05</v>
      </c>
      <c r="C3259" s="50">
        <f>SUMPRODUCT($H$3211:$H$3258,$P$3211:$P$3258,$U$3211:$U$3258)/SUMPRODUCT($H$3211:$H$3258,$P$3211:$P$3258)</f>
        <v>1.0006944444444443</v>
      </c>
      <c r="D3259" s="50">
        <f>SUMPRODUCT($H$3211:$H$3258,$Q$3211:$Q$3258,$U$3211:$U$3258)/SUMPRODUCT($H$3211:$H$3258,$Q$3211:$Q$3258)</f>
        <v>1.0326388888888889</v>
      </c>
      <c r="E3259" s="50">
        <f>SUMPRODUCT($H$3211:$H$3258,$R$3211:$R$3258,$U$3211:$U$3258)/SUMPRODUCT($H$3211:$H$3258,$R$3211:$R$3258)</f>
        <v>1.05</v>
      </c>
      <c r="F3259" s="169">
        <f>SUMPRODUCT($H$3211:$H$3258,$Q$3211:$Q$3258,$O$3211:$O$3258)/SUMPRODUCT($H$3211:$H$3258,$Q$3211:$Q$3258)</f>
        <v>0.84399161196207151</v>
      </c>
      <c r="G3259" s="169">
        <f>SUMPRODUCT($H$3211:$H$3258,$R$3211:$R$3258,$O$3211:$O$3258)/SUMPRODUCT($H$3211:$H$3258,$R$3211:$R$3258)</f>
        <v>0.85731271274009246</v>
      </c>
    </row>
    <row r="3262" spans="1:21" x14ac:dyDescent="0.25">
      <c r="A3262" s="77" t="str">
        <f>INDEX(lr_key,60)</f>
        <v>BU-C|OH</v>
      </c>
      <c r="B3262" s="77" t="str">
        <f>INDEX(lr_state,60)</f>
        <v>OH</v>
      </c>
      <c r="C3262" s="52">
        <f>nr_TermMonths</f>
        <v>12</v>
      </c>
      <c r="D3262" s="52">
        <f>IF(COUNTIF(se_state,$B3262)=0,0,MATCH($B3262,se_state,0))</f>
        <v>0</v>
      </c>
      <c r="E3262" s="54">
        <f>IF($D3262=0,0,INDEX(se_sum,$D3262))</f>
        <v>0</v>
      </c>
      <c r="F3262" s="169">
        <f>IF(N(INDEX(lr_mind,60))=0,1,INDEX(lr_mind,60))</f>
        <v>0.85</v>
      </c>
      <c r="G3262" s="169">
        <f>IF(N(INDEX(lr_m0,60))=0,1,INDEX(lr_m0,60))</f>
        <v>0.84</v>
      </c>
      <c r="H3262" s="51">
        <f>IF(N(INDEX(lr_m0asof,60))=0,DATE(nr_PlanYear-1,10,1),INDEX(lr_m0asof,60))</f>
        <v>46295</v>
      </c>
      <c r="I3262" s="169">
        <f>IF(N(INDEX(lr_m1,60))=0,1,INDEX(lr_m1,60))</f>
        <v>0.84</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25">
      <c r="A3263" s="77">
        <f>EDATE($H$3262,-12)+1</f>
        <v>45931</v>
      </c>
      <c r="B3263" s="77">
        <f>$H$3262+1</f>
        <v>46296</v>
      </c>
      <c r="C3263" s="77">
        <f>DATE(nr_PlanYear,12,31)+1</f>
        <v>46753</v>
      </c>
      <c r="D3263" s="77">
        <f>DATE(nr_PlanYear+1,12,31)+1</f>
        <v>47119</v>
      </c>
      <c r="E3263" s="77">
        <f>IF(N($J$3262)=0,$F$3263-($G$3263-$F$3263)/($C$3263-$B$3263)*($B$3263-$A$3263),$J$3262)</f>
        <v>0.84</v>
      </c>
      <c r="F3263" s="77">
        <f>$G$3262</f>
        <v>0.84</v>
      </c>
      <c r="G3263" s="77">
        <f>$I$3262</f>
        <v>0.84</v>
      </c>
      <c r="H3263" s="77">
        <f>IF(N($K$3262)=0,$I$3262,$K$3262)</f>
        <v>0.84</v>
      </c>
      <c r="I3263" s="77">
        <f>($F$3263-$E$3263)/($B$3263-$A$3263)</f>
        <v>0</v>
      </c>
      <c r="J3263" s="77">
        <f>($G$3263-$F$3263)/($C$3263-$B$3263)</f>
        <v>0</v>
      </c>
      <c r="K3263" s="77">
        <f>($H$3263-$G$3263)/($D$3263-$C$3263)</f>
        <v>0</v>
      </c>
    </row>
    <row r="3264" spans="1:21" ht="24" x14ac:dyDescent="0.25">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25">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0.84</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0.9882352941176471</v>
      </c>
      <c r="T3265" s="72">
        <f t="shared" ref="T3265:T3312" si="1231">IF($G3265&lt;nr_MStartP,$S3265,$T3253*(1+IF($G3265&lt;nr_MStartP1,$M$3262,$N$3262)))</f>
        <v>0.9882352941176471</v>
      </c>
      <c r="U3265" s="72">
        <f t="shared" ref="U3265:U3312" si="1232">IF($L$3262,$T3265,$N3265)</f>
        <v>1</v>
      </c>
    </row>
    <row r="3266" spans="1:21" x14ac:dyDescent="0.25">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0.84</v>
      </c>
      <c r="P3266" s="72">
        <f t="shared" si="1227"/>
        <v>0.125</v>
      </c>
      <c r="Q3266" s="72">
        <f t="shared" si="1228"/>
        <v>0</v>
      </c>
      <c r="R3266" s="72">
        <f t="shared" si="1229"/>
        <v>0</v>
      </c>
      <c r="S3266" s="72">
        <f t="shared" si="1230"/>
        <v>0.9882352941176471</v>
      </c>
      <c r="T3266" s="72">
        <f t="shared" si="1231"/>
        <v>0.9882352941176471</v>
      </c>
      <c r="U3266" s="72">
        <f t="shared" si="1232"/>
        <v>1</v>
      </c>
    </row>
    <row r="3267" spans="1:21" x14ac:dyDescent="0.25">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0.84</v>
      </c>
      <c r="P3267" s="72">
        <f t="shared" si="1227"/>
        <v>0.20833333333333337</v>
      </c>
      <c r="Q3267" s="72">
        <f t="shared" si="1228"/>
        <v>0</v>
      </c>
      <c r="R3267" s="72">
        <f t="shared" si="1229"/>
        <v>0</v>
      </c>
      <c r="S3267" s="72">
        <f t="shared" si="1230"/>
        <v>0.9882352941176471</v>
      </c>
      <c r="T3267" s="72">
        <f t="shared" si="1231"/>
        <v>0.9882352941176471</v>
      </c>
      <c r="U3267" s="72">
        <f t="shared" si="1232"/>
        <v>1</v>
      </c>
    </row>
    <row r="3268" spans="1:21" x14ac:dyDescent="0.25">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0.84</v>
      </c>
      <c r="P3268" s="72">
        <f t="shared" si="1227"/>
        <v>0.29166666666666663</v>
      </c>
      <c r="Q3268" s="72">
        <f t="shared" si="1228"/>
        <v>0</v>
      </c>
      <c r="R3268" s="72">
        <f t="shared" si="1229"/>
        <v>0</v>
      </c>
      <c r="S3268" s="72">
        <f t="shared" si="1230"/>
        <v>0.9882352941176471</v>
      </c>
      <c r="T3268" s="72">
        <f t="shared" si="1231"/>
        <v>0.9882352941176471</v>
      </c>
      <c r="U3268" s="72">
        <f t="shared" si="1232"/>
        <v>1</v>
      </c>
    </row>
    <row r="3269" spans="1:21" x14ac:dyDescent="0.25">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0.84</v>
      </c>
      <c r="P3269" s="72">
        <f t="shared" si="1227"/>
        <v>0.375</v>
      </c>
      <c r="Q3269" s="72">
        <f t="shared" si="1228"/>
        <v>0</v>
      </c>
      <c r="R3269" s="72">
        <f t="shared" si="1229"/>
        <v>0</v>
      </c>
      <c r="S3269" s="72">
        <f t="shared" si="1230"/>
        <v>0.9882352941176471</v>
      </c>
      <c r="T3269" s="72">
        <f t="shared" si="1231"/>
        <v>0.9882352941176471</v>
      </c>
      <c r="U3269" s="72">
        <f t="shared" si="1232"/>
        <v>1</v>
      </c>
    </row>
    <row r="3270" spans="1:21" x14ac:dyDescent="0.25">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0.84</v>
      </c>
      <c r="P3270" s="72">
        <f t="shared" si="1227"/>
        <v>0.45833333333333337</v>
      </c>
      <c r="Q3270" s="72">
        <f t="shared" si="1228"/>
        <v>0</v>
      </c>
      <c r="R3270" s="72">
        <f t="shared" si="1229"/>
        <v>0</v>
      </c>
      <c r="S3270" s="72">
        <f t="shared" si="1230"/>
        <v>0.9882352941176471</v>
      </c>
      <c r="T3270" s="72">
        <f t="shared" si="1231"/>
        <v>0.9882352941176471</v>
      </c>
      <c r="U3270" s="72">
        <f t="shared" si="1232"/>
        <v>1</v>
      </c>
    </row>
    <row r="3271" spans="1:21" x14ac:dyDescent="0.25">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0.84</v>
      </c>
      <c r="P3271" s="72">
        <f t="shared" si="1227"/>
        <v>0.54166666666666674</v>
      </c>
      <c r="Q3271" s="72">
        <f t="shared" si="1228"/>
        <v>0</v>
      </c>
      <c r="R3271" s="72">
        <f t="shared" si="1229"/>
        <v>0</v>
      </c>
      <c r="S3271" s="72">
        <f t="shared" si="1230"/>
        <v>0.9882352941176471</v>
      </c>
      <c r="T3271" s="72">
        <f t="shared" si="1231"/>
        <v>0.9882352941176471</v>
      </c>
      <c r="U3271" s="72">
        <f t="shared" si="1232"/>
        <v>1</v>
      </c>
    </row>
    <row r="3272" spans="1:21" x14ac:dyDescent="0.25">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0.84</v>
      </c>
      <c r="P3272" s="72">
        <f t="shared" si="1227"/>
        <v>0.625</v>
      </c>
      <c r="Q3272" s="72">
        <f t="shared" si="1228"/>
        <v>0</v>
      </c>
      <c r="R3272" s="72">
        <f t="shared" si="1229"/>
        <v>0</v>
      </c>
      <c r="S3272" s="72">
        <f t="shared" si="1230"/>
        <v>0.9882352941176471</v>
      </c>
      <c r="T3272" s="72">
        <f t="shared" si="1231"/>
        <v>0.9882352941176471</v>
      </c>
      <c r="U3272" s="72">
        <f t="shared" si="1232"/>
        <v>1</v>
      </c>
    </row>
    <row r="3273" spans="1:21" x14ac:dyDescent="0.25">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0.84</v>
      </c>
      <c r="P3273" s="72">
        <f t="shared" si="1227"/>
        <v>0.70833333333333326</v>
      </c>
      <c r="Q3273" s="72">
        <f t="shared" si="1228"/>
        <v>0</v>
      </c>
      <c r="R3273" s="72">
        <f t="shared" si="1229"/>
        <v>0</v>
      </c>
      <c r="S3273" s="72">
        <f t="shared" si="1230"/>
        <v>0.9882352941176471</v>
      </c>
      <c r="T3273" s="72">
        <f t="shared" si="1231"/>
        <v>0.9882352941176471</v>
      </c>
      <c r="U3273" s="72">
        <f t="shared" si="1232"/>
        <v>1</v>
      </c>
    </row>
    <row r="3274" spans="1:21" x14ac:dyDescent="0.25">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0.84</v>
      </c>
      <c r="P3274" s="72">
        <f t="shared" si="1227"/>
        <v>0.79166666666666663</v>
      </c>
      <c r="Q3274" s="72">
        <f t="shared" si="1228"/>
        <v>0</v>
      </c>
      <c r="R3274" s="72">
        <f t="shared" si="1229"/>
        <v>0</v>
      </c>
      <c r="S3274" s="72">
        <f t="shared" si="1230"/>
        <v>0.9882352941176471</v>
      </c>
      <c r="T3274" s="72">
        <f t="shared" si="1231"/>
        <v>0.9882352941176471</v>
      </c>
      <c r="U3274" s="72">
        <f t="shared" si="1232"/>
        <v>1</v>
      </c>
    </row>
    <row r="3275" spans="1:21" x14ac:dyDescent="0.25">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0.84</v>
      </c>
      <c r="P3275" s="72">
        <f t="shared" si="1227"/>
        <v>0.875</v>
      </c>
      <c r="Q3275" s="72">
        <f t="shared" si="1228"/>
        <v>0</v>
      </c>
      <c r="R3275" s="72">
        <f t="shared" si="1229"/>
        <v>0</v>
      </c>
      <c r="S3275" s="72">
        <f t="shared" si="1230"/>
        <v>0.9882352941176471</v>
      </c>
      <c r="T3275" s="72">
        <f t="shared" si="1231"/>
        <v>0.9882352941176471</v>
      </c>
      <c r="U3275" s="72">
        <f t="shared" si="1232"/>
        <v>1</v>
      </c>
    </row>
    <row r="3276" spans="1:21" x14ac:dyDescent="0.25">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0.84</v>
      </c>
      <c r="P3276" s="72">
        <f t="shared" si="1227"/>
        <v>0.95833333333333337</v>
      </c>
      <c r="Q3276" s="72">
        <f t="shared" si="1228"/>
        <v>0</v>
      </c>
      <c r="R3276" s="72">
        <f t="shared" si="1229"/>
        <v>0</v>
      </c>
      <c r="S3276" s="72">
        <f t="shared" si="1230"/>
        <v>0.9882352941176471</v>
      </c>
      <c r="T3276" s="72">
        <f t="shared" si="1231"/>
        <v>0.9882352941176471</v>
      </c>
      <c r="U3276" s="72">
        <f t="shared" si="1232"/>
        <v>1</v>
      </c>
    </row>
    <row r="3277" spans="1:21" x14ac:dyDescent="0.25">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0.84</v>
      </c>
      <c r="P3277" s="72">
        <f t="shared" si="1227"/>
        <v>0.95833333333333337</v>
      </c>
      <c r="Q3277" s="72">
        <f t="shared" si="1228"/>
        <v>4.166666666666663E-2</v>
      </c>
      <c r="R3277" s="72">
        <f t="shared" si="1229"/>
        <v>0</v>
      </c>
      <c r="S3277" s="72">
        <f t="shared" si="1230"/>
        <v>0.9882352941176471</v>
      </c>
      <c r="T3277" s="72">
        <f t="shared" si="1231"/>
        <v>0.9882352941176471</v>
      </c>
      <c r="U3277" s="72">
        <f t="shared" si="1232"/>
        <v>1</v>
      </c>
    </row>
    <row r="3278" spans="1:21" x14ac:dyDescent="0.25">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0.84</v>
      </c>
      <c r="P3278" s="72">
        <f t="shared" si="1227"/>
        <v>0.875</v>
      </c>
      <c r="Q3278" s="72">
        <f t="shared" si="1228"/>
        <v>0.125</v>
      </c>
      <c r="R3278" s="72">
        <f t="shared" si="1229"/>
        <v>0</v>
      </c>
      <c r="S3278" s="72">
        <f t="shared" si="1230"/>
        <v>0.9882352941176471</v>
      </c>
      <c r="T3278" s="72">
        <f t="shared" si="1231"/>
        <v>0.9882352941176471</v>
      </c>
      <c r="U3278" s="72">
        <f t="shared" si="1232"/>
        <v>1</v>
      </c>
    </row>
    <row r="3279" spans="1:21" x14ac:dyDescent="0.25">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0.84</v>
      </c>
      <c r="P3279" s="72">
        <f t="shared" si="1227"/>
        <v>0.79166666666666663</v>
      </c>
      <c r="Q3279" s="72">
        <f t="shared" si="1228"/>
        <v>0.20833333333333337</v>
      </c>
      <c r="R3279" s="72">
        <f t="shared" si="1229"/>
        <v>0</v>
      </c>
      <c r="S3279" s="72">
        <f t="shared" si="1230"/>
        <v>0.9882352941176471</v>
      </c>
      <c r="T3279" s="72">
        <f t="shared" si="1231"/>
        <v>0.9882352941176471</v>
      </c>
      <c r="U3279" s="72">
        <f t="shared" si="1232"/>
        <v>1</v>
      </c>
    </row>
    <row r="3280" spans="1:21" x14ac:dyDescent="0.25">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0.84</v>
      </c>
      <c r="P3280" s="72">
        <f t="shared" si="1227"/>
        <v>0.70833333333333337</v>
      </c>
      <c r="Q3280" s="72">
        <f t="shared" si="1228"/>
        <v>0.29166666666666663</v>
      </c>
      <c r="R3280" s="72">
        <f t="shared" si="1229"/>
        <v>0</v>
      </c>
      <c r="S3280" s="72">
        <f t="shared" si="1230"/>
        <v>0.9882352941176471</v>
      </c>
      <c r="T3280" s="72">
        <f t="shared" si="1231"/>
        <v>0.9882352941176471</v>
      </c>
      <c r="U3280" s="72">
        <f t="shared" si="1232"/>
        <v>1</v>
      </c>
    </row>
    <row r="3281" spans="1:21" x14ac:dyDescent="0.25">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0.84</v>
      </c>
      <c r="P3281" s="72">
        <f t="shared" si="1227"/>
        <v>0.625</v>
      </c>
      <c r="Q3281" s="72">
        <f t="shared" si="1228"/>
        <v>0.375</v>
      </c>
      <c r="R3281" s="72">
        <f t="shared" si="1229"/>
        <v>0</v>
      </c>
      <c r="S3281" s="72">
        <f t="shared" si="1230"/>
        <v>0.9882352941176471</v>
      </c>
      <c r="T3281" s="72">
        <f t="shared" si="1231"/>
        <v>0.9882352941176471</v>
      </c>
      <c r="U3281" s="72">
        <f t="shared" si="1232"/>
        <v>1</v>
      </c>
    </row>
    <row r="3282" spans="1:21" x14ac:dyDescent="0.25">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0.84</v>
      </c>
      <c r="P3282" s="72">
        <f t="shared" si="1227"/>
        <v>0.54166666666666663</v>
      </c>
      <c r="Q3282" s="72">
        <f t="shared" si="1228"/>
        <v>0.45833333333333337</v>
      </c>
      <c r="R3282" s="72">
        <f t="shared" si="1229"/>
        <v>0</v>
      </c>
      <c r="S3282" s="72">
        <f t="shared" si="1230"/>
        <v>0.9882352941176471</v>
      </c>
      <c r="T3282" s="72">
        <f t="shared" si="1231"/>
        <v>0.9882352941176471</v>
      </c>
      <c r="U3282" s="72">
        <f t="shared" si="1232"/>
        <v>1</v>
      </c>
    </row>
    <row r="3283" spans="1:21" x14ac:dyDescent="0.25">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0.84</v>
      </c>
      <c r="P3283" s="72">
        <f t="shared" si="1227"/>
        <v>0.45833333333333331</v>
      </c>
      <c r="Q3283" s="72">
        <f t="shared" si="1228"/>
        <v>0.54166666666666674</v>
      </c>
      <c r="R3283" s="72">
        <f t="shared" si="1229"/>
        <v>0</v>
      </c>
      <c r="S3283" s="72">
        <f t="shared" si="1230"/>
        <v>0.9882352941176471</v>
      </c>
      <c r="T3283" s="72">
        <f t="shared" si="1231"/>
        <v>0.9882352941176471</v>
      </c>
      <c r="U3283" s="72">
        <f t="shared" si="1232"/>
        <v>1</v>
      </c>
    </row>
    <row r="3284" spans="1:21" x14ac:dyDescent="0.25">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0.84</v>
      </c>
      <c r="P3284" s="72">
        <f t="shared" si="1227"/>
        <v>0.375</v>
      </c>
      <c r="Q3284" s="72">
        <f t="shared" si="1228"/>
        <v>0.625</v>
      </c>
      <c r="R3284" s="72">
        <f t="shared" si="1229"/>
        <v>0</v>
      </c>
      <c r="S3284" s="72">
        <f t="shared" si="1230"/>
        <v>0.9882352941176471</v>
      </c>
      <c r="T3284" s="72">
        <f t="shared" si="1231"/>
        <v>0.9882352941176471</v>
      </c>
      <c r="U3284" s="72">
        <f t="shared" si="1232"/>
        <v>1</v>
      </c>
    </row>
    <row r="3285" spans="1:21" x14ac:dyDescent="0.25">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0.84</v>
      </c>
      <c r="P3285" s="72">
        <f t="shared" si="1227"/>
        <v>0.29166666666666669</v>
      </c>
      <c r="Q3285" s="72">
        <f t="shared" si="1228"/>
        <v>0.70833333333333326</v>
      </c>
      <c r="R3285" s="72">
        <f t="shared" si="1229"/>
        <v>0</v>
      </c>
      <c r="S3285" s="72">
        <f t="shared" si="1230"/>
        <v>0.9882352941176471</v>
      </c>
      <c r="T3285" s="72">
        <f t="shared" si="1231"/>
        <v>0.9882352941176471</v>
      </c>
      <c r="U3285" s="72">
        <f t="shared" si="1232"/>
        <v>1</v>
      </c>
    </row>
    <row r="3286" spans="1:21" x14ac:dyDescent="0.25">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0.84</v>
      </c>
      <c r="P3286" s="72">
        <f t="shared" si="1227"/>
        <v>0.20833333333333334</v>
      </c>
      <c r="Q3286" s="72">
        <f t="shared" si="1228"/>
        <v>0.79166666666666663</v>
      </c>
      <c r="R3286" s="72">
        <f t="shared" si="1229"/>
        <v>0</v>
      </c>
      <c r="S3286" s="72">
        <f t="shared" si="1230"/>
        <v>0.9882352941176471</v>
      </c>
      <c r="T3286" s="72">
        <f t="shared" si="1231"/>
        <v>0.9882352941176471</v>
      </c>
      <c r="U3286" s="72">
        <f t="shared" si="1232"/>
        <v>1</v>
      </c>
    </row>
    <row r="3287" spans="1:21" x14ac:dyDescent="0.25">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0.84</v>
      </c>
      <c r="P3287" s="72">
        <f t="shared" si="1227"/>
        <v>0.125</v>
      </c>
      <c r="Q3287" s="72">
        <f t="shared" si="1228"/>
        <v>0.875</v>
      </c>
      <c r="R3287" s="72">
        <f t="shared" si="1229"/>
        <v>0</v>
      </c>
      <c r="S3287" s="72">
        <f t="shared" si="1230"/>
        <v>0.9882352941176471</v>
      </c>
      <c r="T3287" s="72">
        <f t="shared" si="1231"/>
        <v>0.9882352941176471</v>
      </c>
      <c r="U3287" s="72">
        <f t="shared" si="1232"/>
        <v>1</v>
      </c>
    </row>
    <row r="3288" spans="1:21" x14ac:dyDescent="0.25">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0.84</v>
      </c>
      <c r="P3288" s="72">
        <f t="shared" si="1227"/>
        <v>4.1666666666666664E-2</v>
      </c>
      <c r="Q3288" s="72">
        <f t="shared" si="1228"/>
        <v>0.95833333333333337</v>
      </c>
      <c r="R3288" s="72">
        <f t="shared" si="1229"/>
        <v>0</v>
      </c>
      <c r="S3288" s="72">
        <f t="shared" si="1230"/>
        <v>0.9882352941176471</v>
      </c>
      <c r="T3288" s="72">
        <f t="shared" si="1231"/>
        <v>0.9882352941176471</v>
      </c>
      <c r="U3288" s="72">
        <f t="shared" si="1232"/>
        <v>1</v>
      </c>
    </row>
    <row r="3289" spans="1:21" x14ac:dyDescent="0.25">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0.84</v>
      </c>
      <c r="P3289" s="72">
        <f t="shared" si="1227"/>
        <v>0</v>
      </c>
      <c r="Q3289" s="72">
        <f t="shared" si="1228"/>
        <v>0.95833333333333337</v>
      </c>
      <c r="R3289" s="72">
        <f t="shared" si="1229"/>
        <v>4.166666666666663E-2</v>
      </c>
      <c r="S3289" s="72">
        <f t="shared" si="1230"/>
        <v>0.9882352941176471</v>
      </c>
      <c r="T3289" s="72">
        <f t="shared" si="1231"/>
        <v>0.9882352941176471</v>
      </c>
      <c r="U3289" s="72">
        <f t="shared" si="1232"/>
        <v>1</v>
      </c>
    </row>
    <row r="3290" spans="1:21" x14ac:dyDescent="0.25">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0.84</v>
      </c>
      <c r="P3290" s="72">
        <f t="shared" si="1227"/>
        <v>0</v>
      </c>
      <c r="Q3290" s="72">
        <f t="shared" si="1228"/>
        <v>0.875</v>
      </c>
      <c r="R3290" s="72">
        <f t="shared" si="1229"/>
        <v>0.125</v>
      </c>
      <c r="S3290" s="72">
        <f t="shared" si="1230"/>
        <v>0.9882352941176471</v>
      </c>
      <c r="T3290" s="72">
        <f t="shared" si="1231"/>
        <v>0.9882352941176471</v>
      </c>
      <c r="U3290" s="72">
        <f t="shared" si="1232"/>
        <v>1</v>
      </c>
    </row>
    <row r="3291" spans="1:21" x14ac:dyDescent="0.25">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0.84</v>
      </c>
      <c r="P3291" s="72">
        <f t="shared" si="1227"/>
        <v>0</v>
      </c>
      <c r="Q3291" s="72">
        <f t="shared" si="1228"/>
        <v>0.79166666666666663</v>
      </c>
      <c r="R3291" s="72">
        <f t="shared" si="1229"/>
        <v>0.20833333333333337</v>
      </c>
      <c r="S3291" s="72">
        <f t="shared" si="1230"/>
        <v>0.9882352941176471</v>
      </c>
      <c r="T3291" s="72">
        <f t="shared" si="1231"/>
        <v>0.9882352941176471</v>
      </c>
      <c r="U3291" s="72">
        <f t="shared" si="1232"/>
        <v>1</v>
      </c>
    </row>
    <row r="3292" spans="1:21" x14ac:dyDescent="0.25">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0.84</v>
      </c>
      <c r="P3292" s="72">
        <f t="shared" si="1227"/>
        <v>0</v>
      </c>
      <c r="Q3292" s="72">
        <f t="shared" si="1228"/>
        <v>0.70833333333333337</v>
      </c>
      <c r="R3292" s="72">
        <f t="shared" si="1229"/>
        <v>0.29166666666666663</v>
      </c>
      <c r="S3292" s="72">
        <f t="shared" si="1230"/>
        <v>0.9882352941176471</v>
      </c>
      <c r="T3292" s="72">
        <f t="shared" si="1231"/>
        <v>0.9882352941176471</v>
      </c>
      <c r="U3292" s="72">
        <f t="shared" si="1232"/>
        <v>1</v>
      </c>
    </row>
    <row r="3293" spans="1:21" x14ac:dyDescent="0.25">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0.84</v>
      </c>
      <c r="P3293" s="72">
        <f t="shared" si="1227"/>
        <v>0</v>
      </c>
      <c r="Q3293" s="72">
        <f t="shared" si="1228"/>
        <v>0.625</v>
      </c>
      <c r="R3293" s="72">
        <f t="shared" si="1229"/>
        <v>0.375</v>
      </c>
      <c r="S3293" s="72">
        <f t="shared" si="1230"/>
        <v>0.9882352941176471</v>
      </c>
      <c r="T3293" s="72">
        <f t="shared" si="1231"/>
        <v>0.9882352941176471</v>
      </c>
      <c r="U3293" s="72">
        <f t="shared" si="1232"/>
        <v>1</v>
      </c>
    </row>
    <row r="3294" spans="1:21" x14ac:dyDescent="0.25">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0.84</v>
      </c>
      <c r="P3294" s="72">
        <f t="shared" si="1227"/>
        <v>0</v>
      </c>
      <c r="Q3294" s="72">
        <f t="shared" si="1228"/>
        <v>0.54166666666666663</v>
      </c>
      <c r="R3294" s="72">
        <f t="shared" si="1229"/>
        <v>0.45833333333333337</v>
      </c>
      <c r="S3294" s="72">
        <f t="shared" si="1230"/>
        <v>0.9882352941176471</v>
      </c>
      <c r="T3294" s="72">
        <f t="shared" si="1231"/>
        <v>0.9882352941176471</v>
      </c>
      <c r="U3294" s="72">
        <f t="shared" si="1232"/>
        <v>1</v>
      </c>
    </row>
    <row r="3295" spans="1:21" x14ac:dyDescent="0.25">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0.84</v>
      </c>
      <c r="P3295" s="72">
        <f t="shared" si="1227"/>
        <v>0</v>
      </c>
      <c r="Q3295" s="72">
        <f t="shared" si="1228"/>
        <v>0.45833333333333331</v>
      </c>
      <c r="R3295" s="72">
        <f t="shared" si="1229"/>
        <v>0.54166666666666674</v>
      </c>
      <c r="S3295" s="72">
        <f t="shared" si="1230"/>
        <v>0.9882352941176471</v>
      </c>
      <c r="T3295" s="72">
        <f t="shared" si="1231"/>
        <v>0.9882352941176471</v>
      </c>
      <c r="U3295" s="72">
        <f t="shared" si="1232"/>
        <v>1</v>
      </c>
    </row>
    <row r="3296" spans="1:21" x14ac:dyDescent="0.25">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0.84</v>
      </c>
      <c r="P3296" s="72">
        <f t="shared" si="1227"/>
        <v>0</v>
      </c>
      <c r="Q3296" s="72">
        <f t="shared" si="1228"/>
        <v>0.375</v>
      </c>
      <c r="R3296" s="72">
        <f t="shared" si="1229"/>
        <v>0.625</v>
      </c>
      <c r="S3296" s="72">
        <f t="shared" si="1230"/>
        <v>0.9882352941176471</v>
      </c>
      <c r="T3296" s="72">
        <f t="shared" si="1231"/>
        <v>0.9882352941176471</v>
      </c>
      <c r="U3296" s="72">
        <f t="shared" si="1232"/>
        <v>1</v>
      </c>
    </row>
    <row r="3297" spans="1:21" x14ac:dyDescent="0.25">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0.84</v>
      </c>
      <c r="P3297" s="72">
        <f t="shared" si="1227"/>
        <v>0</v>
      </c>
      <c r="Q3297" s="72">
        <f t="shared" si="1228"/>
        <v>0.29166666666666669</v>
      </c>
      <c r="R3297" s="72">
        <f t="shared" si="1229"/>
        <v>0.70833333333333326</v>
      </c>
      <c r="S3297" s="72">
        <f t="shared" si="1230"/>
        <v>0.9882352941176471</v>
      </c>
      <c r="T3297" s="72">
        <f t="shared" si="1231"/>
        <v>0.9882352941176471</v>
      </c>
      <c r="U3297" s="72">
        <f t="shared" si="1232"/>
        <v>1</v>
      </c>
    </row>
    <row r="3298" spans="1:21" x14ac:dyDescent="0.25">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0.84</v>
      </c>
      <c r="P3298" s="72">
        <f t="shared" si="1227"/>
        <v>0</v>
      </c>
      <c r="Q3298" s="72">
        <f t="shared" si="1228"/>
        <v>0.20833333333333334</v>
      </c>
      <c r="R3298" s="72">
        <f t="shared" si="1229"/>
        <v>0.79166666666666663</v>
      </c>
      <c r="S3298" s="72">
        <f t="shared" si="1230"/>
        <v>0.9882352941176471</v>
      </c>
      <c r="T3298" s="72">
        <f t="shared" si="1231"/>
        <v>0.9882352941176471</v>
      </c>
      <c r="U3298" s="72">
        <f t="shared" si="1232"/>
        <v>1</v>
      </c>
    </row>
    <row r="3299" spans="1:21" x14ac:dyDescent="0.25">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0.84</v>
      </c>
      <c r="P3299" s="72">
        <f t="shared" si="1227"/>
        <v>0</v>
      </c>
      <c r="Q3299" s="72">
        <f t="shared" si="1228"/>
        <v>0.125</v>
      </c>
      <c r="R3299" s="72">
        <f t="shared" si="1229"/>
        <v>0.875</v>
      </c>
      <c r="S3299" s="72">
        <f t="shared" si="1230"/>
        <v>0.9882352941176471</v>
      </c>
      <c r="T3299" s="72">
        <f t="shared" si="1231"/>
        <v>0.9882352941176471</v>
      </c>
      <c r="U3299" s="72">
        <f t="shared" si="1232"/>
        <v>1</v>
      </c>
    </row>
    <row r="3300" spans="1:21" x14ac:dyDescent="0.25">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0.84</v>
      </c>
      <c r="P3300" s="72">
        <f t="shared" si="1227"/>
        <v>0</v>
      </c>
      <c r="Q3300" s="72">
        <f t="shared" si="1228"/>
        <v>4.1666666666666664E-2</v>
      </c>
      <c r="R3300" s="72">
        <f t="shared" si="1229"/>
        <v>0.95833333333333337</v>
      </c>
      <c r="S3300" s="72">
        <f t="shared" si="1230"/>
        <v>0.9882352941176471</v>
      </c>
      <c r="T3300" s="72">
        <f t="shared" si="1231"/>
        <v>0.9882352941176471</v>
      </c>
      <c r="U3300" s="72">
        <f t="shared" si="1232"/>
        <v>1</v>
      </c>
    </row>
    <row r="3301" spans="1:21" x14ac:dyDescent="0.25">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0.84</v>
      </c>
      <c r="P3301" s="72">
        <f t="shared" si="1227"/>
        <v>0</v>
      </c>
      <c r="Q3301" s="72">
        <f t="shared" si="1228"/>
        <v>0</v>
      </c>
      <c r="R3301" s="72">
        <f t="shared" si="1229"/>
        <v>0.95833333333333337</v>
      </c>
      <c r="S3301" s="72">
        <f t="shared" si="1230"/>
        <v>0.9882352941176471</v>
      </c>
      <c r="T3301" s="72">
        <f t="shared" si="1231"/>
        <v>0.9882352941176471</v>
      </c>
      <c r="U3301" s="72">
        <f t="shared" si="1232"/>
        <v>1</v>
      </c>
    </row>
    <row r="3302" spans="1:21" x14ac:dyDescent="0.25">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0.84</v>
      </c>
      <c r="P3302" s="72">
        <f t="shared" si="1227"/>
        <v>0</v>
      </c>
      <c r="Q3302" s="72">
        <f t="shared" si="1228"/>
        <v>0</v>
      </c>
      <c r="R3302" s="72">
        <f t="shared" si="1229"/>
        <v>0.875</v>
      </c>
      <c r="S3302" s="72">
        <f t="shared" si="1230"/>
        <v>0.9882352941176471</v>
      </c>
      <c r="T3302" s="72">
        <f t="shared" si="1231"/>
        <v>0.9882352941176471</v>
      </c>
      <c r="U3302" s="72">
        <f t="shared" si="1232"/>
        <v>1</v>
      </c>
    </row>
    <row r="3303" spans="1:21" x14ac:dyDescent="0.25">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0.84</v>
      </c>
      <c r="P3303" s="72">
        <f t="shared" si="1227"/>
        <v>0</v>
      </c>
      <c r="Q3303" s="72">
        <f t="shared" si="1228"/>
        <v>0</v>
      </c>
      <c r="R3303" s="72">
        <f t="shared" si="1229"/>
        <v>0.79166666666666663</v>
      </c>
      <c r="S3303" s="72">
        <f t="shared" si="1230"/>
        <v>0.9882352941176471</v>
      </c>
      <c r="T3303" s="72">
        <f t="shared" si="1231"/>
        <v>0.9882352941176471</v>
      </c>
      <c r="U3303" s="72">
        <f t="shared" si="1232"/>
        <v>1</v>
      </c>
    </row>
    <row r="3304" spans="1:21" x14ac:dyDescent="0.25">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0.84</v>
      </c>
      <c r="P3304" s="72">
        <f t="shared" si="1227"/>
        <v>0</v>
      </c>
      <c r="Q3304" s="72">
        <f t="shared" si="1228"/>
        <v>0</v>
      </c>
      <c r="R3304" s="72">
        <f t="shared" si="1229"/>
        <v>0.70833333333333337</v>
      </c>
      <c r="S3304" s="72">
        <f t="shared" si="1230"/>
        <v>0.9882352941176471</v>
      </c>
      <c r="T3304" s="72">
        <f t="shared" si="1231"/>
        <v>0.9882352941176471</v>
      </c>
      <c r="U3304" s="72">
        <f t="shared" si="1232"/>
        <v>1</v>
      </c>
    </row>
    <row r="3305" spans="1:21" x14ac:dyDescent="0.25">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0.84</v>
      </c>
      <c r="P3305" s="72">
        <f t="shared" si="1227"/>
        <v>0</v>
      </c>
      <c r="Q3305" s="72">
        <f t="shared" si="1228"/>
        <v>0</v>
      </c>
      <c r="R3305" s="72">
        <f t="shared" si="1229"/>
        <v>0.625</v>
      </c>
      <c r="S3305" s="72">
        <f t="shared" si="1230"/>
        <v>0.9882352941176471</v>
      </c>
      <c r="T3305" s="72">
        <f t="shared" si="1231"/>
        <v>0.9882352941176471</v>
      </c>
      <c r="U3305" s="72">
        <f t="shared" si="1232"/>
        <v>1</v>
      </c>
    </row>
    <row r="3306" spans="1:21" x14ac:dyDescent="0.25">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0.84</v>
      </c>
      <c r="P3306" s="72">
        <f t="shared" si="1227"/>
        <v>0</v>
      </c>
      <c r="Q3306" s="72">
        <f t="shared" si="1228"/>
        <v>0</v>
      </c>
      <c r="R3306" s="72">
        <f t="shared" si="1229"/>
        <v>0.54166666666666663</v>
      </c>
      <c r="S3306" s="72">
        <f t="shared" si="1230"/>
        <v>0.9882352941176471</v>
      </c>
      <c r="T3306" s="72">
        <f t="shared" si="1231"/>
        <v>0.9882352941176471</v>
      </c>
      <c r="U3306" s="72">
        <f t="shared" si="1232"/>
        <v>1</v>
      </c>
    </row>
    <row r="3307" spans="1:21" x14ac:dyDescent="0.25">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0.84</v>
      </c>
      <c r="P3307" s="72">
        <f t="shared" si="1227"/>
        <v>0</v>
      </c>
      <c r="Q3307" s="72">
        <f t="shared" si="1228"/>
        <v>0</v>
      </c>
      <c r="R3307" s="72">
        <f t="shared" si="1229"/>
        <v>0.45833333333333331</v>
      </c>
      <c r="S3307" s="72">
        <f t="shared" si="1230"/>
        <v>0.9882352941176471</v>
      </c>
      <c r="T3307" s="72">
        <f t="shared" si="1231"/>
        <v>0.9882352941176471</v>
      </c>
      <c r="U3307" s="72">
        <f t="shared" si="1232"/>
        <v>1</v>
      </c>
    </row>
    <row r="3308" spans="1:21" x14ac:dyDescent="0.25">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0.84</v>
      </c>
      <c r="P3308" s="72">
        <f t="shared" si="1227"/>
        <v>0</v>
      </c>
      <c r="Q3308" s="72">
        <f t="shared" si="1228"/>
        <v>0</v>
      </c>
      <c r="R3308" s="72">
        <f t="shared" si="1229"/>
        <v>0.375</v>
      </c>
      <c r="S3308" s="72">
        <f t="shared" si="1230"/>
        <v>0.9882352941176471</v>
      </c>
      <c r="T3308" s="72">
        <f t="shared" si="1231"/>
        <v>0.9882352941176471</v>
      </c>
      <c r="U3308" s="72">
        <f t="shared" si="1232"/>
        <v>1</v>
      </c>
    </row>
    <row r="3309" spans="1:21" x14ac:dyDescent="0.25">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0.84</v>
      </c>
      <c r="P3309" s="72">
        <f t="shared" si="1227"/>
        <v>0</v>
      </c>
      <c r="Q3309" s="72">
        <f t="shared" si="1228"/>
        <v>0</v>
      </c>
      <c r="R3309" s="72">
        <f t="shared" si="1229"/>
        <v>0.29166666666666669</v>
      </c>
      <c r="S3309" s="72">
        <f t="shared" si="1230"/>
        <v>0.9882352941176471</v>
      </c>
      <c r="T3309" s="72">
        <f t="shared" si="1231"/>
        <v>0.9882352941176471</v>
      </c>
      <c r="U3309" s="72">
        <f t="shared" si="1232"/>
        <v>1</v>
      </c>
    </row>
    <row r="3310" spans="1:21" x14ac:dyDescent="0.25">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0.84</v>
      </c>
      <c r="P3310" s="72">
        <f t="shared" si="1227"/>
        <v>0</v>
      </c>
      <c r="Q3310" s="72">
        <f t="shared" si="1228"/>
        <v>0</v>
      </c>
      <c r="R3310" s="72">
        <f t="shared" si="1229"/>
        <v>0.20833333333333334</v>
      </c>
      <c r="S3310" s="72">
        <f t="shared" si="1230"/>
        <v>0.9882352941176471</v>
      </c>
      <c r="T3310" s="72">
        <f t="shared" si="1231"/>
        <v>0.9882352941176471</v>
      </c>
      <c r="U3310" s="72">
        <f t="shared" si="1232"/>
        <v>1</v>
      </c>
    </row>
    <row r="3311" spans="1:21" x14ac:dyDescent="0.25">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0.84</v>
      </c>
      <c r="P3311" s="72">
        <f t="shared" si="1227"/>
        <v>0</v>
      </c>
      <c r="Q3311" s="72">
        <f t="shared" si="1228"/>
        <v>0</v>
      </c>
      <c r="R3311" s="72">
        <f t="shared" si="1229"/>
        <v>0.125</v>
      </c>
      <c r="S3311" s="72">
        <f t="shared" si="1230"/>
        <v>0.9882352941176471</v>
      </c>
      <c r="T3311" s="72">
        <f t="shared" si="1231"/>
        <v>0.9882352941176471</v>
      </c>
      <c r="U3311" s="72">
        <f t="shared" si="1232"/>
        <v>1</v>
      </c>
    </row>
    <row r="3312" spans="1:21" x14ac:dyDescent="0.25">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0.84</v>
      </c>
      <c r="P3312" s="72">
        <f t="shared" si="1227"/>
        <v>0</v>
      </c>
      <c r="Q3312" s="72">
        <f t="shared" si="1228"/>
        <v>0</v>
      </c>
      <c r="R3312" s="72">
        <f t="shared" si="1229"/>
        <v>4.1666666666666664E-2</v>
      </c>
      <c r="S3312" s="72">
        <f t="shared" si="1230"/>
        <v>0.9882352941176471</v>
      </c>
      <c r="T3312" s="72">
        <f t="shared" si="1231"/>
        <v>0.9882352941176471</v>
      </c>
      <c r="U3312" s="72">
        <f t="shared" si="1232"/>
        <v>1</v>
      </c>
    </row>
    <row r="3313" spans="1:21" x14ac:dyDescent="0.25">
      <c r="A3313" s="77" t="s">
        <v>1209</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0.84</v>
      </c>
      <c r="G3313" s="169">
        <f>SUMPRODUCT($H$3265:$H$3312,$R$3265:$R$3312,$O$3265:$O$3312)/SUMPRODUCT($H$3265:$H$3312,$R$3265:$R$3312)</f>
        <v>0.84</v>
      </c>
    </row>
    <row r="3316" spans="1:21" x14ac:dyDescent="0.25">
      <c r="A3316" s="77" t="str">
        <f>INDEX(lr_key,61)</f>
        <v>BU-C|PA</v>
      </c>
      <c r="B3316" s="77" t="str">
        <f>INDEX(lr_state,61)</f>
        <v>PA</v>
      </c>
      <c r="C3316" s="52">
        <f>nr_TermMonths</f>
        <v>12</v>
      </c>
      <c r="D3316" s="52">
        <f>IF(COUNTIF(se_state,$B3316)=0,0,MATCH($B3316,se_state,0))</f>
        <v>0</v>
      </c>
      <c r="E3316" s="54">
        <f>IF($D3316=0,0,INDEX(se_sum,$D3316))</f>
        <v>0</v>
      </c>
      <c r="F3316" s="169">
        <f>IF(N(INDEX(lr_mind,61))=0,1,INDEX(lr_mind,61))</f>
        <v>0.85</v>
      </c>
      <c r="G3316" s="169">
        <f>IF(N(INDEX(lr_m0,61))=0,1,INDEX(lr_m0,61))</f>
        <v>0.84</v>
      </c>
      <c r="H3316" s="51">
        <f>IF(N(INDEX(lr_m0asof,61))=0,DATE(nr_PlanYear-1,10,1),INDEX(lr_m0asof,61))</f>
        <v>46295</v>
      </c>
      <c r="I3316" s="169">
        <f>IF(N(INDEX(lr_m1,61))=0,1,INDEX(lr_m1,61))</f>
        <v>0.85499999999999998</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25">
      <c r="A3317" s="77">
        <f>EDATE($H$3316,-12)+1</f>
        <v>45931</v>
      </c>
      <c r="B3317" s="77">
        <f>$H$3316+1</f>
        <v>46296</v>
      </c>
      <c r="C3317" s="77">
        <f>DATE(nr_PlanYear,12,31)+1</f>
        <v>46753</v>
      </c>
      <c r="D3317" s="77">
        <f>DATE(nr_PlanYear+1,12,31)+1</f>
        <v>47119</v>
      </c>
      <c r="E3317" s="77">
        <f>IF(N($J$3316)=0,$F$3317-($G$3317-$F$3317)/($C$3317-$B$3317)*($B$3317-$A$3317),$J$3316)</f>
        <v>0.82801969365426686</v>
      </c>
      <c r="F3317" s="77">
        <f>$G$3316</f>
        <v>0.84</v>
      </c>
      <c r="G3317" s="77">
        <f>$I$3316</f>
        <v>0.85499999999999998</v>
      </c>
      <c r="H3317" s="77">
        <f>IF(N($K$3316)=0,$I$3316,$K$3316)</f>
        <v>0.85499999999999998</v>
      </c>
      <c r="I3317" s="77">
        <f>($F$3317-$E$3317)/($B$3317-$A$3317)</f>
        <v>3.2822757111597549E-5</v>
      </c>
      <c r="J3317" s="77">
        <f>($G$3317-$F$3317)/($C$3317-$B$3317)</f>
        <v>3.2822757111597407E-5</v>
      </c>
      <c r="K3317" s="77">
        <f>($H$3317-$G$3317)/($D$3317-$C$3317)</f>
        <v>0</v>
      </c>
    </row>
    <row r="3318" spans="1:21" ht="24" x14ac:dyDescent="0.25">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25">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0.81956783369803055</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0.96419745140944768</v>
      </c>
      <c r="T3319" s="72">
        <f t="shared" ref="T3319:T3366" si="1251">IF($G3319&lt;nr_MStartP,$S3319,$T3307*(1+IF($G3319&lt;nr_MStartP1,$M$3316,$N$3316)))</f>
        <v>0.96419745140944768</v>
      </c>
      <c r="U3319" s="72">
        <f t="shared" ref="U3319:U3366" si="1252">IF($L$3316,$T3319,$N3319)</f>
        <v>1</v>
      </c>
    </row>
    <row r="3320" spans="1:21" x14ac:dyDescent="0.25">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0.82053610503282259</v>
      </c>
      <c r="P3320" s="72">
        <f t="shared" si="1247"/>
        <v>0.125</v>
      </c>
      <c r="Q3320" s="72">
        <f t="shared" si="1248"/>
        <v>0</v>
      </c>
      <c r="R3320" s="72">
        <f t="shared" si="1249"/>
        <v>0</v>
      </c>
      <c r="S3320" s="72">
        <f t="shared" si="1250"/>
        <v>0.96533659415626194</v>
      </c>
      <c r="T3320" s="72">
        <f t="shared" si="1251"/>
        <v>0.96533659415626194</v>
      </c>
      <c r="U3320" s="72">
        <f t="shared" si="1252"/>
        <v>1</v>
      </c>
    </row>
    <row r="3321" spans="1:21" x14ac:dyDescent="0.25">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0.82150437636761475</v>
      </c>
      <c r="P3321" s="72">
        <f t="shared" si="1247"/>
        <v>0.20833333333333337</v>
      </c>
      <c r="Q3321" s="72">
        <f t="shared" si="1248"/>
        <v>0</v>
      </c>
      <c r="R3321" s="72">
        <f t="shared" si="1249"/>
        <v>0</v>
      </c>
      <c r="S3321" s="72">
        <f t="shared" si="1250"/>
        <v>0.9664757369030762</v>
      </c>
      <c r="T3321" s="72">
        <f t="shared" si="1251"/>
        <v>0.9664757369030762</v>
      </c>
      <c r="U3321" s="72">
        <f t="shared" si="1252"/>
        <v>1</v>
      </c>
    </row>
    <row r="3322" spans="1:21" x14ac:dyDescent="0.25">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0.8225054704595185</v>
      </c>
      <c r="P3322" s="72">
        <f t="shared" si="1247"/>
        <v>0.29166666666666663</v>
      </c>
      <c r="Q3322" s="72">
        <f t="shared" si="1248"/>
        <v>0</v>
      </c>
      <c r="R3322" s="72">
        <f t="shared" si="1249"/>
        <v>0</v>
      </c>
      <c r="S3322" s="72">
        <f t="shared" si="1250"/>
        <v>0.96765349465825712</v>
      </c>
      <c r="T3322" s="72">
        <f t="shared" si="1251"/>
        <v>0.96765349465825712</v>
      </c>
      <c r="U3322" s="72">
        <f t="shared" si="1252"/>
        <v>1</v>
      </c>
    </row>
    <row r="3323" spans="1:21" x14ac:dyDescent="0.25">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0.82350656455142224</v>
      </c>
      <c r="P3323" s="72">
        <f t="shared" si="1247"/>
        <v>0.375</v>
      </c>
      <c r="Q3323" s="72">
        <f t="shared" si="1248"/>
        <v>0</v>
      </c>
      <c r="R3323" s="72">
        <f t="shared" si="1249"/>
        <v>0</v>
      </c>
      <c r="S3323" s="72">
        <f t="shared" si="1250"/>
        <v>0.96883125241343793</v>
      </c>
      <c r="T3323" s="72">
        <f t="shared" si="1251"/>
        <v>0.96883125241343793</v>
      </c>
      <c r="U3323" s="72">
        <f t="shared" si="1252"/>
        <v>1</v>
      </c>
    </row>
    <row r="3324" spans="1:21" x14ac:dyDescent="0.25">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0.82450765864332598</v>
      </c>
      <c r="P3324" s="72">
        <f t="shared" si="1247"/>
        <v>0.45833333333333337</v>
      </c>
      <c r="Q3324" s="72">
        <f t="shared" si="1248"/>
        <v>0</v>
      </c>
      <c r="R3324" s="72">
        <f t="shared" si="1249"/>
        <v>0</v>
      </c>
      <c r="S3324" s="72">
        <f t="shared" si="1250"/>
        <v>0.97000901016861885</v>
      </c>
      <c r="T3324" s="72">
        <f t="shared" si="1251"/>
        <v>0.97000901016861885</v>
      </c>
      <c r="U3324" s="72">
        <f t="shared" si="1252"/>
        <v>1</v>
      </c>
    </row>
    <row r="3325" spans="1:21" x14ac:dyDescent="0.25">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0.82550875273522961</v>
      </c>
      <c r="P3325" s="72">
        <f t="shared" si="1247"/>
        <v>0.54166666666666674</v>
      </c>
      <c r="Q3325" s="72">
        <f t="shared" si="1248"/>
        <v>0</v>
      </c>
      <c r="R3325" s="72">
        <f t="shared" si="1249"/>
        <v>0</v>
      </c>
      <c r="S3325" s="72">
        <f t="shared" si="1250"/>
        <v>0.97118676792379954</v>
      </c>
      <c r="T3325" s="72">
        <f t="shared" si="1251"/>
        <v>0.97118676792379954</v>
      </c>
      <c r="U3325" s="72">
        <f t="shared" si="1252"/>
        <v>1</v>
      </c>
    </row>
    <row r="3326" spans="1:21" x14ac:dyDescent="0.25">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0.82652625820568915</v>
      </c>
      <c r="P3326" s="72">
        <f t="shared" si="1247"/>
        <v>0.625</v>
      </c>
      <c r="Q3326" s="72">
        <f t="shared" si="1248"/>
        <v>0</v>
      </c>
      <c r="R3326" s="72">
        <f t="shared" si="1249"/>
        <v>0</v>
      </c>
      <c r="S3326" s="72">
        <f t="shared" si="1250"/>
        <v>0.97238383318316368</v>
      </c>
      <c r="T3326" s="72">
        <f t="shared" si="1251"/>
        <v>0.97238383318316368</v>
      </c>
      <c r="U3326" s="72">
        <f t="shared" si="1252"/>
        <v>1</v>
      </c>
    </row>
    <row r="3327" spans="1:21" x14ac:dyDescent="0.25">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0.82752735229759289</v>
      </c>
      <c r="P3327" s="72">
        <f t="shared" si="1247"/>
        <v>0.70833333333333326</v>
      </c>
      <c r="Q3327" s="72">
        <f t="shared" si="1248"/>
        <v>0</v>
      </c>
      <c r="R3327" s="72">
        <f t="shared" si="1249"/>
        <v>0</v>
      </c>
      <c r="S3327" s="72">
        <f t="shared" si="1250"/>
        <v>0.9735615909383446</v>
      </c>
      <c r="T3327" s="72">
        <f t="shared" si="1251"/>
        <v>0.9735615909383446</v>
      </c>
      <c r="U3327" s="72">
        <f t="shared" si="1252"/>
        <v>1</v>
      </c>
    </row>
    <row r="3328" spans="1:21" x14ac:dyDescent="0.25">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0.82852844638949663</v>
      </c>
      <c r="P3328" s="72">
        <f t="shared" si="1247"/>
        <v>0.79166666666666663</v>
      </c>
      <c r="Q3328" s="72">
        <f t="shared" si="1248"/>
        <v>0</v>
      </c>
      <c r="R3328" s="72">
        <f t="shared" si="1249"/>
        <v>0</v>
      </c>
      <c r="S3328" s="72">
        <f t="shared" si="1250"/>
        <v>0.97473934869352552</v>
      </c>
      <c r="T3328" s="72">
        <f t="shared" si="1251"/>
        <v>0.97473934869352552</v>
      </c>
      <c r="U3328" s="72">
        <f t="shared" si="1252"/>
        <v>1</v>
      </c>
    </row>
    <row r="3329" spans="1:21" x14ac:dyDescent="0.25">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0.82952954048140037</v>
      </c>
      <c r="P3329" s="72">
        <f t="shared" si="1247"/>
        <v>0.875</v>
      </c>
      <c r="Q3329" s="72">
        <f t="shared" si="1248"/>
        <v>0</v>
      </c>
      <c r="R3329" s="72">
        <f t="shared" si="1249"/>
        <v>0</v>
      </c>
      <c r="S3329" s="72">
        <f t="shared" si="1250"/>
        <v>0.97591710644870633</v>
      </c>
      <c r="T3329" s="72">
        <f t="shared" si="1251"/>
        <v>0.97591710644870633</v>
      </c>
      <c r="U3329" s="72">
        <f t="shared" si="1252"/>
        <v>1</v>
      </c>
    </row>
    <row r="3330" spans="1:21" x14ac:dyDescent="0.25">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0.83053063457330412</v>
      </c>
      <c r="P3330" s="72">
        <f t="shared" si="1247"/>
        <v>0.95833333333333337</v>
      </c>
      <c r="Q3330" s="72">
        <f t="shared" si="1248"/>
        <v>0</v>
      </c>
      <c r="R3330" s="72">
        <f t="shared" si="1249"/>
        <v>0</v>
      </c>
      <c r="S3330" s="72">
        <f t="shared" si="1250"/>
        <v>0.97709486420388725</v>
      </c>
      <c r="T3330" s="72">
        <f t="shared" si="1251"/>
        <v>0.97709486420388725</v>
      </c>
      <c r="U3330" s="72">
        <f t="shared" si="1252"/>
        <v>1</v>
      </c>
    </row>
    <row r="3331" spans="1:21" x14ac:dyDescent="0.25">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0.83154814004376365</v>
      </c>
      <c r="P3331" s="72">
        <f t="shared" si="1247"/>
        <v>0.95833333333333337</v>
      </c>
      <c r="Q3331" s="72">
        <f t="shared" si="1248"/>
        <v>4.166666666666663E-2</v>
      </c>
      <c r="R3331" s="72">
        <f t="shared" si="1249"/>
        <v>0</v>
      </c>
      <c r="S3331" s="72">
        <f t="shared" si="1250"/>
        <v>0.99785776805251647</v>
      </c>
      <c r="T3331" s="72">
        <f t="shared" si="1251"/>
        <v>0.99785776805251647</v>
      </c>
      <c r="U3331" s="72">
        <f t="shared" si="1252"/>
        <v>1.02</v>
      </c>
    </row>
    <row r="3332" spans="1:21" x14ac:dyDescent="0.25">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0.8325164113785557</v>
      </c>
      <c r="P3332" s="72">
        <f t="shared" si="1247"/>
        <v>0.875</v>
      </c>
      <c r="Q3332" s="72">
        <f t="shared" si="1248"/>
        <v>0.125</v>
      </c>
      <c r="R3332" s="72">
        <f t="shared" si="1249"/>
        <v>0</v>
      </c>
      <c r="S3332" s="72">
        <f t="shared" si="1250"/>
        <v>0.9990196936542669</v>
      </c>
      <c r="T3332" s="72">
        <f t="shared" si="1251"/>
        <v>0.9990196936542669</v>
      </c>
      <c r="U3332" s="72">
        <f t="shared" si="1252"/>
        <v>1.02</v>
      </c>
    </row>
    <row r="3333" spans="1:21" x14ac:dyDescent="0.25">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0.83348468271334786</v>
      </c>
      <c r="P3333" s="72">
        <f t="shared" si="1247"/>
        <v>0.79166666666666663</v>
      </c>
      <c r="Q3333" s="72">
        <f t="shared" si="1248"/>
        <v>0.20833333333333337</v>
      </c>
      <c r="R3333" s="72">
        <f t="shared" si="1249"/>
        <v>0</v>
      </c>
      <c r="S3333" s="72">
        <f t="shared" si="1250"/>
        <v>1.0001816192560176</v>
      </c>
      <c r="T3333" s="72">
        <f t="shared" si="1251"/>
        <v>1.0001816192560176</v>
      </c>
      <c r="U3333" s="72">
        <f t="shared" si="1252"/>
        <v>1.02</v>
      </c>
    </row>
    <row r="3334" spans="1:21" x14ac:dyDescent="0.25">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0.8344857768052516</v>
      </c>
      <c r="P3334" s="72">
        <f t="shared" si="1247"/>
        <v>0.70833333333333337</v>
      </c>
      <c r="Q3334" s="72">
        <f t="shared" si="1248"/>
        <v>0.29166666666666663</v>
      </c>
      <c r="R3334" s="72">
        <f t="shared" si="1249"/>
        <v>0</v>
      </c>
      <c r="S3334" s="72">
        <f t="shared" si="1250"/>
        <v>1.0013829321663019</v>
      </c>
      <c r="T3334" s="72">
        <f t="shared" si="1251"/>
        <v>1.0013829321663019</v>
      </c>
      <c r="U3334" s="72">
        <f t="shared" si="1252"/>
        <v>1.02</v>
      </c>
    </row>
    <row r="3335" spans="1:21" x14ac:dyDescent="0.25">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0.83548687089715534</v>
      </c>
      <c r="P3335" s="72">
        <f t="shared" si="1247"/>
        <v>0.625</v>
      </c>
      <c r="Q3335" s="72">
        <f t="shared" si="1248"/>
        <v>0.375</v>
      </c>
      <c r="R3335" s="72">
        <f t="shared" si="1249"/>
        <v>0</v>
      </c>
      <c r="S3335" s="72">
        <f t="shared" si="1250"/>
        <v>1.0025842450765865</v>
      </c>
      <c r="T3335" s="72">
        <f t="shared" si="1251"/>
        <v>1.0025842450765865</v>
      </c>
      <c r="U3335" s="72">
        <f t="shared" si="1252"/>
        <v>1.02</v>
      </c>
    </row>
    <row r="3336" spans="1:21" x14ac:dyDescent="0.25">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0.83648796498905909</v>
      </c>
      <c r="P3336" s="72">
        <f t="shared" si="1247"/>
        <v>0.54166666666666663</v>
      </c>
      <c r="Q3336" s="72">
        <f t="shared" si="1248"/>
        <v>0.45833333333333337</v>
      </c>
      <c r="R3336" s="72">
        <f t="shared" si="1249"/>
        <v>0</v>
      </c>
      <c r="S3336" s="72">
        <f t="shared" si="1250"/>
        <v>1.0037855579868709</v>
      </c>
      <c r="T3336" s="72">
        <f t="shared" si="1251"/>
        <v>1.0037855579868709</v>
      </c>
      <c r="U3336" s="72">
        <f t="shared" si="1252"/>
        <v>1.02</v>
      </c>
    </row>
    <row r="3337" spans="1:21" x14ac:dyDescent="0.25">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0.83748905908096272</v>
      </c>
      <c r="P3337" s="72">
        <f t="shared" si="1247"/>
        <v>0.45833333333333331</v>
      </c>
      <c r="Q3337" s="72">
        <f t="shared" si="1248"/>
        <v>0.54166666666666674</v>
      </c>
      <c r="R3337" s="72">
        <f t="shared" si="1249"/>
        <v>0</v>
      </c>
      <c r="S3337" s="72">
        <f t="shared" si="1250"/>
        <v>1.0049868708971554</v>
      </c>
      <c r="T3337" s="72">
        <f t="shared" si="1251"/>
        <v>1.0049868708971554</v>
      </c>
      <c r="U3337" s="72">
        <f t="shared" si="1252"/>
        <v>1.02</v>
      </c>
    </row>
    <row r="3338" spans="1:21" x14ac:dyDescent="0.25">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0.83850656455142225</v>
      </c>
      <c r="P3338" s="72">
        <f t="shared" si="1247"/>
        <v>0.375</v>
      </c>
      <c r="Q3338" s="72">
        <f t="shared" si="1248"/>
        <v>0.625</v>
      </c>
      <c r="R3338" s="72">
        <f t="shared" si="1249"/>
        <v>0</v>
      </c>
      <c r="S3338" s="72">
        <f t="shared" si="1250"/>
        <v>1.0062078774617067</v>
      </c>
      <c r="T3338" s="72">
        <f t="shared" si="1251"/>
        <v>1.0062078774617067</v>
      </c>
      <c r="U3338" s="72">
        <f t="shared" si="1252"/>
        <v>1.02</v>
      </c>
    </row>
    <row r="3339" spans="1:21" x14ac:dyDescent="0.25">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0.83950765864332599</v>
      </c>
      <c r="P3339" s="72">
        <f t="shared" si="1247"/>
        <v>0.29166666666666669</v>
      </c>
      <c r="Q3339" s="72">
        <f t="shared" si="1248"/>
        <v>0.70833333333333326</v>
      </c>
      <c r="R3339" s="72">
        <f t="shared" si="1249"/>
        <v>0</v>
      </c>
      <c r="S3339" s="72">
        <f t="shared" si="1250"/>
        <v>1.0074091903719913</v>
      </c>
      <c r="T3339" s="72">
        <f t="shared" si="1251"/>
        <v>1.0074091903719913</v>
      </c>
      <c r="U3339" s="72">
        <f t="shared" si="1252"/>
        <v>1.02</v>
      </c>
    </row>
    <row r="3340" spans="1:21" x14ac:dyDescent="0.25">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0.84050875273522974</v>
      </c>
      <c r="P3340" s="72">
        <f t="shared" si="1247"/>
        <v>0.20833333333333334</v>
      </c>
      <c r="Q3340" s="72">
        <f t="shared" si="1248"/>
        <v>0.79166666666666663</v>
      </c>
      <c r="R3340" s="72">
        <f t="shared" si="1249"/>
        <v>0</v>
      </c>
      <c r="S3340" s="72">
        <f t="shared" si="1250"/>
        <v>1.0086105032822756</v>
      </c>
      <c r="T3340" s="72">
        <f t="shared" si="1251"/>
        <v>1.0086105032822756</v>
      </c>
      <c r="U3340" s="72">
        <f t="shared" si="1252"/>
        <v>1.02</v>
      </c>
    </row>
    <row r="3341" spans="1:21" x14ac:dyDescent="0.25">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0.84150984682713348</v>
      </c>
      <c r="P3341" s="72">
        <f t="shared" si="1247"/>
        <v>0.125</v>
      </c>
      <c r="Q3341" s="72">
        <f t="shared" si="1248"/>
        <v>0.875</v>
      </c>
      <c r="R3341" s="72">
        <f t="shared" si="1249"/>
        <v>0</v>
      </c>
      <c r="S3341" s="72">
        <f t="shared" si="1250"/>
        <v>1.0098118161925602</v>
      </c>
      <c r="T3341" s="72">
        <f t="shared" si="1251"/>
        <v>1.0098118161925602</v>
      </c>
      <c r="U3341" s="72">
        <f t="shared" si="1252"/>
        <v>1.02</v>
      </c>
    </row>
    <row r="3342" spans="1:21" x14ac:dyDescent="0.25">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0.84251094091903722</v>
      </c>
      <c r="P3342" s="72">
        <f t="shared" si="1247"/>
        <v>4.1666666666666664E-2</v>
      </c>
      <c r="Q3342" s="72">
        <f t="shared" si="1248"/>
        <v>0.95833333333333337</v>
      </c>
      <c r="R3342" s="72">
        <f t="shared" si="1249"/>
        <v>0</v>
      </c>
      <c r="S3342" s="72">
        <f t="shared" si="1250"/>
        <v>1.0110131291028446</v>
      </c>
      <c r="T3342" s="72">
        <f t="shared" si="1251"/>
        <v>1.0110131291028446</v>
      </c>
      <c r="U3342" s="72">
        <f t="shared" si="1252"/>
        <v>1.02</v>
      </c>
    </row>
    <row r="3343" spans="1:21" x14ac:dyDescent="0.25">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0.84352844638949664</v>
      </c>
      <c r="P3343" s="72">
        <f t="shared" si="1247"/>
        <v>0</v>
      </c>
      <c r="Q3343" s="72">
        <f t="shared" si="1248"/>
        <v>0.95833333333333337</v>
      </c>
      <c r="R3343" s="72">
        <f t="shared" si="1249"/>
        <v>4.166666666666663E-2</v>
      </c>
      <c r="S3343" s="72">
        <f t="shared" si="1250"/>
        <v>1.0122341356673961</v>
      </c>
      <c r="T3343" s="72">
        <f t="shared" si="1251"/>
        <v>0.99785776805251647</v>
      </c>
      <c r="U3343" s="72">
        <f t="shared" si="1252"/>
        <v>1.02</v>
      </c>
    </row>
    <row r="3344" spans="1:21" x14ac:dyDescent="0.25">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0.8444967177242888</v>
      </c>
      <c r="P3344" s="72">
        <f t="shared" si="1247"/>
        <v>0</v>
      </c>
      <c r="Q3344" s="72">
        <f t="shared" si="1248"/>
        <v>0.875</v>
      </c>
      <c r="R3344" s="72">
        <f t="shared" si="1249"/>
        <v>0.125</v>
      </c>
      <c r="S3344" s="72">
        <f t="shared" si="1250"/>
        <v>1.0133960612691466</v>
      </c>
      <c r="T3344" s="72">
        <f t="shared" si="1251"/>
        <v>0.9990196936542669</v>
      </c>
      <c r="U3344" s="72">
        <f t="shared" si="1252"/>
        <v>1.02</v>
      </c>
    </row>
    <row r="3345" spans="1:21" x14ac:dyDescent="0.25">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0.84546498905908096</v>
      </c>
      <c r="P3345" s="72">
        <f t="shared" si="1247"/>
        <v>0</v>
      </c>
      <c r="Q3345" s="72">
        <f t="shared" si="1248"/>
        <v>0.79166666666666663</v>
      </c>
      <c r="R3345" s="72">
        <f t="shared" si="1249"/>
        <v>0.20833333333333337</v>
      </c>
      <c r="S3345" s="72">
        <f t="shared" si="1250"/>
        <v>1.0145579868708972</v>
      </c>
      <c r="T3345" s="72">
        <f t="shared" si="1251"/>
        <v>1.0001816192560176</v>
      </c>
      <c r="U3345" s="72">
        <f t="shared" si="1252"/>
        <v>1.02</v>
      </c>
    </row>
    <row r="3346" spans="1:21" x14ac:dyDescent="0.25">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0.8464660831509847</v>
      </c>
      <c r="P3346" s="72">
        <f t="shared" si="1247"/>
        <v>0</v>
      </c>
      <c r="Q3346" s="72">
        <f t="shared" si="1248"/>
        <v>0.70833333333333337</v>
      </c>
      <c r="R3346" s="72">
        <f t="shared" si="1249"/>
        <v>0.29166666666666663</v>
      </c>
      <c r="S3346" s="72">
        <f t="shared" si="1250"/>
        <v>1.0157592997811817</v>
      </c>
      <c r="T3346" s="72">
        <f t="shared" si="1251"/>
        <v>1.0013829321663019</v>
      </c>
      <c r="U3346" s="72">
        <f t="shared" si="1252"/>
        <v>1.02</v>
      </c>
    </row>
    <row r="3347" spans="1:21" x14ac:dyDescent="0.25">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0.84746717724288834</v>
      </c>
      <c r="P3347" s="72">
        <f t="shared" si="1247"/>
        <v>0</v>
      </c>
      <c r="Q3347" s="72">
        <f t="shared" si="1248"/>
        <v>0.625</v>
      </c>
      <c r="R3347" s="72">
        <f t="shared" si="1249"/>
        <v>0.375</v>
      </c>
      <c r="S3347" s="72">
        <f t="shared" si="1250"/>
        <v>1.0169606126914661</v>
      </c>
      <c r="T3347" s="72">
        <f t="shared" si="1251"/>
        <v>1.0025842450765865</v>
      </c>
      <c r="U3347" s="72">
        <f t="shared" si="1252"/>
        <v>1.02</v>
      </c>
    </row>
    <row r="3348" spans="1:21" x14ac:dyDescent="0.25">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0.84846827133479208</v>
      </c>
      <c r="P3348" s="72">
        <f t="shared" si="1247"/>
        <v>0</v>
      </c>
      <c r="Q3348" s="72">
        <f t="shared" si="1248"/>
        <v>0.54166666666666663</v>
      </c>
      <c r="R3348" s="72">
        <f t="shared" si="1249"/>
        <v>0.45833333333333337</v>
      </c>
      <c r="S3348" s="72">
        <f t="shared" si="1250"/>
        <v>1.0181619256017507</v>
      </c>
      <c r="T3348" s="72">
        <f t="shared" si="1251"/>
        <v>1.0037855579868709</v>
      </c>
      <c r="U3348" s="72">
        <f t="shared" si="1252"/>
        <v>1.02</v>
      </c>
    </row>
    <row r="3349" spans="1:21" x14ac:dyDescent="0.25">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0.84946936542669582</v>
      </c>
      <c r="P3349" s="72">
        <f t="shared" si="1247"/>
        <v>0</v>
      </c>
      <c r="Q3349" s="72">
        <f t="shared" si="1248"/>
        <v>0.45833333333333331</v>
      </c>
      <c r="R3349" s="72">
        <f t="shared" si="1249"/>
        <v>0.54166666666666674</v>
      </c>
      <c r="S3349" s="72">
        <f t="shared" si="1250"/>
        <v>1.019363238512035</v>
      </c>
      <c r="T3349" s="72">
        <f t="shared" si="1251"/>
        <v>1.0049868708971554</v>
      </c>
      <c r="U3349" s="72">
        <f t="shared" si="1252"/>
        <v>1.02</v>
      </c>
    </row>
    <row r="3350" spans="1:21" x14ac:dyDescent="0.25">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0.85048687089715536</v>
      </c>
      <c r="P3350" s="72">
        <f t="shared" si="1247"/>
        <v>0</v>
      </c>
      <c r="Q3350" s="72">
        <f t="shared" si="1248"/>
        <v>0.375</v>
      </c>
      <c r="R3350" s="72">
        <f t="shared" si="1249"/>
        <v>0.625</v>
      </c>
      <c r="S3350" s="72">
        <f t="shared" si="1250"/>
        <v>1.0205842450765865</v>
      </c>
      <c r="T3350" s="72">
        <f t="shared" si="1251"/>
        <v>1.0062078774617067</v>
      </c>
      <c r="U3350" s="72">
        <f t="shared" si="1252"/>
        <v>1.02</v>
      </c>
    </row>
    <row r="3351" spans="1:21" x14ac:dyDescent="0.25">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0.8514879649890591</v>
      </c>
      <c r="P3351" s="72">
        <f t="shared" si="1247"/>
        <v>0</v>
      </c>
      <c r="Q3351" s="72">
        <f t="shared" si="1248"/>
        <v>0.29166666666666669</v>
      </c>
      <c r="R3351" s="72">
        <f t="shared" si="1249"/>
        <v>0.70833333333333326</v>
      </c>
      <c r="S3351" s="72">
        <f t="shared" si="1250"/>
        <v>1.0217855579868711</v>
      </c>
      <c r="T3351" s="72">
        <f t="shared" si="1251"/>
        <v>1.0074091903719913</v>
      </c>
      <c r="U3351" s="72">
        <f t="shared" si="1252"/>
        <v>1.02</v>
      </c>
    </row>
    <row r="3352" spans="1:21" x14ac:dyDescent="0.25">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0.85248905908096273</v>
      </c>
      <c r="P3352" s="72">
        <f t="shared" si="1247"/>
        <v>0</v>
      </c>
      <c r="Q3352" s="72">
        <f t="shared" si="1248"/>
        <v>0.20833333333333334</v>
      </c>
      <c r="R3352" s="72">
        <f t="shared" si="1249"/>
        <v>0.79166666666666663</v>
      </c>
      <c r="S3352" s="72">
        <f t="shared" si="1250"/>
        <v>1.0229868708971552</v>
      </c>
      <c r="T3352" s="72">
        <f t="shared" si="1251"/>
        <v>1.0086105032822756</v>
      </c>
      <c r="U3352" s="72">
        <f t="shared" si="1252"/>
        <v>1.02</v>
      </c>
    </row>
    <row r="3353" spans="1:21" x14ac:dyDescent="0.25">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0.85349015317286647</v>
      </c>
      <c r="P3353" s="72">
        <f t="shared" si="1247"/>
        <v>0</v>
      </c>
      <c r="Q3353" s="72">
        <f t="shared" si="1248"/>
        <v>0.125</v>
      </c>
      <c r="R3353" s="72">
        <f t="shared" si="1249"/>
        <v>0.875</v>
      </c>
      <c r="S3353" s="72">
        <f t="shared" si="1250"/>
        <v>1.0241881838074398</v>
      </c>
      <c r="T3353" s="72">
        <f t="shared" si="1251"/>
        <v>1.0098118161925602</v>
      </c>
      <c r="U3353" s="72">
        <f t="shared" si="1252"/>
        <v>1.02</v>
      </c>
    </row>
    <row r="3354" spans="1:21" x14ac:dyDescent="0.25">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0.85449124726477022</v>
      </c>
      <c r="P3354" s="72">
        <f t="shared" si="1247"/>
        <v>0</v>
      </c>
      <c r="Q3354" s="72">
        <f t="shared" si="1248"/>
        <v>4.1666666666666664E-2</v>
      </c>
      <c r="R3354" s="72">
        <f t="shared" si="1249"/>
        <v>0.95833333333333337</v>
      </c>
      <c r="S3354" s="72">
        <f t="shared" si="1250"/>
        <v>1.0253894967177244</v>
      </c>
      <c r="T3354" s="72">
        <f t="shared" si="1251"/>
        <v>1.0110131291028446</v>
      </c>
      <c r="U3354" s="72">
        <f t="shared" si="1252"/>
        <v>1.02</v>
      </c>
    </row>
    <row r="3355" spans="1:21" x14ac:dyDescent="0.25">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0.85499999999999998</v>
      </c>
      <c r="P3355" s="72">
        <f t="shared" si="1247"/>
        <v>0</v>
      </c>
      <c r="Q3355" s="72">
        <f t="shared" si="1248"/>
        <v>0</v>
      </c>
      <c r="R3355" s="72">
        <f t="shared" si="1249"/>
        <v>0.95833333333333337</v>
      </c>
      <c r="S3355" s="72">
        <f t="shared" si="1250"/>
        <v>1.026</v>
      </c>
      <c r="T3355" s="72">
        <f t="shared" si="1251"/>
        <v>0.99785776805251647</v>
      </c>
      <c r="U3355" s="72">
        <f t="shared" si="1252"/>
        <v>1.02</v>
      </c>
    </row>
    <row r="3356" spans="1:21" x14ac:dyDescent="0.25">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0.85499999999999998</v>
      </c>
      <c r="P3356" s="72">
        <f t="shared" si="1247"/>
        <v>0</v>
      </c>
      <c r="Q3356" s="72">
        <f t="shared" si="1248"/>
        <v>0</v>
      </c>
      <c r="R3356" s="72">
        <f t="shared" si="1249"/>
        <v>0.875</v>
      </c>
      <c r="S3356" s="72">
        <f t="shared" si="1250"/>
        <v>1.026</v>
      </c>
      <c r="T3356" s="72">
        <f t="shared" si="1251"/>
        <v>0.9990196936542669</v>
      </c>
      <c r="U3356" s="72">
        <f t="shared" si="1252"/>
        <v>1.02</v>
      </c>
    </row>
    <row r="3357" spans="1:21" x14ac:dyDescent="0.25">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0.85499999999999998</v>
      </c>
      <c r="P3357" s="72">
        <f t="shared" si="1247"/>
        <v>0</v>
      </c>
      <c r="Q3357" s="72">
        <f t="shared" si="1248"/>
        <v>0</v>
      </c>
      <c r="R3357" s="72">
        <f t="shared" si="1249"/>
        <v>0.79166666666666663</v>
      </c>
      <c r="S3357" s="72">
        <f t="shared" si="1250"/>
        <v>1.026</v>
      </c>
      <c r="T3357" s="72">
        <f t="shared" si="1251"/>
        <v>1.0001816192560176</v>
      </c>
      <c r="U3357" s="72">
        <f t="shared" si="1252"/>
        <v>1.02</v>
      </c>
    </row>
    <row r="3358" spans="1:21" x14ac:dyDescent="0.25">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0.85499999999999998</v>
      </c>
      <c r="P3358" s="72">
        <f t="shared" si="1247"/>
        <v>0</v>
      </c>
      <c r="Q3358" s="72">
        <f t="shared" si="1248"/>
        <v>0</v>
      </c>
      <c r="R3358" s="72">
        <f t="shared" si="1249"/>
        <v>0.70833333333333337</v>
      </c>
      <c r="S3358" s="72">
        <f t="shared" si="1250"/>
        <v>1.026</v>
      </c>
      <c r="T3358" s="72">
        <f t="shared" si="1251"/>
        <v>1.0013829321663019</v>
      </c>
      <c r="U3358" s="72">
        <f t="shared" si="1252"/>
        <v>1.02</v>
      </c>
    </row>
    <row r="3359" spans="1:21" x14ac:dyDescent="0.25">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0.85499999999999998</v>
      </c>
      <c r="P3359" s="72">
        <f t="shared" si="1247"/>
        <v>0</v>
      </c>
      <c r="Q3359" s="72">
        <f t="shared" si="1248"/>
        <v>0</v>
      </c>
      <c r="R3359" s="72">
        <f t="shared" si="1249"/>
        <v>0.625</v>
      </c>
      <c r="S3359" s="72">
        <f t="shared" si="1250"/>
        <v>1.026</v>
      </c>
      <c r="T3359" s="72">
        <f t="shared" si="1251"/>
        <v>1.0025842450765865</v>
      </c>
      <c r="U3359" s="72">
        <f t="shared" si="1252"/>
        <v>1.02</v>
      </c>
    </row>
    <row r="3360" spans="1:21" x14ac:dyDescent="0.25">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0.85499999999999998</v>
      </c>
      <c r="P3360" s="72">
        <f t="shared" si="1247"/>
        <v>0</v>
      </c>
      <c r="Q3360" s="72">
        <f t="shared" si="1248"/>
        <v>0</v>
      </c>
      <c r="R3360" s="72">
        <f t="shared" si="1249"/>
        <v>0.54166666666666663</v>
      </c>
      <c r="S3360" s="72">
        <f t="shared" si="1250"/>
        <v>1.026</v>
      </c>
      <c r="T3360" s="72">
        <f t="shared" si="1251"/>
        <v>1.0037855579868709</v>
      </c>
      <c r="U3360" s="72">
        <f t="shared" si="1252"/>
        <v>1.02</v>
      </c>
    </row>
    <row r="3361" spans="1:21" x14ac:dyDescent="0.25">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0.85499999999999998</v>
      </c>
      <c r="P3361" s="72">
        <f t="shared" si="1247"/>
        <v>0</v>
      </c>
      <c r="Q3361" s="72">
        <f t="shared" si="1248"/>
        <v>0</v>
      </c>
      <c r="R3361" s="72">
        <f t="shared" si="1249"/>
        <v>0.45833333333333331</v>
      </c>
      <c r="S3361" s="72">
        <f t="shared" si="1250"/>
        <v>1.026</v>
      </c>
      <c r="T3361" s="72">
        <f t="shared" si="1251"/>
        <v>1.0049868708971554</v>
      </c>
      <c r="U3361" s="72">
        <f t="shared" si="1252"/>
        <v>1.02</v>
      </c>
    </row>
    <row r="3362" spans="1:21" x14ac:dyDescent="0.25">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0.85499999999999998</v>
      </c>
      <c r="P3362" s="72">
        <f t="shared" si="1247"/>
        <v>0</v>
      </c>
      <c r="Q3362" s="72">
        <f t="shared" si="1248"/>
        <v>0</v>
      </c>
      <c r="R3362" s="72">
        <f t="shared" si="1249"/>
        <v>0.375</v>
      </c>
      <c r="S3362" s="72">
        <f t="shared" si="1250"/>
        <v>1.026</v>
      </c>
      <c r="T3362" s="72">
        <f t="shared" si="1251"/>
        <v>1.0062078774617067</v>
      </c>
      <c r="U3362" s="72">
        <f t="shared" si="1252"/>
        <v>1.02</v>
      </c>
    </row>
    <row r="3363" spans="1:21" x14ac:dyDescent="0.25">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0.85499999999999998</v>
      </c>
      <c r="P3363" s="72">
        <f t="shared" si="1247"/>
        <v>0</v>
      </c>
      <c r="Q3363" s="72">
        <f t="shared" si="1248"/>
        <v>0</v>
      </c>
      <c r="R3363" s="72">
        <f t="shared" si="1249"/>
        <v>0.29166666666666669</v>
      </c>
      <c r="S3363" s="72">
        <f t="shared" si="1250"/>
        <v>1.026</v>
      </c>
      <c r="T3363" s="72">
        <f t="shared" si="1251"/>
        <v>1.0074091903719913</v>
      </c>
      <c r="U3363" s="72">
        <f t="shared" si="1252"/>
        <v>1.02</v>
      </c>
    </row>
    <row r="3364" spans="1:21" x14ac:dyDescent="0.25">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0.85499999999999998</v>
      </c>
      <c r="P3364" s="72">
        <f t="shared" si="1247"/>
        <v>0</v>
      </c>
      <c r="Q3364" s="72">
        <f t="shared" si="1248"/>
        <v>0</v>
      </c>
      <c r="R3364" s="72">
        <f t="shared" si="1249"/>
        <v>0.20833333333333334</v>
      </c>
      <c r="S3364" s="72">
        <f t="shared" si="1250"/>
        <v>1.026</v>
      </c>
      <c r="T3364" s="72">
        <f t="shared" si="1251"/>
        <v>1.0086105032822756</v>
      </c>
      <c r="U3364" s="72">
        <f t="shared" si="1252"/>
        <v>1.02</v>
      </c>
    </row>
    <row r="3365" spans="1:21" x14ac:dyDescent="0.25">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0.85499999999999998</v>
      </c>
      <c r="P3365" s="72">
        <f t="shared" si="1247"/>
        <v>0</v>
      </c>
      <c r="Q3365" s="72">
        <f t="shared" si="1248"/>
        <v>0</v>
      </c>
      <c r="R3365" s="72">
        <f t="shared" si="1249"/>
        <v>0.125</v>
      </c>
      <c r="S3365" s="72">
        <f t="shared" si="1250"/>
        <v>1.026</v>
      </c>
      <c r="T3365" s="72">
        <f t="shared" si="1251"/>
        <v>1.0098118161925602</v>
      </c>
      <c r="U3365" s="72">
        <f t="shared" si="1252"/>
        <v>1.02</v>
      </c>
    </row>
    <row r="3366" spans="1:21" x14ac:dyDescent="0.25">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0.85499999999999998</v>
      </c>
      <c r="P3366" s="72">
        <f t="shared" si="1247"/>
        <v>0</v>
      </c>
      <c r="Q3366" s="72">
        <f t="shared" si="1248"/>
        <v>0</v>
      </c>
      <c r="R3366" s="72">
        <f t="shared" si="1249"/>
        <v>4.1666666666666664E-2</v>
      </c>
      <c r="S3366" s="72">
        <f t="shared" si="1250"/>
        <v>1.026</v>
      </c>
      <c r="T3366" s="72">
        <f t="shared" si="1251"/>
        <v>1.0110131291028446</v>
      </c>
      <c r="U3366" s="72">
        <f t="shared" si="1252"/>
        <v>1.02</v>
      </c>
    </row>
    <row r="3367" spans="1:21" x14ac:dyDescent="0.25">
      <c r="A3367" s="77" t="s">
        <v>1209</v>
      </c>
      <c r="B3367" s="50">
        <f>EXP(SUMPRODUCT((rl_key=$A$3316)*(rl_cons="Y")*rl_ln1p))</f>
        <v>1.02</v>
      </c>
      <c r="C3367" s="50">
        <f>SUMPRODUCT($H$3319:$H$3366,$P$3319:$P$3366,$U$3319:$U$3366)/SUMPRODUCT($H$3319:$H$3366,$P$3319:$P$3366)</f>
        <v>1.01</v>
      </c>
      <c r="D3367" s="50">
        <f>SUMPRODUCT($H$3319:$H$3366,$Q$3319:$Q$3366,$U$3319:$U$3366)/SUMPRODUCT($H$3319:$H$3366,$Q$3319:$Q$3366)</f>
        <v>1.0199999999999998</v>
      </c>
      <c r="E3367" s="50">
        <f>SUMPRODUCT($H$3319:$H$3366,$R$3319:$R$3366,$U$3319:$U$3366)/SUMPRODUCT($H$3319:$H$3366,$R$3319:$R$3366)</f>
        <v>1.0199999999999998</v>
      </c>
      <c r="F3367" s="169">
        <f>SUMPRODUCT($H$3319:$H$3366,$Q$3319:$Q$3366,$O$3319:$O$3366)/SUMPRODUCT($H$3319:$H$3366,$Q$3319:$Q$3366)</f>
        <v>0.84299370897155379</v>
      </c>
      <c r="G3367" s="169">
        <f>SUMPRODUCT($H$3319:$H$3366,$R$3319:$R$3366,$O$3319:$O$3366)/SUMPRODUCT($H$3319:$H$3366,$R$3319:$R$3366)</f>
        <v>0.85298453455506928</v>
      </c>
    </row>
    <row r="3370" spans="1:21" x14ac:dyDescent="0.25">
      <c r="A3370" s="77" t="str">
        <f>INDEX(lr_key,62)</f>
        <v>BU-C|TN</v>
      </c>
      <c r="B3370" s="77" t="str">
        <f>INDEX(lr_state,62)</f>
        <v>TN</v>
      </c>
      <c r="C3370" s="52">
        <f>nr_TermMonths</f>
        <v>12</v>
      </c>
      <c r="D3370" s="52">
        <f>IF(COUNTIF(se_state,$B3370)=0,0,MATCH($B3370,se_state,0))</f>
        <v>0</v>
      </c>
      <c r="E3370" s="54">
        <f>IF($D3370=0,0,INDEX(se_sum,$D3370))</f>
        <v>0</v>
      </c>
      <c r="F3370" s="169">
        <f>IF(N(INDEX(lr_mind,62))=0,1,INDEX(lr_mind,62))</f>
        <v>0.85</v>
      </c>
      <c r="G3370" s="169">
        <f>IF(N(INDEX(lr_m0,62))=0,1,INDEX(lr_m0,62))</f>
        <v>0.84</v>
      </c>
      <c r="H3370" s="51">
        <f>IF(N(INDEX(lr_m0asof,62))=0,DATE(nr_PlanYear-1,10,1),INDEX(lr_m0asof,62))</f>
        <v>46295</v>
      </c>
      <c r="I3370" s="169">
        <f>IF(N(INDEX(lr_m1,62))=0,1,INDEX(lr_m1,62))</f>
        <v>0.83499999999999996</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25">
      <c r="A3371" s="77">
        <f>EDATE($H$3370,-12)+1</f>
        <v>45931</v>
      </c>
      <c r="B3371" s="77">
        <f>$H$3370+1</f>
        <v>46296</v>
      </c>
      <c r="C3371" s="77">
        <f>DATE(nr_PlanYear,12,31)+1</f>
        <v>46753</v>
      </c>
      <c r="D3371" s="77">
        <f>DATE(nr_PlanYear+1,12,31)+1</f>
        <v>47119</v>
      </c>
      <c r="E3371" s="77">
        <f>IF(N($J$3370)=0,$F$3371-($G$3371-$F$3371)/($C$3371-$B$3371)*($B$3371-$A$3371),$J$3370)</f>
        <v>0.84399343544857763</v>
      </c>
      <c r="F3371" s="77">
        <f>$G$3370</f>
        <v>0.84</v>
      </c>
      <c r="G3371" s="77">
        <f>$I$3370</f>
        <v>0.83499999999999996</v>
      </c>
      <c r="H3371" s="77">
        <f>IF(N($K$3370)=0,$I$3370,$K$3370)</f>
        <v>0.83499999999999996</v>
      </c>
      <c r="I3371" s="77">
        <f>($F$3371-$E$3371)/($B$3371-$A$3371)</f>
        <v>-1.0940919037199081E-5</v>
      </c>
      <c r="J3371" s="77">
        <f>($G$3371-$F$3371)/($C$3371-$B$3371)</f>
        <v>-1.0940919037199135E-5</v>
      </c>
      <c r="K3371" s="77">
        <f>($H$3371-$G$3371)/($D$3371-$C$3371)</f>
        <v>0</v>
      </c>
    </row>
    <row r="3372" spans="1:21" ht="24" x14ac:dyDescent="0.25">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25">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0.84681072210065644</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0.99624790835371346</v>
      </c>
      <c r="T3373" s="72">
        <f t="shared" ref="T3373:T3420" si="1271">IF($G3373&lt;nr_MStartP,$S3373,$T3361*(1+IF($G3373&lt;nr_MStartP1,$M$3370,$N$3370)))</f>
        <v>0.99624790835371346</v>
      </c>
      <c r="U3373" s="72">
        <f t="shared" ref="U3373:U3420" si="1272">IF($L$3370,$T3373,$N3373)</f>
        <v>1</v>
      </c>
    </row>
    <row r="3374" spans="1:21" x14ac:dyDescent="0.25">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0.84648796498905898</v>
      </c>
      <c r="P3374" s="72">
        <f t="shared" si="1267"/>
        <v>0.125</v>
      </c>
      <c r="Q3374" s="72">
        <f t="shared" si="1268"/>
        <v>0</v>
      </c>
      <c r="R3374" s="72">
        <f t="shared" si="1269"/>
        <v>0</v>
      </c>
      <c r="S3374" s="72">
        <f t="shared" si="1270"/>
        <v>0.99586819410477534</v>
      </c>
      <c r="T3374" s="72">
        <f t="shared" si="1271"/>
        <v>0.99586819410477534</v>
      </c>
      <c r="U3374" s="72">
        <f t="shared" si="1272"/>
        <v>1</v>
      </c>
    </row>
    <row r="3375" spans="1:21" x14ac:dyDescent="0.25">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0.84616520787746163</v>
      </c>
      <c r="P3375" s="72">
        <f t="shared" si="1267"/>
        <v>0.20833333333333337</v>
      </c>
      <c r="Q3375" s="72">
        <f t="shared" si="1268"/>
        <v>0</v>
      </c>
      <c r="R3375" s="72">
        <f t="shared" si="1269"/>
        <v>0</v>
      </c>
      <c r="S3375" s="72">
        <f t="shared" si="1270"/>
        <v>0.99548847985583722</v>
      </c>
      <c r="T3375" s="72">
        <f t="shared" si="1271"/>
        <v>0.99548847985583722</v>
      </c>
      <c r="U3375" s="72">
        <f t="shared" si="1272"/>
        <v>1</v>
      </c>
    </row>
    <row r="3376" spans="1:21" x14ac:dyDescent="0.25">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0.84583150984682709</v>
      </c>
      <c r="P3376" s="72">
        <f t="shared" si="1267"/>
        <v>0.29166666666666663</v>
      </c>
      <c r="Q3376" s="72">
        <f t="shared" si="1268"/>
        <v>0</v>
      </c>
      <c r="R3376" s="72">
        <f t="shared" si="1269"/>
        <v>0</v>
      </c>
      <c r="S3376" s="72">
        <f t="shared" si="1270"/>
        <v>0.99509589393744369</v>
      </c>
      <c r="T3376" s="72">
        <f t="shared" si="1271"/>
        <v>0.99509589393744369</v>
      </c>
      <c r="U3376" s="72">
        <f t="shared" si="1272"/>
        <v>1</v>
      </c>
    </row>
    <row r="3377" spans="1:21" x14ac:dyDescent="0.25">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0.84549781181619255</v>
      </c>
      <c r="P3377" s="72">
        <f t="shared" si="1267"/>
        <v>0.375</v>
      </c>
      <c r="Q3377" s="72">
        <f t="shared" si="1268"/>
        <v>0</v>
      </c>
      <c r="R3377" s="72">
        <f t="shared" si="1269"/>
        <v>0</v>
      </c>
      <c r="S3377" s="72">
        <f t="shared" si="1270"/>
        <v>0.99470330801905005</v>
      </c>
      <c r="T3377" s="72">
        <f t="shared" si="1271"/>
        <v>0.99470330801905005</v>
      </c>
      <c r="U3377" s="72">
        <f t="shared" si="1272"/>
        <v>1</v>
      </c>
    </row>
    <row r="3378" spans="1:21" x14ac:dyDescent="0.25">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0.84516411378555789</v>
      </c>
      <c r="P3378" s="72">
        <f t="shared" si="1267"/>
        <v>0.45833333333333337</v>
      </c>
      <c r="Q3378" s="72">
        <f t="shared" si="1268"/>
        <v>0</v>
      </c>
      <c r="R3378" s="72">
        <f t="shared" si="1269"/>
        <v>0</v>
      </c>
      <c r="S3378" s="72">
        <f t="shared" si="1270"/>
        <v>0.99431072210065641</v>
      </c>
      <c r="T3378" s="72">
        <f t="shared" si="1271"/>
        <v>0.99431072210065641</v>
      </c>
      <c r="U3378" s="72">
        <f t="shared" si="1272"/>
        <v>1</v>
      </c>
    </row>
    <row r="3379" spans="1:21" x14ac:dyDescent="0.25">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0.84483041575492335</v>
      </c>
      <c r="P3379" s="72">
        <f t="shared" si="1267"/>
        <v>0.54166666666666674</v>
      </c>
      <c r="Q3379" s="72">
        <f t="shared" si="1268"/>
        <v>0</v>
      </c>
      <c r="R3379" s="72">
        <f t="shared" si="1269"/>
        <v>0</v>
      </c>
      <c r="S3379" s="72">
        <f t="shared" si="1270"/>
        <v>0.99391813618226277</v>
      </c>
      <c r="T3379" s="72">
        <f t="shared" si="1271"/>
        <v>0.99391813618226277</v>
      </c>
      <c r="U3379" s="72">
        <f t="shared" si="1272"/>
        <v>1</v>
      </c>
    </row>
    <row r="3380" spans="1:21" x14ac:dyDescent="0.25">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0.84449124726477021</v>
      </c>
      <c r="P3380" s="72">
        <f t="shared" si="1267"/>
        <v>0.625</v>
      </c>
      <c r="Q3380" s="72">
        <f t="shared" si="1268"/>
        <v>0</v>
      </c>
      <c r="R3380" s="72">
        <f t="shared" si="1269"/>
        <v>0</v>
      </c>
      <c r="S3380" s="72">
        <f t="shared" si="1270"/>
        <v>0.99351911442914143</v>
      </c>
      <c r="T3380" s="72">
        <f t="shared" si="1271"/>
        <v>0.99351911442914143</v>
      </c>
      <c r="U3380" s="72">
        <f t="shared" si="1272"/>
        <v>1</v>
      </c>
    </row>
    <row r="3381" spans="1:21" x14ac:dyDescent="0.25">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0.84415754923413566</v>
      </c>
      <c r="P3381" s="72">
        <f t="shared" si="1267"/>
        <v>0.70833333333333326</v>
      </c>
      <c r="Q3381" s="72">
        <f t="shared" si="1268"/>
        <v>0</v>
      </c>
      <c r="R3381" s="72">
        <f t="shared" si="1269"/>
        <v>0</v>
      </c>
      <c r="S3381" s="72">
        <f t="shared" si="1270"/>
        <v>0.9931265285107479</v>
      </c>
      <c r="T3381" s="72">
        <f t="shared" si="1271"/>
        <v>0.9931265285107479</v>
      </c>
      <c r="U3381" s="72">
        <f t="shared" si="1272"/>
        <v>1</v>
      </c>
    </row>
    <row r="3382" spans="1:21" x14ac:dyDescent="0.25">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0.84382385120350101</v>
      </c>
      <c r="P3382" s="72">
        <f t="shared" si="1267"/>
        <v>0.79166666666666663</v>
      </c>
      <c r="Q3382" s="72">
        <f t="shared" si="1268"/>
        <v>0</v>
      </c>
      <c r="R3382" s="72">
        <f t="shared" si="1269"/>
        <v>0</v>
      </c>
      <c r="S3382" s="72">
        <f t="shared" si="1270"/>
        <v>0.99273394259235415</v>
      </c>
      <c r="T3382" s="72">
        <f t="shared" si="1271"/>
        <v>0.99273394259235415</v>
      </c>
      <c r="U3382" s="72">
        <f t="shared" si="1272"/>
        <v>1</v>
      </c>
    </row>
    <row r="3383" spans="1:21" x14ac:dyDescent="0.25">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0.84349015317286646</v>
      </c>
      <c r="P3383" s="72">
        <f t="shared" si="1267"/>
        <v>0.875</v>
      </c>
      <c r="Q3383" s="72">
        <f t="shared" si="1268"/>
        <v>0</v>
      </c>
      <c r="R3383" s="72">
        <f t="shared" si="1269"/>
        <v>0</v>
      </c>
      <c r="S3383" s="72">
        <f t="shared" si="1270"/>
        <v>0.99234135667396062</v>
      </c>
      <c r="T3383" s="72">
        <f t="shared" si="1271"/>
        <v>0.99234135667396062</v>
      </c>
      <c r="U3383" s="72">
        <f t="shared" si="1272"/>
        <v>1</v>
      </c>
    </row>
    <row r="3384" spans="1:21" x14ac:dyDescent="0.25">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0.84315645514223192</v>
      </c>
      <c r="P3384" s="72">
        <f t="shared" si="1267"/>
        <v>0.95833333333333337</v>
      </c>
      <c r="Q3384" s="72">
        <f t="shared" si="1268"/>
        <v>0</v>
      </c>
      <c r="R3384" s="72">
        <f t="shared" si="1269"/>
        <v>0</v>
      </c>
      <c r="S3384" s="72">
        <f t="shared" si="1270"/>
        <v>0.99194877075556698</v>
      </c>
      <c r="T3384" s="72">
        <f t="shared" si="1271"/>
        <v>0.99194877075556698</v>
      </c>
      <c r="U3384" s="72">
        <f t="shared" si="1272"/>
        <v>1</v>
      </c>
    </row>
    <row r="3385" spans="1:21" x14ac:dyDescent="0.25">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0.84281728665207878</v>
      </c>
      <c r="P3385" s="72">
        <f t="shared" si="1267"/>
        <v>0.95833333333333337</v>
      </c>
      <c r="Q3385" s="72">
        <f t="shared" si="1268"/>
        <v>4.166666666666663E-2</v>
      </c>
      <c r="R3385" s="72">
        <f t="shared" si="1269"/>
        <v>0</v>
      </c>
      <c r="S3385" s="72">
        <f t="shared" si="1270"/>
        <v>0.99154974900244564</v>
      </c>
      <c r="T3385" s="72">
        <f t="shared" si="1271"/>
        <v>0.99154974900244564</v>
      </c>
      <c r="U3385" s="72">
        <f t="shared" si="1272"/>
        <v>1</v>
      </c>
    </row>
    <row r="3386" spans="1:21" x14ac:dyDescent="0.25">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0.84249452954048132</v>
      </c>
      <c r="P3386" s="72">
        <f t="shared" si="1267"/>
        <v>0.875</v>
      </c>
      <c r="Q3386" s="72">
        <f t="shared" si="1268"/>
        <v>0.125</v>
      </c>
      <c r="R3386" s="72">
        <f t="shared" si="1269"/>
        <v>0</v>
      </c>
      <c r="S3386" s="72">
        <f t="shared" si="1270"/>
        <v>1.0209051357961128</v>
      </c>
      <c r="T3386" s="72">
        <f t="shared" si="1271"/>
        <v>1.0209051357961128</v>
      </c>
      <c r="U3386" s="72">
        <f t="shared" si="1272"/>
        <v>1.03</v>
      </c>
    </row>
    <row r="3387" spans="1:21" x14ac:dyDescent="0.25">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0.84217177242888397</v>
      </c>
      <c r="P3387" s="72">
        <f t="shared" si="1267"/>
        <v>0.79166666666666663</v>
      </c>
      <c r="Q3387" s="72">
        <f t="shared" si="1268"/>
        <v>0.20833333333333337</v>
      </c>
      <c r="R3387" s="72">
        <f t="shared" si="1269"/>
        <v>0</v>
      </c>
      <c r="S3387" s="72">
        <f t="shared" si="1270"/>
        <v>1.0205140301197064</v>
      </c>
      <c r="T3387" s="72">
        <f t="shared" si="1271"/>
        <v>1.0205140301197064</v>
      </c>
      <c r="U3387" s="72">
        <f t="shared" si="1272"/>
        <v>1.03</v>
      </c>
    </row>
    <row r="3388" spans="1:21" x14ac:dyDescent="0.25">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0.84183807439824943</v>
      </c>
      <c r="P3388" s="72">
        <f t="shared" si="1267"/>
        <v>0.70833333333333337</v>
      </c>
      <c r="Q3388" s="72">
        <f t="shared" si="1268"/>
        <v>0.29166666666666663</v>
      </c>
      <c r="R3388" s="72">
        <f t="shared" si="1269"/>
        <v>0</v>
      </c>
      <c r="S3388" s="72">
        <f t="shared" si="1270"/>
        <v>1.0201096666237612</v>
      </c>
      <c r="T3388" s="72">
        <f t="shared" si="1271"/>
        <v>1.0201096666237612</v>
      </c>
      <c r="U3388" s="72">
        <f t="shared" si="1272"/>
        <v>1.03</v>
      </c>
    </row>
    <row r="3389" spans="1:21" x14ac:dyDescent="0.25">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0.84150437636761488</v>
      </c>
      <c r="P3389" s="72">
        <f t="shared" si="1267"/>
        <v>0.625</v>
      </c>
      <c r="Q3389" s="72">
        <f t="shared" si="1268"/>
        <v>0.375</v>
      </c>
      <c r="R3389" s="72">
        <f t="shared" si="1269"/>
        <v>0</v>
      </c>
      <c r="S3389" s="72">
        <f t="shared" si="1270"/>
        <v>1.0197053031278158</v>
      </c>
      <c r="T3389" s="72">
        <f t="shared" si="1271"/>
        <v>1.0197053031278158</v>
      </c>
      <c r="U3389" s="72">
        <f t="shared" si="1272"/>
        <v>1.03</v>
      </c>
    </row>
    <row r="3390" spans="1:21" x14ac:dyDescent="0.25">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0.84117067833698023</v>
      </c>
      <c r="P3390" s="72">
        <f t="shared" si="1267"/>
        <v>0.54166666666666663</v>
      </c>
      <c r="Q3390" s="72">
        <f t="shared" si="1268"/>
        <v>0.45833333333333337</v>
      </c>
      <c r="R3390" s="72">
        <f t="shared" si="1269"/>
        <v>0</v>
      </c>
      <c r="S3390" s="72">
        <f t="shared" si="1270"/>
        <v>1.0193009396318702</v>
      </c>
      <c r="T3390" s="72">
        <f t="shared" si="1271"/>
        <v>1.0193009396318702</v>
      </c>
      <c r="U3390" s="72">
        <f t="shared" si="1272"/>
        <v>1.03</v>
      </c>
    </row>
    <row r="3391" spans="1:21" x14ac:dyDescent="0.25">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0.84083698030634568</v>
      </c>
      <c r="P3391" s="72">
        <f t="shared" si="1267"/>
        <v>0.45833333333333331</v>
      </c>
      <c r="Q3391" s="72">
        <f t="shared" si="1268"/>
        <v>0.54166666666666674</v>
      </c>
      <c r="R3391" s="72">
        <f t="shared" si="1269"/>
        <v>0</v>
      </c>
      <c r="S3391" s="72">
        <f t="shared" si="1270"/>
        <v>1.0188965761359248</v>
      </c>
      <c r="T3391" s="72">
        <f t="shared" si="1271"/>
        <v>1.0188965761359248</v>
      </c>
      <c r="U3391" s="72">
        <f t="shared" si="1272"/>
        <v>1.03</v>
      </c>
    </row>
    <row r="3392" spans="1:21" x14ac:dyDescent="0.25">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0.84049781181619254</v>
      </c>
      <c r="P3392" s="72">
        <f t="shared" si="1267"/>
        <v>0.375</v>
      </c>
      <c r="Q3392" s="72">
        <f t="shared" si="1268"/>
        <v>0.625</v>
      </c>
      <c r="R3392" s="72">
        <f t="shared" si="1269"/>
        <v>0</v>
      </c>
      <c r="S3392" s="72">
        <f t="shared" si="1270"/>
        <v>1.0184855837302098</v>
      </c>
      <c r="T3392" s="72">
        <f t="shared" si="1271"/>
        <v>1.0184855837302098</v>
      </c>
      <c r="U3392" s="72">
        <f t="shared" si="1272"/>
        <v>1.03</v>
      </c>
    </row>
    <row r="3393" spans="1:21" x14ac:dyDescent="0.25">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0.840164113785558</v>
      </c>
      <c r="P3393" s="72">
        <f t="shared" si="1267"/>
        <v>0.29166666666666669</v>
      </c>
      <c r="Q3393" s="72">
        <f t="shared" si="1268"/>
        <v>0.70833333333333326</v>
      </c>
      <c r="R3393" s="72">
        <f t="shared" si="1269"/>
        <v>0</v>
      </c>
      <c r="S3393" s="72">
        <f t="shared" si="1270"/>
        <v>1.0180812202342644</v>
      </c>
      <c r="T3393" s="72">
        <f t="shared" si="1271"/>
        <v>1.0180812202342644</v>
      </c>
      <c r="U3393" s="72">
        <f t="shared" si="1272"/>
        <v>1.03</v>
      </c>
    </row>
    <row r="3394" spans="1:21" x14ac:dyDescent="0.25">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0.83983041575492334</v>
      </c>
      <c r="P3394" s="72">
        <f t="shared" si="1267"/>
        <v>0.20833333333333334</v>
      </c>
      <c r="Q3394" s="72">
        <f t="shared" si="1268"/>
        <v>0.79166666666666663</v>
      </c>
      <c r="R3394" s="72">
        <f t="shared" si="1269"/>
        <v>0</v>
      </c>
      <c r="S3394" s="72">
        <f t="shared" si="1270"/>
        <v>1.017676856738319</v>
      </c>
      <c r="T3394" s="72">
        <f t="shared" si="1271"/>
        <v>1.017676856738319</v>
      </c>
      <c r="U3394" s="72">
        <f t="shared" si="1272"/>
        <v>1.03</v>
      </c>
    </row>
    <row r="3395" spans="1:21" x14ac:dyDescent="0.25">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0.8394967177242888</v>
      </c>
      <c r="P3395" s="72">
        <f t="shared" si="1267"/>
        <v>0.125</v>
      </c>
      <c r="Q3395" s="72">
        <f t="shared" si="1268"/>
        <v>0.875</v>
      </c>
      <c r="R3395" s="72">
        <f t="shared" si="1269"/>
        <v>0</v>
      </c>
      <c r="S3395" s="72">
        <f t="shared" si="1270"/>
        <v>1.0172724932423736</v>
      </c>
      <c r="T3395" s="72">
        <f t="shared" si="1271"/>
        <v>1.0172724932423736</v>
      </c>
      <c r="U3395" s="72">
        <f t="shared" si="1272"/>
        <v>1.03</v>
      </c>
    </row>
    <row r="3396" spans="1:21" x14ac:dyDescent="0.25">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0.83916301969365426</v>
      </c>
      <c r="P3396" s="72">
        <f t="shared" si="1267"/>
        <v>4.1666666666666664E-2</v>
      </c>
      <c r="Q3396" s="72">
        <f t="shared" si="1268"/>
        <v>0.95833333333333337</v>
      </c>
      <c r="R3396" s="72">
        <f t="shared" si="1269"/>
        <v>0</v>
      </c>
      <c r="S3396" s="72">
        <f t="shared" si="1270"/>
        <v>1.0168681297464282</v>
      </c>
      <c r="T3396" s="72">
        <f t="shared" si="1271"/>
        <v>1.0168681297464282</v>
      </c>
      <c r="U3396" s="72">
        <f t="shared" si="1272"/>
        <v>1.03</v>
      </c>
    </row>
    <row r="3397" spans="1:21" x14ac:dyDescent="0.25">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0.83882385120350111</v>
      </c>
      <c r="P3397" s="72">
        <f t="shared" si="1267"/>
        <v>0</v>
      </c>
      <c r="Q3397" s="72">
        <f t="shared" si="1268"/>
        <v>0.95833333333333337</v>
      </c>
      <c r="R3397" s="72">
        <f t="shared" si="1269"/>
        <v>4.166666666666663E-2</v>
      </c>
      <c r="S3397" s="72">
        <f t="shared" si="1270"/>
        <v>1.0164571373407132</v>
      </c>
      <c r="T3397" s="72">
        <f t="shared" si="1271"/>
        <v>0.99154974900244564</v>
      </c>
      <c r="U3397" s="72">
        <f t="shared" si="1272"/>
        <v>1.03</v>
      </c>
    </row>
    <row r="3398" spans="1:21" x14ac:dyDescent="0.25">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0.83850109409190365</v>
      </c>
      <c r="P3398" s="72">
        <f t="shared" si="1267"/>
        <v>0</v>
      </c>
      <c r="Q3398" s="72">
        <f t="shared" si="1268"/>
        <v>0.875</v>
      </c>
      <c r="R3398" s="72">
        <f t="shared" si="1269"/>
        <v>0.125</v>
      </c>
      <c r="S3398" s="72">
        <f t="shared" si="1270"/>
        <v>1.0567086729308792</v>
      </c>
      <c r="T3398" s="72">
        <f t="shared" si="1271"/>
        <v>1.0209051357961128</v>
      </c>
      <c r="U3398" s="72">
        <f t="shared" si="1272"/>
        <v>1.0712000000000002</v>
      </c>
    </row>
    <row r="3399" spans="1:21" x14ac:dyDescent="0.25">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0.8381783369803063</v>
      </c>
      <c r="P3399" s="72">
        <f t="shared" si="1267"/>
        <v>0</v>
      </c>
      <c r="Q3399" s="72">
        <f t="shared" si="1268"/>
        <v>0.79166666666666663</v>
      </c>
      <c r="R3399" s="72">
        <f t="shared" si="1269"/>
        <v>0.20833333333333337</v>
      </c>
      <c r="S3399" s="72">
        <f t="shared" si="1270"/>
        <v>1.0563019230274169</v>
      </c>
      <c r="T3399" s="72">
        <f t="shared" si="1271"/>
        <v>1.0205140301197064</v>
      </c>
      <c r="U3399" s="72">
        <f t="shared" si="1272"/>
        <v>1.0712000000000002</v>
      </c>
    </row>
    <row r="3400" spans="1:21" x14ac:dyDescent="0.25">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0.83784463894967176</v>
      </c>
      <c r="P3400" s="72">
        <f t="shared" si="1267"/>
        <v>0</v>
      </c>
      <c r="Q3400" s="72">
        <f t="shared" si="1268"/>
        <v>0.70833333333333337</v>
      </c>
      <c r="R3400" s="72">
        <f t="shared" si="1269"/>
        <v>0.29166666666666663</v>
      </c>
      <c r="S3400" s="72">
        <f t="shared" si="1270"/>
        <v>1.0558813849916335</v>
      </c>
      <c r="T3400" s="72">
        <f t="shared" si="1271"/>
        <v>1.0201096666237612</v>
      </c>
      <c r="U3400" s="72">
        <f t="shared" si="1272"/>
        <v>1.0712000000000002</v>
      </c>
    </row>
    <row r="3401" spans="1:21" x14ac:dyDescent="0.25">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0.83751094091903722</v>
      </c>
      <c r="P3401" s="72">
        <f t="shared" si="1267"/>
        <v>0</v>
      </c>
      <c r="Q3401" s="72">
        <f t="shared" si="1268"/>
        <v>0.625</v>
      </c>
      <c r="R3401" s="72">
        <f t="shared" si="1269"/>
        <v>0.375</v>
      </c>
      <c r="S3401" s="72">
        <f t="shared" si="1270"/>
        <v>1.0554608469558504</v>
      </c>
      <c r="T3401" s="72">
        <f t="shared" si="1271"/>
        <v>1.0197053031278158</v>
      </c>
      <c r="U3401" s="72">
        <f t="shared" si="1272"/>
        <v>1.0712000000000002</v>
      </c>
    </row>
    <row r="3402" spans="1:21" x14ac:dyDescent="0.25">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0.83717724288840256</v>
      </c>
      <c r="P3402" s="72">
        <f t="shared" si="1267"/>
        <v>0</v>
      </c>
      <c r="Q3402" s="72">
        <f t="shared" si="1268"/>
        <v>0.54166666666666663</v>
      </c>
      <c r="R3402" s="72">
        <f t="shared" si="1269"/>
        <v>0.45833333333333337</v>
      </c>
      <c r="S3402" s="72">
        <f t="shared" si="1270"/>
        <v>1.0550403089200671</v>
      </c>
      <c r="T3402" s="72">
        <f t="shared" si="1271"/>
        <v>1.0193009396318702</v>
      </c>
      <c r="U3402" s="72">
        <f t="shared" si="1272"/>
        <v>1.0712000000000002</v>
      </c>
    </row>
    <row r="3403" spans="1:21" x14ac:dyDescent="0.25">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0.83684354485776802</v>
      </c>
      <c r="P3403" s="72">
        <f t="shared" si="1267"/>
        <v>0</v>
      </c>
      <c r="Q3403" s="72">
        <f t="shared" si="1268"/>
        <v>0.45833333333333331</v>
      </c>
      <c r="R3403" s="72">
        <f t="shared" si="1269"/>
        <v>0.54166666666666674</v>
      </c>
      <c r="S3403" s="72">
        <f t="shared" si="1270"/>
        <v>1.0546197708842839</v>
      </c>
      <c r="T3403" s="72">
        <f t="shared" si="1271"/>
        <v>1.0188965761359248</v>
      </c>
      <c r="U3403" s="72">
        <f t="shared" si="1272"/>
        <v>1.0712000000000002</v>
      </c>
    </row>
    <row r="3404" spans="1:21" x14ac:dyDescent="0.25">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0.83650437636761488</v>
      </c>
      <c r="P3404" s="72">
        <f t="shared" si="1267"/>
        <v>0</v>
      </c>
      <c r="Q3404" s="72">
        <f t="shared" si="1268"/>
        <v>0.375</v>
      </c>
      <c r="R3404" s="72">
        <f t="shared" si="1269"/>
        <v>0.625</v>
      </c>
      <c r="S3404" s="72">
        <f t="shared" si="1270"/>
        <v>1.0541923387823402</v>
      </c>
      <c r="T3404" s="72">
        <f t="shared" si="1271"/>
        <v>1.0184855837302098</v>
      </c>
      <c r="U3404" s="72">
        <f t="shared" si="1272"/>
        <v>1.0712000000000002</v>
      </c>
    </row>
    <row r="3405" spans="1:21" x14ac:dyDescent="0.25">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0.83617067833698022</v>
      </c>
      <c r="P3405" s="72">
        <f t="shared" si="1267"/>
        <v>0</v>
      </c>
      <c r="Q3405" s="72">
        <f t="shared" si="1268"/>
        <v>0.29166666666666669</v>
      </c>
      <c r="R3405" s="72">
        <f t="shared" si="1269"/>
        <v>0.70833333333333326</v>
      </c>
      <c r="S3405" s="72">
        <f t="shared" si="1270"/>
        <v>1.0537718007465569</v>
      </c>
      <c r="T3405" s="72">
        <f t="shared" si="1271"/>
        <v>1.0180812202342644</v>
      </c>
      <c r="U3405" s="72">
        <f t="shared" si="1272"/>
        <v>1.0712000000000002</v>
      </c>
    </row>
    <row r="3406" spans="1:21" x14ac:dyDescent="0.25">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0.83583698030634568</v>
      </c>
      <c r="P3406" s="72">
        <f t="shared" si="1267"/>
        <v>0</v>
      </c>
      <c r="Q3406" s="72">
        <f t="shared" si="1268"/>
        <v>0.20833333333333334</v>
      </c>
      <c r="R3406" s="72">
        <f t="shared" si="1269"/>
        <v>0.79166666666666663</v>
      </c>
      <c r="S3406" s="72">
        <f t="shared" si="1270"/>
        <v>1.0533512627107737</v>
      </c>
      <c r="T3406" s="72">
        <f t="shared" si="1271"/>
        <v>1.017676856738319</v>
      </c>
      <c r="U3406" s="72">
        <f t="shared" si="1272"/>
        <v>1.0712000000000002</v>
      </c>
    </row>
    <row r="3407" spans="1:21" x14ac:dyDescent="0.25">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0.83550328227571113</v>
      </c>
      <c r="P3407" s="72">
        <f t="shared" si="1267"/>
        <v>0</v>
      </c>
      <c r="Q3407" s="72">
        <f t="shared" si="1268"/>
        <v>0.125</v>
      </c>
      <c r="R3407" s="72">
        <f t="shared" si="1269"/>
        <v>0.875</v>
      </c>
      <c r="S3407" s="72">
        <f t="shared" si="1270"/>
        <v>1.0529307246749904</v>
      </c>
      <c r="T3407" s="72">
        <f t="shared" si="1271"/>
        <v>1.0172724932423736</v>
      </c>
      <c r="U3407" s="72">
        <f t="shared" si="1272"/>
        <v>1.0712000000000002</v>
      </c>
    </row>
    <row r="3408" spans="1:21" x14ac:dyDescent="0.25">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0.83516958424507659</v>
      </c>
      <c r="P3408" s="72">
        <f t="shared" si="1267"/>
        <v>0</v>
      </c>
      <c r="Q3408" s="72">
        <f t="shared" si="1268"/>
        <v>4.1666666666666664E-2</v>
      </c>
      <c r="R3408" s="72">
        <f t="shared" si="1269"/>
        <v>0.95833333333333337</v>
      </c>
      <c r="S3408" s="72">
        <f t="shared" si="1270"/>
        <v>1.0525101866392073</v>
      </c>
      <c r="T3408" s="72">
        <f t="shared" si="1271"/>
        <v>1.0168681297464282</v>
      </c>
      <c r="U3408" s="72">
        <f t="shared" si="1272"/>
        <v>1.0712000000000002</v>
      </c>
    </row>
    <row r="3409" spans="1:21" x14ac:dyDescent="0.25">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0.83499999999999996</v>
      </c>
      <c r="P3409" s="72">
        <f t="shared" si="1267"/>
        <v>0</v>
      </c>
      <c r="Q3409" s="72">
        <f t="shared" si="1268"/>
        <v>0</v>
      </c>
      <c r="R3409" s="72">
        <f t="shared" si="1269"/>
        <v>0.95833333333333337</v>
      </c>
      <c r="S3409" s="72">
        <f t="shared" si="1270"/>
        <v>1.0522964705882354</v>
      </c>
      <c r="T3409" s="72">
        <f t="shared" si="1271"/>
        <v>0.99154974900244564</v>
      </c>
      <c r="U3409" s="72">
        <f t="shared" si="1272"/>
        <v>1.0712000000000002</v>
      </c>
    </row>
    <row r="3410" spans="1:21" x14ac:dyDescent="0.25">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0.83499999999999996</v>
      </c>
      <c r="P3410" s="72">
        <f t="shared" si="1267"/>
        <v>0</v>
      </c>
      <c r="Q3410" s="72">
        <f t="shared" si="1268"/>
        <v>0</v>
      </c>
      <c r="R3410" s="72">
        <f t="shared" si="1269"/>
        <v>0.875</v>
      </c>
      <c r="S3410" s="72">
        <f t="shared" si="1270"/>
        <v>1.0522964705882354</v>
      </c>
      <c r="T3410" s="72">
        <f t="shared" si="1271"/>
        <v>1.0209051357961128</v>
      </c>
      <c r="U3410" s="72">
        <f t="shared" si="1272"/>
        <v>1.0712000000000002</v>
      </c>
    </row>
    <row r="3411" spans="1:21" x14ac:dyDescent="0.25">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0.83499999999999996</v>
      </c>
      <c r="P3411" s="72">
        <f t="shared" si="1267"/>
        <v>0</v>
      </c>
      <c r="Q3411" s="72">
        <f t="shared" si="1268"/>
        <v>0</v>
      </c>
      <c r="R3411" s="72">
        <f t="shared" si="1269"/>
        <v>0.79166666666666663</v>
      </c>
      <c r="S3411" s="72">
        <f t="shared" si="1270"/>
        <v>1.0522964705882354</v>
      </c>
      <c r="T3411" s="72">
        <f t="shared" si="1271"/>
        <v>1.0205140301197064</v>
      </c>
      <c r="U3411" s="72">
        <f t="shared" si="1272"/>
        <v>1.0712000000000002</v>
      </c>
    </row>
    <row r="3412" spans="1:21" x14ac:dyDescent="0.25">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0.83499999999999996</v>
      </c>
      <c r="P3412" s="72">
        <f t="shared" si="1267"/>
        <v>0</v>
      </c>
      <c r="Q3412" s="72">
        <f t="shared" si="1268"/>
        <v>0</v>
      </c>
      <c r="R3412" s="72">
        <f t="shared" si="1269"/>
        <v>0.70833333333333337</v>
      </c>
      <c r="S3412" s="72">
        <f t="shared" si="1270"/>
        <v>1.0522964705882354</v>
      </c>
      <c r="T3412" s="72">
        <f t="shared" si="1271"/>
        <v>1.0201096666237612</v>
      </c>
      <c r="U3412" s="72">
        <f t="shared" si="1272"/>
        <v>1.0712000000000002</v>
      </c>
    </row>
    <row r="3413" spans="1:21" x14ac:dyDescent="0.25">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0.83499999999999996</v>
      </c>
      <c r="P3413" s="72">
        <f t="shared" si="1267"/>
        <v>0</v>
      </c>
      <c r="Q3413" s="72">
        <f t="shared" si="1268"/>
        <v>0</v>
      </c>
      <c r="R3413" s="72">
        <f t="shared" si="1269"/>
        <v>0.625</v>
      </c>
      <c r="S3413" s="72">
        <f t="shared" si="1270"/>
        <v>1.0522964705882354</v>
      </c>
      <c r="T3413" s="72">
        <f t="shared" si="1271"/>
        <v>1.0197053031278158</v>
      </c>
      <c r="U3413" s="72">
        <f t="shared" si="1272"/>
        <v>1.0712000000000002</v>
      </c>
    </row>
    <row r="3414" spans="1:21" x14ac:dyDescent="0.25">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0.83499999999999996</v>
      </c>
      <c r="P3414" s="72">
        <f t="shared" si="1267"/>
        <v>0</v>
      </c>
      <c r="Q3414" s="72">
        <f t="shared" si="1268"/>
        <v>0</v>
      </c>
      <c r="R3414" s="72">
        <f t="shared" si="1269"/>
        <v>0.54166666666666663</v>
      </c>
      <c r="S3414" s="72">
        <f t="shared" si="1270"/>
        <v>1.0522964705882354</v>
      </c>
      <c r="T3414" s="72">
        <f t="shared" si="1271"/>
        <v>1.0193009396318702</v>
      </c>
      <c r="U3414" s="72">
        <f t="shared" si="1272"/>
        <v>1.0712000000000002</v>
      </c>
    </row>
    <row r="3415" spans="1:21" x14ac:dyDescent="0.25">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0.83499999999999996</v>
      </c>
      <c r="P3415" s="72">
        <f t="shared" si="1267"/>
        <v>0</v>
      </c>
      <c r="Q3415" s="72">
        <f t="shared" si="1268"/>
        <v>0</v>
      </c>
      <c r="R3415" s="72">
        <f t="shared" si="1269"/>
        <v>0.45833333333333331</v>
      </c>
      <c r="S3415" s="72">
        <f t="shared" si="1270"/>
        <v>1.0522964705882354</v>
      </c>
      <c r="T3415" s="72">
        <f t="shared" si="1271"/>
        <v>1.0188965761359248</v>
      </c>
      <c r="U3415" s="72">
        <f t="shared" si="1272"/>
        <v>1.0712000000000002</v>
      </c>
    </row>
    <row r="3416" spans="1:21" x14ac:dyDescent="0.25">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0.83499999999999996</v>
      </c>
      <c r="P3416" s="72">
        <f t="shared" si="1267"/>
        <v>0</v>
      </c>
      <c r="Q3416" s="72">
        <f t="shared" si="1268"/>
        <v>0</v>
      </c>
      <c r="R3416" s="72">
        <f t="shared" si="1269"/>
        <v>0.375</v>
      </c>
      <c r="S3416" s="72">
        <f t="shared" si="1270"/>
        <v>1.0522964705882354</v>
      </c>
      <c r="T3416" s="72">
        <f t="shared" si="1271"/>
        <v>1.0184855837302098</v>
      </c>
      <c r="U3416" s="72">
        <f t="shared" si="1272"/>
        <v>1.0712000000000002</v>
      </c>
    </row>
    <row r="3417" spans="1:21" x14ac:dyDescent="0.25">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0.83499999999999996</v>
      </c>
      <c r="P3417" s="72">
        <f t="shared" si="1267"/>
        <v>0</v>
      </c>
      <c r="Q3417" s="72">
        <f t="shared" si="1268"/>
        <v>0</v>
      </c>
      <c r="R3417" s="72">
        <f t="shared" si="1269"/>
        <v>0.29166666666666669</v>
      </c>
      <c r="S3417" s="72">
        <f t="shared" si="1270"/>
        <v>1.0522964705882354</v>
      </c>
      <c r="T3417" s="72">
        <f t="shared" si="1271"/>
        <v>1.0180812202342644</v>
      </c>
      <c r="U3417" s="72">
        <f t="shared" si="1272"/>
        <v>1.0712000000000002</v>
      </c>
    </row>
    <row r="3418" spans="1:21" x14ac:dyDescent="0.25">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0.83499999999999996</v>
      </c>
      <c r="P3418" s="72">
        <f t="shared" si="1267"/>
        <v>0</v>
      </c>
      <c r="Q3418" s="72">
        <f t="shared" si="1268"/>
        <v>0</v>
      </c>
      <c r="R3418" s="72">
        <f t="shared" si="1269"/>
        <v>0.20833333333333334</v>
      </c>
      <c r="S3418" s="72">
        <f t="shared" si="1270"/>
        <v>1.0522964705882354</v>
      </c>
      <c r="T3418" s="72">
        <f t="shared" si="1271"/>
        <v>1.017676856738319</v>
      </c>
      <c r="U3418" s="72">
        <f t="shared" si="1272"/>
        <v>1.0712000000000002</v>
      </c>
    </row>
    <row r="3419" spans="1:21" x14ac:dyDescent="0.25">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0.83499999999999996</v>
      </c>
      <c r="P3419" s="72">
        <f t="shared" si="1267"/>
        <v>0</v>
      </c>
      <c r="Q3419" s="72">
        <f t="shared" si="1268"/>
        <v>0</v>
      </c>
      <c r="R3419" s="72">
        <f t="shared" si="1269"/>
        <v>0.125</v>
      </c>
      <c r="S3419" s="72">
        <f t="shared" si="1270"/>
        <v>1.0522964705882354</v>
      </c>
      <c r="T3419" s="72">
        <f t="shared" si="1271"/>
        <v>1.0172724932423736</v>
      </c>
      <c r="U3419" s="72">
        <f t="shared" si="1272"/>
        <v>1.0712000000000002</v>
      </c>
    </row>
    <row r="3420" spans="1:21" x14ac:dyDescent="0.25">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0.83499999999999996</v>
      </c>
      <c r="P3420" s="72">
        <f t="shared" si="1267"/>
        <v>0</v>
      </c>
      <c r="Q3420" s="72">
        <f t="shared" si="1268"/>
        <v>0</v>
      </c>
      <c r="R3420" s="72">
        <f t="shared" si="1269"/>
        <v>4.1666666666666664E-2</v>
      </c>
      <c r="S3420" s="72">
        <f t="shared" si="1270"/>
        <v>1.0522964705882354</v>
      </c>
      <c r="T3420" s="72">
        <f t="shared" si="1271"/>
        <v>1.0168681297464282</v>
      </c>
      <c r="U3420" s="72">
        <f t="shared" si="1272"/>
        <v>1.0712000000000002</v>
      </c>
    </row>
    <row r="3421" spans="1:21" x14ac:dyDescent="0.25">
      <c r="A3421" s="77" t="s">
        <v>1209</v>
      </c>
      <c r="B3421" s="50">
        <f>EXP(SUMPRODUCT((rl_key=$A$3370)*(rl_cons="Y")*rl_ln1p))</f>
        <v>1.03</v>
      </c>
      <c r="C3421" s="50">
        <f>SUMPRODUCT($H$3373:$H$3420,$P$3373:$P$3420,$U$3373:$U$3420)/SUMPRODUCT($H$3373:$H$3420,$P$3373:$P$3420)</f>
        <v>1.012604166666667</v>
      </c>
      <c r="D3421" s="50">
        <f>SUMPRODUCT($H$3373:$H$3420,$Q$3373:$Q$3420,$U$3373:$U$3420)/SUMPRODUCT($H$3373:$H$3420,$Q$3373:$Q$3420)</f>
        <v>1.0472055555555555</v>
      </c>
      <c r="E3421" s="50">
        <f>SUMPRODUCT($H$3373:$H$3420,$R$3373:$R$3420,$U$3373:$U$3420)/SUMPRODUCT($H$3373:$H$3420,$R$3373:$R$3420)</f>
        <v>1.0710569444444447</v>
      </c>
      <c r="F3421" s="169">
        <f>SUMPRODUCT($H$3373:$H$3420,$Q$3373:$Q$3420,$O$3373:$O$3420)/SUMPRODUCT($H$3373:$H$3420,$Q$3373:$Q$3420)</f>
        <v>0.83900209700948214</v>
      </c>
      <c r="G3421" s="169">
        <f>SUMPRODUCT($H$3373:$H$3420,$R$3373:$R$3420,$O$3373:$O$3420)/SUMPRODUCT($H$3373:$H$3420,$R$3373:$R$3420)</f>
        <v>0.8356718218149769</v>
      </c>
    </row>
    <row r="3424" spans="1:21" x14ac:dyDescent="0.25">
      <c r="A3424" s="77" t="str">
        <f>INDEX(lr_key,63)</f>
        <v>BU-C|TX</v>
      </c>
      <c r="B3424" s="77" t="str">
        <f>INDEX(lr_state,63)</f>
        <v>TX</v>
      </c>
      <c r="C3424" s="52">
        <f>nr_TermMonths</f>
        <v>12</v>
      </c>
      <c r="D3424" s="52">
        <f>IF(COUNTIF(se_state,$B3424)=0,0,MATCH($B3424,se_state,0))</f>
        <v>0</v>
      </c>
      <c r="E3424" s="54">
        <f>IF($D3424=0,0,INDEX(se_sum,$D3424))</f>
        <v>0</v>
      </c>
      <c r="F3424" s="169">
        <f>IF(N(INDEX(lr_mind,63))=0,1,INDEX(lr_mind,63))</f>
        <v>0.85</v>
      </c>
      <c r="G3424" s="169">
        <f>IF(N(INDEX(lr_m0,63))=0,1,INDEX(lr_m0,63))</f>
        <v>0.84</v>
      </c>
      <c r="H3424" s="51">
        <f>IF(N(INDEX(lr_m0asof,63))=0,DATE(nr_PlanYear-1,10,1),INDEX(lr_m0asof,63))</f>
        <v>46295</v>
      </c>
      <c r="I3424" s="169">
        <f>IF(N(INDEX(lr_m1,63))=0,1,INDEX(lr_m1,63))</f>
        <v>0.85</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25">
      <c r="A3425" s="77">
        <f>EDATE($H$3424,-12)+1</f>
        <v>45931</v>
      </c>
      <c r="B3425" s="77">
        <f>$H$3424+1</f>
        <v>46296</v>
      </c>
      <c r="C3425" s="77">
        <f>DATE(nr_PlanYear,12,31)+1</f>
        <v>46753</v>
      </c>
      <c r="D3425" s="77">
        <f>DATE(nr_PlanYear+1,12,31)+1</f>
        <v>47119</v>
      </c>
      <c r="E3425" s="77">
        <f>IF(N($J$3424)=0,$F$3425-($G$3425-$F$3425)/($C$3425-$B$3425)*($B$3425-$A$3425),$J$3424)</f>
        <v>0.83201312910284464</v>
      </c>
      <c r="F3425" s="77">
        <f>$G$3424</f>
        <v>0.84</v>
      </c>
      <c r="G3425" s="77">
        <f>$I$3424</f>
        <v>0.85</v>
      </c>
      <c r="H3425" s="77">
        <f>IF(N($K$3424)=0,$I$3424,$K$3424)</f>
        <v>0.85</v>
      </c>
      <c r="I3425" s="77">
        <f>($F$3425-$E$3425)/($B$3425-$A$3425)</f>
        <v>2.1881838074398162E-5</v>
      </c>
      <c r="J3425" s="77">
        <f>($G$3425-$F$3425)/($C$3425-$B$3425)</f>
        <v>2.188183807439827E-5</v>
      </c>
      <c r="K3425" s="77">
        <f>($H$3425-$G$3425)/($D$3425-$C$3425)</f>
        <v>0</v>
      </c>
    </row>
    <row r="3426" spans="1:21" ht="24" x14ac:dyDescent="0.25">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25">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0.82637855579868713</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0.97221006564551427</v>
      </c>
      <c r="T3427" s="72">
        <f t="shared" ref="T3427:T3474" si="1291">IF($G3427&lt;nr_MStartP,$S3427,$T3415*(1+IF($G3427&lt;nr_MStartP1,$M$3424,$N$3424)))</f>
        <v>0.97221006564551427</v>
      </c>
      <c r="U3427" s="72">
        <f t="shared" ref="U3427:U3474" si="1292">IF($L$3424,$T3427,$N3427)</f>
        <v>1</v>
      </c>
    </row>
    <row r="3428" spans="1:21" x14ac:dyDescent="0.25">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0.82702407002188183</v>
      </c>
      <c r="P3428" s="72">
        <f t="shared" si="1287"/>
        <v>0.125</v>
      </c>
      <c r="Q3428" s="72">
        <f t="shared" si="1288"/>
        <v>0</v>
      </c>
      <c r="R3428" s="72">
        <f t="shared" si="1289"/>
        <v>0</v>
      </c>
      <c r="S3428" s="72">
        <f t="shared" si="1290"/>
        <v>0.9729694941433904</v>
      </c>
      <c r="T3428" s="72">
        <f t="shared" si="1291"/>
        <v>0.9729694941433904</v>
      </c>
      <c r="U3428" s="72">
        <f t="shared" si="1292"/>
        <v>1</v>
      </c>
    </row>
    <row r="3429" spans="1:21" x14ac:dyDescent="0.25">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0.82766958424507664</v>
      </c>
      <c r="P3429" s="72">
        <f t="shared" si="1287"/>
        <v>0.20833333333333337</v>
      </c>
      <c r="Q3429" s="72">
        <f t="shared" si="1288"/>
        <v>0</v>
      </c>
      <c r="R3429" s="72">
        <f t="shared" si="1289"/>
        <v>0</v>
      </c>
      <c r="S3429" s="72">
        <f t="shared" si="1290"/>
        <v>0.97372892264126665</v>
      </c>
      <c r="T3429" s="72">
        <f t="shared" si="1291"/>
        <v>0.97372892264126665</v>
      </c>
      <c r="U3429" s="72">
        <f t="shared" si="1292"/>
        <v>1</v>
      </c>
    </row>
    <row r="3430" spans="1:21" x14ac:dyDescent="0.25">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0.82833698030634573</v>
      </c>
      <c r="P3430" s="72">
        <f t="shared" si="1287"/>
        <v>0.29166666666666663</v>
      </c>
      <c r="Q3430" s="72">
        <f t="shared" si="1288"/>
        <v>0</v>
      </c>
      <c r="R3430" s="72">
        <f t="shared" si="1289"/>
        <v>0</v>
      </c>
      <c r="S3430" s="72">
        <f t="shared" si="1290"/>
        <v>0.97451409447805382</v>
      </c>
      <c r="T3430" s="72">
        <f t="shared" si="1291"/>
        <v>0.97451409447805382</v>
      </c>
      <c r="U3430" s="72">
        <f t="shared" si="1292"/>
        <v>1</v>
      </c>
    </row>
    <row r="3431" spans="1:21" x14ac:dyDescent="0.25">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0.82900437636761493</v>
      </c>
      <c r="P3431" s="72">
        <f t="shared" si="1287"/>
        <v>0.375</v>
      </c>
      <c r="Q3431" s="72">
        <f t="shared" si="1288"/>
        <v>0</v>
      </c>
      <c r="R3431" s="72">
        <f t="shared" si="1289"/>
        <v>0</v>
      </c>
      <c r="S3431" s="72">
        <f t="shared" si="1290"/>
        <v>0.9752992663148411</v>
      </c>
      <c r="T3431" s="72">
        <f t="shared" si="1291"/>
        <v>0.9752992663148411</v>
      </c>
      <c r="U3431" s="72">
        <f t="shared" si="1292"/>
        <v>1</v>
      </c>
    </row>
    <row r="3432" spans="1:21" x14ac:dyDescent="0.25">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0.82967177242888401</v>
      </c>
      <c r="P3432" s="72">
        <f t="shared" si="1287"/>
        <v>0.45833333333333337</v>
      </c>
      <c r="Q3432" s="72">
        <f t="shared" si="1288"/>
        <v>0</v>
      </c>
      <c r="R3432" s="72">
        <f t="shared" si="1289"/>
        <v>0</v>
      </c>
      <c r="S3432" s="72">
        <f t="shared" si="1290"/>
        <v>0.97608443815162826</v>
      </c>
      <c r="T3432" s="72">
        <f t="shared" si="1291"/>
        <v>0.97608443815162826</v>
      </c>
      <c r="U3432" s="72">
        <f t="shared" si="1292"/>
        <v>1</v>
      </c>
    </row>
    <row r="3433" spans="1:21" x14ac:dyDescent="0.25">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0.83033916849015321</v>
      </c>
      <c r="P3433" s="72">
        <f t="shared" si="1287"/>
        <v>0.54166666666666674</v>
      </c>
      <c r="Q3433" s="72">
        <f t="shared" si="1288"/>
        <v>0</v>
      </c>
      <c r="R3433" s="72">
        <f t="shared" si="1289"/>
        <v>0</v>
      </c>
      <c r="S3433" s="72">
        <f t="shared" si="1290"/>
        <v>0.97686960998841554</v>
      </c>
      <c r="T3433" s="72">
        <f t="shared" si="1291"/>
        <v>0.97686960998841554</v>
      </c>
      <c r="U3433" s="72">
        <f t="shared" si="1292"/>
        <v>1</v>
      </c>
    </row>
    <row r="3434" spans="1:21" x14ac:dyDescent="0.25">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0.83101750547045949</v>
      </c>
      <c r="P3434" s="72">
        <f t="shared" si="1287"/>
        <v>0.625</v>
      </c>
      <c r="Q3434" s="72">
        <f t="shared" si="1288"/>
        <v>0</v>
      </c>
      <c r="R3434" s="72">
        <f t="shared" si="1289"/>
        <v>0</v>
      </c>
      <c r="S3434" s="72">
        <f t="shared" si="1290"/>
        <v>0.97766765349465823</v>
      </c>
      <c r="T3434" s="72">
        <f t="shared" si="1291"/>
        <v>0.97766765349465823</v>
      </c>
      <c r="U3434" s="72">
        <f t="shared" si="1292"/>
        <v>1</v>
      </c>
    </row>
    <row r="3435" spans="1:21" x14ac:dyDescent="0.25">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0.83168490153172869</v>
      </c>
      <c r="P3435" s="72">
        <f t="shared" si="1287"/>
        <v>0.70833333333333326</v>
      </c>
      <c r="Q3435" s="72">
        <f t="shared" si="1288"/>
        <v>0</v>
      </c>
      <c r="R3435" s="72">
        <f t="shared" si="1289"/>
        <v>0</v>
      </c>
      <c r="S3435" s="72">
        <f t="shared" si="1290"/>
        <v>0.97845282533144551</v>
      </c>
      <c r="T3435" s="72">
        <f t="shared" si="1291"/>
        <v>0.97845282533144551</v>
      </c>
      <c r="U3435" s="72">
        <f t="shared" si="1292"/>
        <v>1</v>
      </c>
    </row>
    <row r="3436" spans="1:21" x14ac:dyDescent="0.25">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0.83235229759299778</v>
      </c>
      <c r="P3436" s="72">
        <f t="shared" si="1287"/>
        <v>0.79166666666666663</v>
      </c>
      <c r="Q3436" s="72">
        <f t="shared" si="1288"/>
        <v>0</v>
      </c>
      <c r="R3436" s="72">
        <f t="shared" si="1289"/>
        <v>0</v>
      </c>
      <c r="S3436" s="72">
        <f t="shared" si="1290"/>
        <v>0.97923799716823268</v>
      </c>
      <c r="T3436" s="72">
        <f t="shared" si="1291"/>
        <v>0.97923799716823268</v>
      </c>
      <c r="U3436" s="72">
        <f t="shared" si="1292"/>
        <v>1</v>
      </c>
    </row>
    <row r="3437" spans="1:21" x14ac:dyDescent="0.25">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0.83301969365426698</v>
      </c>
      <c r="P3437" s="72">
        <f t="shared" si="1287"/>
        <v>0.875</v>
      </c>
      <c r="Q3437" s="72">
        <f t="shared" si="1288"/>
        <v>0</v>
      </c>
      <c r="R3437" s="72">
        <f t="shared" si="1289"/>
        <v>0</v>
      </c>
      <c r="S3437" s="72">
        <f t="shared" si="1290"/>
        <v>0.98002316900501996</v>
      </c>
      <c r="T3437" s="72">
        <f t="shared" si="1291"/>
        <v>0.98002316900501996</v>
      </c>
      <c r="U3437" s="72">
        <f t="shared" si="1292"/>
        <v>1</v>
      </c>
    </row>
    <row r="3438" spans="1:21" x14ac:dyDescent="0.25">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0.83368708971553607</v>
      </c>
      <c r="P3438" s="72">
        <f t="shared" si="1287"/>
        <v>0.95833333333333337</v>
      </c>
      <c r="Q3438" s="72">
        <f t="shared" si="1288"/>
        <v>0</v>
      </c>
      <c r="R3438" s="72">
        <f t="shared" si="1289"/>
        <v>0</v>
      </c>
      <c r="S3438" s="72">
        <f t="shared" si="1290"/>
        <v>0.98080834084180712</v>
      </c>
      <c r="T3438" s="72">
        <f t="shared" si="1291"/>
        <v>0.98080834084180712</v>
      </c>
      <c r="U3438" s="72">
        <f t="shared" si="1292"/>
        <v>1</v>
      </c>
    </row>
    <row r="3439" spans="1:21" x14ac:dyDescent="0.25">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0.83436542669584246</v>
      </c>
      <c r="P3439" s="72">
        <f t="shared" si="1287"/>
        <v>0.95833333333333337</v>
      </c>
      <c r="Q3439" s="72">
        <f t="shared" si="1288"/>
        <v>4.166666666666663E-2</v>
      </c>
      <c r="R3439" s="72">
        <f t="shared" si="1289"/>
        <v>0</v>
      </c>
      <c r="S3439" s="72">
        <f t="shared" si="1290"/>
        <v>0.98160638434805003</v>
      </c>
      <c r="T3439" s="72">
        <f t="shared" si="1291"/>
        <v>0.98160638434805003</v>
      </c>
      <c r="U3439" s="72">
        <f t="shared" si="1292"/>
        <v>1</v>
      </c>
    </row>
    <row r="3440" spans="1:21" x14ac:dyDescent="0.25">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0.83501094091903716</v>
      </c>
      <c r="P3440" s="72">
        <f t="shared" si="1287"/>
        <v>0.875</v>
      </c>
      <c r="Q3440" s="72">
        <f t="shared" si="1288"/>
        <v>0.125</v>
      </c>
      <c r="R3440" s="72">
        <f t="shared" si="1289"/>
        <v>0</v>
      </c>
      <c r="S3440" s="72">
        <f t="shared" si="1290"/>
        <v>0.98236581284592606</v>
      </c>
      <c r="T3440" s="72">
        <f t="shared" si="1291"/>
        <v>0.98236581284592606</v>
      </c>
      <c r="U3440" s="72">
        <f t="shared" si="1292"/>
        <v>1</v>
      </c>
    </row>
    <row r="3441" spans="1:21" x14ac:dyDescent="0.25">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0.83565645514223197</v>
      </c>
      <c r="P3441" s="72">
        <f t="shared" si="1287"/>
        <v>0.79166666666666663</v>
      </c>
      <c r="Q3441" s="72">
        <f t="shared" si="1288"/>
        <v>0.20833333333333337</v>
      </c>
      <c r="R3441" s="72">
        <f t="shared" si="1289"/>
        <v>0</v>
      </c>
      <c r="S3441" s="72">
        <f t="shared" si="1290"/>
        <v>0.9831252413438023</v>
      </c>
      <c r="T3441" s="72">
        <f t="shared" si="1291"/>
        <v>0.9831252413438023</v>
      </c>
      <c r="U3441" s="72">
        <f t="shared" si="1292"/>
        <v>1</v>
      </c>
    </row>
    <row r="3442" spans="1:21" x14ac:dyDescent="0.25">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0.83632385120350106</v>
      </c>
      <c r="P3442" s="72">
        <f t="shared" si="1287"/>
        <v>0.70833333333333337</v>
      </c>
      <c r="Q3442" s="72">
        <f t="shared" si="1288"/>
        <v>0.29166666666666663</v>
      </c>
      <c r="R3442" s="72">
        <f t="shared" si="1289"/>
        <v>0</v>
      </c>
      <c r="S3442" s="72">
        <f t="shared" si="1290"/>
        <v>0.98391041318058947</v>
      </c>
      <c r="T3442" s="72">
        <f t="shared" si="1291"/>
        <v>0.98391041318058947</v>
      </c>
      <c r="U3442" s="72">
        <f t="shared" si="1292"/>
        <v>1</v>
      </c>
    </row>
    <row r="3443" spans="1:21" x14ac:dyDescent="0.25">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0.83699124726477026</v>
      </c>
      <c r="P3443" s="72">
        <f t="shared" si="1287"/>
        <v>0.625</v>
      </c>
      <c r="Q3443" s="72">
        <f t="shared" si="1288"/>
        <v>0.375</v>
      </c>
      <c r="R3443" s="72">
        <f t="shared" si="1289"/>
        <v>0</v>
      </c>
      <c r="S3443" s="72">
        <f t="shared" si="1290"/>
        <v>0.98469558501737675</v>
      </c>
      <c r="T3443" s="72">
        <f t="shared" si="1291"/>
        <v>0.98469558501737675</v>
      </c>
      <c r="U3443" s="72">
        <f t="shared" si="1292"/>
        <v>1</v>
      </c>
    </row>
    <row r="3444" spans="1:21" x14ac:dyDescent="0.25">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0.83765864332603934</v>
      </c>
      <c r="P3444" s="72">
        <f t="shared" si="1287"/>
        <v>0.54166666666666663</v>
      </c>
      <c r="Q3444" s="72">
        <f t="shared" si="1288"/>
        <v>0.45833333333333337</v>
      </c>
      <c r="R3444" s="72">
        <f t="shared" si="1289"/>
        <v>0</v>
      </c>
      <c r="S3444" s="72">
        <f t="shared" si="1290"/>
        <v>0.98548075685416392</v>
      </c>
      <c r="T3444" s="72">
        <f t="shared" si="1291"/>
        <v>0.98548075685416392</v>
      </c>
      <c r="U3444" s="72">
        <f t="shared" si="1292"/>
        <v>1</v>
      </c>
    </row>
    <row r="3445" spans="1:21" x14ac:dyDescent="0.25">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0.83832603938730854</v>
      </c>
      <c r="P3445" s="72">
        <f t="shared" si="1287"/>
        <v>0.45833333333333331</v>
      </c>
      <c r="Q3445" s="72">
        <f t="shared" si="1288"/>
        <v>0.54166666666666674</v>
      </c>
      <c r="R3445" s="72">
        <f t="shared" si="1289"/>
        <v>0</v>
      </c>
      <c r="S3445" s="72">
        <f t="shared" si="1290"/>
        <v>0.9862659286909512</v>
      </c>
      <c r="T3445" s="72">
        <f t="shared" si="1291"/>
        <v>0.9862659286909512</v>
      </c>
      <c r="U3445" s="72">
        <f t="shared" si="1292"/>
        <v>1</v>
      </c>
    </row>
    <row r="3446" spans="1:21" x14ac:dyDescent="0.25">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0.83900437636761482</v>
      </c>
      <c r="P3446" s="72">
        <f t="shared" si="1287"/>
        <v>0.375</v>
      </c>
      <c r="Q3446" s="72">
        <f t="shared" si="1288"/>
        <v>0.625</v>
      </c>
      <c r="R3446" s="72">
        <f t="shared" si="1289"/>
        <v>0</v>
      </c>
      <c r="S3446" s="72">
        <f t="shared" si="1290"/>
        <v>0.98706397219719388</v>
      </c>
      <c r="T3446" s="72">
        <f t="shared" si="1291"/>
        <v>0.98706397219719388</v>
      </c>
      <c r="U3446" s="72">
        <f t="shared" si="1292"/>
        <v>1</v>
      </c>
    </row>
    <row r="3447" spans="1:21" x14ac:dyDescent="0.25">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0.83967177242888402</v>
      </c>
      <c r="P3447" s="72">
        <f t="shared" si="1287"/>
        <v>0.29166666666666669</v>
      </c>
      <c r="Q3447" s="72">
        <f t="shared" si="1288"/>
        <v>0.70833333333333326</v>
      </c>
      <c r="R3447" s="72">
        <f t="shared" si="1289"/>
        <v>0</v>
      </c>
      <c r="S3447" s="72">
        <f t="shared" si="1290"/>
        <v>0.98784914403398127</v>
      </c>
      <c r="T3447" s="72">
        <f t="shared" si="1291"/>
        <v>0.98784914403398127</v>
      </c>
      <c r="U3447" s="72">
        <f t="shared" si="1292"/>
        <v>1</v>
      </c>
    </row>
    <row r="3448" spans="1:21" x14ac:dyDescent="0.25">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0.84033916849015311</v>
      </c>
      <c r="P3448" s="72">
        <f t="shared" si="1287"/>
        <v>0.20833333333333334</v>
      </c>
      <c r="Q3448" s="72">
        <f t="shared" si="1288"/>
        <v>0.79166666666666663</v>
      </c>
      <c r="R3448" s="72">
        <f t="shared" si="1289"/>
        <v>0</v>
      </c>
      <c r="S3448" s="72">
        <f t="shared" si="1290"/>
        <v>0.98863431587076844</v>
      </c>
      <c r="T3448" s="72">
        <f t="shared" si="1291"/>
        <v>0.98863431587076844</v>
      </c>
      <c r="U3448" s="72">
        <f t="shared" si="1292"/>
        <v>1</v>
      </c>
    </row>
    <row r="3449" spans="1:21" x14ac:dyDescent="0.25">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0.84100656455142231</v>
      </c>
      <c r="P3449" s="72">
        <f t="shared" si="1287"/>
        <v>0.125</v>
      </c>
      <c r="Q3449" s="72">
        <f t="shared" si="1288"/>
        <v>0.875</v>
      </c>
      <c r="R3449" s="72">
        <f t="shared" si="1289"/>
        <v>0</v>
      </c>
      <c r="S3449" s="72">
        <f t="shared" si="1290"/>
        <v>0.98941948770755572</v>
      </c>
      <c r="T3449" s="72">
        <f t="shared" si="1291"/>
        <v>0.98941948770755572</v>
      </c>
      <c r="U3449" s="72">
        <f t="shared" si="1292"/>
        <v>1</v>
      </c>
    </row>
    <row r="3450" spans="1:21" x14ac:dyDescent="0.25">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0.8416739606126914</v>
      </c>
      <c r="P3450" s="72">
        <f t="shared" si="1287"/>
        <v>4.1666666666666664E-2</v>
      </c>
      <c r="Q3450" s="72">
        <f t="shared" si="1288"/>
        <v>0.95833333333333337</v>
      </c>
      <c r="R3450" s="72">
        <f t="shared" si="1289"/>
        <v>0</v>
      </c>
      <c r="S3450" s="72">
        <f t="shared" si="1290"/>
        <v>0.99020465954434289</v>
      </c>
      <c r="T3450" s="72">
        <f t="shared" si="1291"/>
        <v>0.99020465954434289</v>
      </c>
      <c r="U3450" s="72">
        <f t="shared" si="1292"/>
        <v>1</v>
      </c>
    </row>
    <row r="3451" spans="1:21" x14ac:dyDescent="0.25">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0.84235229759299779</v>
      </c>
      <c r="P3451" s="72">
        <f t="shared" si="1287"/>
        <v>0</v>
      </c>
      <c r="Q3451" s="72">
        <f t="shared" si="1288"/>
        <v>0.95833333333333337</v>
      </c>
      <c r="R3451" s="72">
        <f t="shared" si="1289"/>
        <v>4.166666666666663E-2</v>
      </c>
      <c r="S3451" s="72">
        <f t="shared" si="1290"/>
        <v>0.99100270305058569</v>
      </c>
      <c r="T3451" s="72">
        <f t="shared" si="1291"/>
        <v>0.98160638434805003</v>
      </c>
      <c r="U3451" s="72">
        <f t="shared" si="1292"/>
        <v>1</v>
      </c>
    </row>
    <row r="3452" spans="1:21" x14ac:dyDescent="0.25">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0.84299781181619249</v>
      </c>
      <c r="P3452" s="72">
        <f t="shared" si="1287"/>
        <v>0</v>
      </c>
      <c r="Q3452" s="72">
        <f t="shared" si="1288"/>
        <v>0.875</v>
      </c>
      <c r="R3452" s="72">
        <f t="shared" si="1289"/>
        <v>0.125</v>
      </c>
      <c r="S3452" s="72">
        <f t="shared" si="1290"/>
        <v>0.99176213154846182</v>
      </c>
      <c r="T3452" s="72">
        <f t="shared" si="1291"/>
        <v>0.98236581284592606</v>
      </c>
      <c r="U3452" s="72">
        <f t="shared" si="1292"/>
        <v>1</v>
      </c>
    </row>
    <row r="3453" spans="1:21" x14ac:dyDescent="0.25">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0.8436433260393873</v>
      </c>
      <c r="P3453" s="72">
        <f t="shared" si="1287"/>
        <v>0</v>
      </c>
      <c r="Q3453" s="72">
        <f t="shared" si="1288"/>
        <v>0.79166666666666663</v>
      </c>
      <c r="R3453" s="72">
        <f t="shared" si="1289"/>
        <v>0.20833333333333337</v>
      </c>
      <c r="S3453" s="72">
        <f t="shared" si="1290"/>
        <v>0.99252156004633807</v>
      </c>
      <c r="T3453" s="72">
        <f t="shared" si="1291"/>
        <v>0.9831252413438023</v>
      </c>
      <c r="U3453" s="72">
        <f t="shared" si="1292"/>
        <v>1</v>
      </c>
    </row>
    <row r="3454" spans="1:21" x14ac:dyDescent="0.25">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0.84431072210065639</v>
      </c>
      <c r="P3454" s="72">
        <f t="shared" si="1287"/>
        <v>0</v>
      </c>
      <c r="Q3454" s="72">
        <f t="shared" si="1288"/>
        <v>0.70833333333333337</v>
      </c>
      <c r="R3454" s="72">
        <f t="shared" si="1289"/>
        <v>0.29166666666666663</v>
      </c>
      <c r="S3454" s="72">
        <f t="shared" si="1290"/>
        <v>0.99330673188312524</v>
      </c>
      <c r="T3454" s="72">
        <f t="shared" si="1291"/>
        <v>0.98391041318058947</v>
      </c>
      <c r="U3454" s="72">
        <f t="shared" si="1292"/>
        <v>1</v>
      </c>
    </row>
    <row r="3455" spans="1:21" x14ac:dyDescent="0.25">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0.84497811816192558</v>
      </c>
      <c r="P3455" s="72">
        <f t="shared" si="1287"/>
        <v>0</v>
      </c>
      <c r="Q3455" s="72">
        <f t="shared" si="1288"/>
        <v>0.625</v>
      </c>
      <c r="R3455" s="72">
        <f t="shared" si="1289"/>
        <v>0.375</v>
      </c>
      <c r="S3455" s="72">
        <f t="shared" si="1290"/>
        <v>0.99409190371991252</v>
      </c>
      <c r="T3455" s="72">
        <f t="shared" si="1291"/>
        <v>0.98469558501737675</v>
      </c>
      <c r="U3455" s="72">
        <f t="shared" si="1292"/>
        <v>1</v>
      </c>
    </row>
    <row r="3456" spans="1:21" x14ac:dyDescent="0.25">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0.84564551422319467</v>
      </c>
      <c r="P3456" s="72">
        <f t="shared" si="1287"/>
        <v>0</v>
      </c>
      <c r="Q3456" s="72">
        <f t="shared" si="1288"/>
        <v>0.54166666666666663</v>
      </c>
      <c r="R3456" s="72">
        <f t="shared" si="1289"/>
        <v>0.45833333333333337</v>
      </c>
      <c r="S3456" s="72">
        <f t="shared" si="1290"/>
        <v>0.99487707555669969</v>
      </c>
      <c r="T3456" s="72">
        <f t="shared" si="1291"/>
        <v>0.98548075685416392</v>
      </c>
      <c r="U3456" s="72">
        <f t="shared" si="1292"/>
        <v>1</v>
      </c>
    </row>
    <row r="3457" spans="1:21" x14ac:dyDescent="0.25">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0.84631291028446387</v>
      </c>
      <c r="P3457" s="72">
        <f t="shared" si="1287"/>
        <v>0</v>
      </c>
      <c r="Q3457" s="72">
        <f t="shared" si="1288"/>
        <v>0.45833333333333331</v>
      </c>
      <c r="R3457" s="72">
        <f t="shared" si="1289"/>
        <v>0.54166666666666674</v>
      </c>
      <c r="S3457" s="72">
        <f t="shared" si="1290"/>
        <v>0.99566224739348697</v>
      </c>
      <c r="T3457" s="72">
        <f t="shared" si="1291"/>
        <v>0.9862659286909512</v>
      </c>
      <c r="U3457" s="72">
        <f t="shared" si="1292"/>
        <v>1</v>
      </c>
    </row>
    <row r="3458" spans="1:21" x14ac:dyDescent="0.25">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0.84699124726477026</v>
      </c>
      <c r="P3458" s="72">
        <f t="shared" si="1287"/>
        <v>0</v>
      </c>
      <c r="Q3458" s="72">
        <f t="shared" si="1288"/>
        <v>0.375</v>
      </c>
      <c r="R3458" s="72">
        <f t="shared" si="1289"/>
        <v>0.625</v>
      </c>
      <c r="S3458" s="72">
        <f t="shared" si="1290"/>
        <v>0.99646029089972976</v>
      </c>
      <c r="T3458" s="72">
        <f t="shared" si="1291"/>
        <v>0.98706397219719388</v>
      </c>
      <c r="U3458" s="72">
        <f t="shared" si="1292"/>
        <v>1</v>
      </c>
    </row>
    <row r="3459" spans="1:21" x14ac:dyDescent="0.25">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0.84765864332603935</v>
      </c>
      <c r="P3459" s="72">
        <f t="shared" si="1287"/>
        <v>0</v>
      </c>
      <c r="Q3459" s="72">
        <f t="shared" si="1288"/>
        <v>0.29166666666666669</v>
      </c>
      <c r="R3459" s="72">
        <f t="shared" si="1289"/>
        <v>0.70833333333333326</v>
      </c>
      <c r="S3459" s="72">
        <f t="shared" si="1290"/>
        <v>0.99724546273651693</v>
      </c>
      <c r="T3459" s="72">
        <f t="shared" si="1291"/>
        <v>0.98784914403398127</v>
      </c>
      <c r="U3459" s="72">
        <f t="shared" si="1292"/>
        <v>1</v>
      </c>
    </row>
    <row r="3460" spans="1:21" x14ac:dyDescent="0.25">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0.84832603938730855</v>
      </c>
      <c r="P3460" s="72">
        <f t="shared" si="1287"/>
        <v>0</v>
      </c>
      <c r="Q3460" s="72">
        <f t="shared" si="1288"/>
        <v>0.20833333333333334</v>
      </c>
      <c r="R3460" s="72">
        <f t="shared" si="1289"/>
        <v>0.79166666666666663</v>
      </c>
      <c r="S3460" s="72">
        <f t="shared" si="1290"/>
        <v>0.99803063457330421</v>
      </c>
      <c r="T3460" s="72">
        <f t="shared" si="1291"/>
        <v>0.98863431587076844</v>
      </c>
      <c r="U3460" s="72">
        <f t="shared" si="1292"/>
        <v>1</v>
      </c>
    </row>
    <row r="3461" spans="1:21" x14ac:dyDescent="0.25">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0.84899343544857764</v>
      </c>
      <c r="P3461" s="72">
        <f t="shared" si="1287"/>
        <v>0</v>
      </c>
      <c r="Q3461" s="72">
        <f t="shared" si="1288"/>
        <v>0.125</v>
      </c>
      <c r="R3461" s="72">
        <f t="shared" si="1289"/>
        <v>0.875</v>
      </c>
      <c r="S3461" s="72">
        <f t="shared" si="1290"/>
        <v>0.99881580641009138</v>
      </c>
      <c r="T3461" s="72">
        <f t="shared" si="1291"/>
        <v>0.98941948770755572</v>
      </c>
      <c r="U3461" s="72">
        <f t="shared" si="1292"/>
        <v>1</v>
      </c>
    </row>
    <row r="3462" spans="1:21" x14ac:dyDescent="0.25">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0.84966083150984684</v>
      </c>
      <c r="P3462" s="72">
        <f t="shared" si="1287"/>
        <v>0</v>
      </c>
      <c r="Q3462" s="72">
        <f t="shared" si="1288"/>
        <v>4.1666666666666664E-2</v>
      </c>
      <c r="R3462" s="72">
        <f t="shared" si="1289"/>
        <v>0.95833333333333337</v>
      </c>
      <c r="S3462" s="72">
        <f t="shared" si="1290"/>
        <v>0.99960097824687866</v>
      </c>
      <c r="T3462" s="72">
        <f t="shared" si="1291"/>
        <v>0.99020465954434289</v>
      </c>
      <c r="U3462" s="72">
        <f t="shared" si="1292"/>
        <v>1</v>
      </c>
    </row>
    <row r="3463" spans="1:21" x14ac:dyDescent="0.25">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0.85</v>
      </c>
      <c r="P3463" s="72">
        <f t="shared" si="1287"/>
        <v>0</v>
      </c>
      <c r="Q3463" s="72">
        <f t="shared" si="1288"/>
        <v>0</v>
      </c>
      <c r="R3463" s="72">
        <f t="shared" si="1289"/>
        <v>0.95833333333333337</v>
      </c>
      <c r="S3463" s="72">
        <f t="shared" si="1290"/>
        <v>1</v>
      </c>
      <c r="T3463" s="72">
        <f t="shared" si="1291"/>
        <v>0.98160638434805003</v>
      </c>
      <c r="U3463" s="72">
        <f t="shared" si="1292"/>
        <v>1</v>
      </c>
    </row>
    <row r="3464" spans="1:21" x14ac:dyDescent="0.25">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0.85</v>
      </c>
      <c r="P3464" s="72">
        <f t="shared" si="1287"/>
        <v>0</v>
      </c>
      <c r="Q3464" s="72">
        <f t="shared" si="1288"/>
        <v>0</v>
      </c>
      <c r="R3464" s="72">
        <f t="shared" si="1289"/>
        <v>0.875</v>
      </c>
      <c r="S3464" s="72">
        <f t="shared" si="1290"/>
        <v>1</v>
      </c>
      <c r="T3464" s="72">
        <f t="shared" si="1291"/>
        <v>0.98236581284592606</v>
      </c>
      <c r="U3464" s="72">
        <f t="shared" si="1292"/>
        <v>1</v>
      </c>
    </row>
    <row r="3465" spans="1:21" x14ac:dyDescent="0.25">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0.85</v>
      </c>
      <c r="P3465" s="72">
        <f t="shared" si="1287"/>
        <v>0</v>
      </c>
      <c r="Q3465" s="72">
        <f t="shared" si="1288"/>
        <v>0</v>
      </c>
      <c r="R3465" s="72">
        <f t="shared" si="1289"/>
        <v>0.79166666666666663</v>
      </c>
      <c r="S3465" s="72">
        <f t="shared" si="1290"/>
        <v>1</v>
      </c>
      <c r="T3465" s="72">
        <f t="shared" si="1291"/>
        <v>0.9831252413438023</v>
      </c>
      <c r="U3465" s="72">
        <f t="shared" si="1292"/>
        <v>1</v>
      </c>
    </row>
    <row r="3466" spans="1:21" x14ac:dyDescent="0.25">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0.85</v>
      </c>
      <c r="P3466" s="72">
        <f t="shared" si="1287"/>
        <v>0</v>
      </c>
      <c r="Q3466" s="72">
        <f t="shared" si="1288"/>
        <v>0</v>
      </c>
      <c r="R3466" s="72">
        <f t="shared" si="1289"/>
        <v>0.70833333333333337</v>
      </c>
      <c r="S3466" s="72">
        <f t="shared" si="1290"/>
        <v>1</v>
      </c>
      <c r="T3466" s="72">
        <f t="shared" si="1291"/>
        <v>0.98391041318058947</v>
      </c>
      <c r="U3466" s="72">
        <f t="shared" si="1292"/>
        <v>1</v>
      </c>
    </row>
    <row r="3467" spans="1:21" x14ac:dyDescent="0.25">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0.85</v>
      </c>
      <c r="P3467" s="72">
        <f t="shared" si="1287"/>
        <v>0</v>
      </c>
      <c r="Q3467" s="72">
        <f t="shared" si="1288"/>
        <v>0</v>
      </c>
      <c r="R3467" s="72">
        <f t="shared" si="1289"/>
        <v>0.625</v>
      </c>
      <c r="S3467" s="72">
        <f t="shared" si="1290"/>
        <v>1</v>
      </c>
      <c r="T3467" s="72">
        <f t="shared" si="1291"/>
        <v>0.98469558501737675</v>
      </c>
      <c r="U3467" s="72">
        <f t="shared" si="1292"/>
        <v>1</v>
      </c>
    </row>
    <row r="3468" spans="1:21" x14ac:dyDescent="0.25">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0.85</v>
      </c>
      <c r="P3468" s="72">
        <f t="shared" si="1287"/>
        <v>0</v>
      </c>
      <c r="Q3468" s="72">
        <f t="shared" si="1288"/>
        <v>0</v>
      </c>
      <c r="R3468" s="72">
        <f t="shared" si="1289"/>
        <v>0.54166666666666663</v>
      </c>
      <c r="S3468" s="72">
        <f t="shared" si="1290"/>
        <v>1</v>
      </c>
      <c r="T3468" s="72">
        <f t="shared" si="1291"/>
        <v>0.98548075685416392</v>
      </c>
      <c r="U3468" s="72">
        <f t="shared" si="1292"/>
        <v>1</v>
      </c>
    </row>
    <row r="3469" spans="1:21" x14ac:dyDescent="0.25">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0.85</v>
      </c>
      <c r="P3469" s="72">
        <f t="shared" si="1287"/>
        <v>0</v>
      </c>
      <c r="Q3469" s="72">
        <f t="shared" si="1288"/>
        <v>0</v>
      </c>
      <c r="R3469" s="72">
        <f t="shared" si="1289"/>
        <v>0.45833333333333331</v>
      </c>
      <c r="S3469" s="72">
        <f t="shared" si="1290"/>
        <v>1</v>
      </c>
      <c r="T3469" s="72">
        <f t="shared" si="1291"/>
        <v>0.9862659286909512</v>
      </c>
      <c r="U3469" s="72">
        <f t="shared" si="1292"/>
        <v>1</v>
      </c>
    </row>
    <row r="3470" spans="1:21" x14ac:dyDescent="0.25">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0.85</v>
      </c>
      <c r="P3470" s="72">
        <f t="shared" si="1287"/>
        <v>0</v>
      </c>
      <c r="Q3470" s="72">
        <f t="shared" si="1288"/>
        <v>0</v>
      </c>
      <c r="R3470" s="72">
        <f t="shared" si="1289"/>
        <v>0.375</v>
      </c>
      <c r="S3470" s="72">
        <f t="shared" si="1290"/>
        <v>1</v>
      </c>
      <c r="T3470" s="72">
        <f t="shared" si="1291"/>
        <v>0.98706397219719388</v>
      </c>
      <c r="U3470" s="72">
        <f t="shared" si="1292"/>
        <v>1</v>
      </c>
    </row>
    <row r="3471" spans="1:21" x14ac:dyDescent="0.25">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0.85</v>
      </c>
      <c r="P3471" s="72">
        <f t="shared" si="1287"/>
        <v>0</v>
      </c>
      <c r="Q3471" s="72">
        <f t="shared" si="1288"/>
        <v>0</v>
      </c>
      <c r="R3471" s="72">
        <f t="shared" si="1289"/>
        <v>0.29166666666666669</v>
      </c>
      <c r="S3471" s="72">
        <f t="shared" si="1290"/>
        <v>1</v>
      </c>
      <c r="T3471" s="72">
        <f t="shared" si="1291"/>
        <v>0.98784914403398127</v>
      </c>
      <c r="U3471" s="72">
        <f t="shared" si="1292"/>
        <v>1</v>
      </c>
    </row>
    <row r="3472" spans="1:21" x14ac:dyDescent="0.25">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0.85</v>
      </c>
      <c r="P3472" s="72">
        <f t="shared" si="1287"/>
        <v>0</v>
      </c>
      <c r="Q3472" s="72">
        <f t="shared" si="1288"/>
        <v>0</v>
      </c>
      <c r="R3472" s="72">
        <f t="shared" si="1289"/>
        <v>0.20833333333333334</v>
      </c>
      <c r="S3472" s="72">
        <f t="shared" si="1290"/>
        <v>1</v>
      </c>
      <c r="T3472" s="72">
        <f t="shared" si="1291"/>
        <v>0.98863431587076844</v>
      </c>
      <c r="U3472" s="72">
        <f t="shared" si="1292"/>
        <v>1</v>
      </c>
    </row>
    <row r="3473" spans="1:21" x14ac:dyDescent="0.25">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0.85</v>
      </c>
      <c r="P3473" s="72">
        <f t="shared" si="1287"/>
        <v>0</v>
      </c>
      <c r="Q3473" s="72">
        <f t="shared" si="1288"/>
        <v>0</v>
      </c>
      <c r="R3473" s="72">
        <f t="shared" si="1289"/>
        <v>0.125</v>
      </c>
      <c r="S3473" s="72">
        <f t="shared" si="1290"/>
        <v>1</v>
      </c>
      <c r="T3473" s="72">
        <f t="shared" si="1291"/>
        <v>0.98941948770755572</v>
      </c>
      <c r="U3473" s="72">
        <f t="shared" si="1292"/>
        <v>1</v>
      </c>
    </row>
    <row r="3474" spans="1:21" x14ac:dyDescent="0.25">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0.85</v>
      </c>
      <c r="P3474" s="72">
        <f t="shared" si="1287"/>
        <v>0</v>
      </c>
      <c r="Q3474" s="72">
        <f t="shared" si="1288"/>
        <v>0</v>
      </c>
      <c r="R3474" s="72">
        <f t="shared" si="1289"/>
        <v>4.1666666666666664E-2</v>
      </c>
      <c r="S3474" s="72">
        <f t="shared" si="1290"/>
        <v>1</v>
      </c>
      <c r="T3474" s="72">
        <f t="shared" si="1291"/>
        <v>0.99020465954434289</v>
      </c>
      <c r="U3474" s="72">
        <f t="shared" si="1292"/>
        <v>1</v>
      </c>
    </row>
    <row r="3475" spans="1:21" x14ac:dyDescent="0.25">
      <c r="A3475" s="77" t="s">
        <v>1209</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0.84199580598103541</v>
      </c>
      <c r="G3475" s="169">
        <f>SUMPRODUCT($H$3427:$H$3474,$R$3427:$R$3474,$O$3427:$O$3474)/SUMPRODUCT($H$3427:$H$3474,$R$3427:$R$3474)</f>
        <v>0.84865635637004611</v>
      </c>
    </row>
    <row r="3478" spans="1:21" x14ac:dyDescent="0.25">
      <c r="A3478" s="77" t="str">
        <f>INDEX(lr_key,64)</f>
        <v/>
      </c>
      <c r="B3478" s="77">
        <f>INDEX(lr_state,64)</f>
        <v>0</v>
      </c>
      <c r="C3478" s="52">
        <f>nr_TermMonths</f>
        <v>12</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25">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25">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25">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25">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25">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25">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25">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25">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25">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25">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25">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25">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25">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25">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25">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25">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25">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25">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25">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25">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25">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25">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25">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25">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25">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25">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25">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25">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25">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25">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25">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25">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25">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25">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25">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25">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25">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25">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25">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25">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25">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25">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25">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25">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25">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25">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25">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25">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25">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25">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25">
      <c r="A3529" s="77" t="s">
        <v>1209</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25">
      <c r="A3532" s="77" t="str">
        <f>INDEX(lr_key,65)</f>
        <v/>
      </c>
      <c r="B3532" s="77">
        <f>INDEX(lr_state,65)</f>
        <v>0</v>
      </c>
      <c r="C3532" s="52">
        <f>nr_TermMonths</f>
        <v>12</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25">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25">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25">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25">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25">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25">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25">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25">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25">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25">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25">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25">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25">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25">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25">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25">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25">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25">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25">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25">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25">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25">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25">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25">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25">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25">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25">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25">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25">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25">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25">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25">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25">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25">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25">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25">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25">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25">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25">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25">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25">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25">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25">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25">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25">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25">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25">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25">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25">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25">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25">
      <c r="A3583" s="77" t="s">
        <v>1209</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25">
      <c r="A3586" s="77" t="str">
        <f>INDEX(lr_key,66)</f>
        <v/>
      </c>
      <c r="B3586" s="77">
        <f>INDEX(lr_state,66)</f>
        <v>0</v>
      </c>
      <c r="C3586" s="52">
        <f>nr_TermMonths</f>
        <v>12</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25">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25">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25">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25">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25">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25">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25">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25">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25">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25">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25">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25">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25">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25">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25">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25">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25">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25">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25">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25">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25">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25">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25">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25">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25">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25">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25">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25">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25">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25">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25">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25">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25">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25">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25">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25">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25">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25">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25">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25">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25">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25">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25">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25">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25">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25">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25">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25">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25">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25">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25">
      <c r="A3637" s="77" t="s">
        <v>1209</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25">
      <c r="A3640" s="77" t="str">
        <f>INDEX(lr_key,67)</f>
        <v/>
      </c>
      <c r="B3640" s="77">
        <f>INDEX(lr_state,67)</f>
        <v>0</v>
      </c>
      <c r="C3640" s="52">
        <f>nr_TermMonths</f>
        <v>12</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25">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25">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25">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25">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25">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25">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25">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25">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25">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25">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25">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25">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25">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25">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25">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25">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25">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25">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25">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25">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25">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25">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25">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25">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25">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25">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25">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25">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25">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25">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25">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25">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25">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25">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25">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25">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25">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25">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25">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25">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25">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25">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25">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25">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25">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25">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25">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25">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25">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25">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25">
      <c r="A3691" s="77" t="s">
        <v>1209</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25">
      <c r="A3694" s="77" t="str">
        <f>INDEX(lr_key,68)</f>
        <v/>
      </c>
      <c r="B3694" s="77">
        <f>INDEX(lr_state,68)</f>
        <v>0</v>
      </c>
      <c r="C3694" s="52">
        <f>nr_TermMonths</f>
        <v>12</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25">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25">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25">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25">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25">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25">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25">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25">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25">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25">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25">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25">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25">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25">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25">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25">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25">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25">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25">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25">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25">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25">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25">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25">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25">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25">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25">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25">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25">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25">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25">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25">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25">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25">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25">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25">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25">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25">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25">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25">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25">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25">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25">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25">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25">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25">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25">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25">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25">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25">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25">
      <c r="A3745" s="77" t="s">
        <v>1209</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25">
      <c r="A3748" s="77" t="str">
        <f>INDEX(lr_key,69)</f>
        <v/>
      </c>
      <c r="B3748" s="77">
        <f>INDEX(lr_state,69)</f>
        <v>0</v>
      </c>
      <c r="C3748" s="52">
        <f>nr_TermMonths</f>
        <v>12</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25">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25">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25">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25">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25">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25">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25">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25">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25">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25">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25">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25">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25">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25">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25">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25">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25">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25">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25">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25">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25">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25">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25">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25">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25">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25">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25">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25">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25">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25">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25">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25">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25">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25">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25">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25">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25">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25">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25">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25">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25">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25">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25">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25">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25">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25">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25">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25">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25">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25">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25">
      <c r="A3799" s="77" t="s">
        <v>1209</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25">
      <c r="A3804" s="184" t="s">
        <v>1210</v>
      </c>
    </row>
    <row r="3805" spans="1:39" x14ac:dyDescent="0.25">
      <c r="A3805" s="105" t="s">
        <v>1211</v>
      </c>
      <c r="B3805" s="105" t="s">
        <v>1212</v>
      </c>
      <c r="C3805" s="105" t="s">
        <v>1213</v>
      </c>
      <c r="D3805" s="105" t="s">
        <v>1214</v>
      </c>
      <c r="E3805" s="105" t="s">
        <v>1215</v>
      </c>
      <c r="F3805" s="105" t="s">
        <v>1216</v>
      </c>
      <c r="G3805" s="105" t="s">
        <v>1217</v>
      </c>
      <c r="H3805" s="105" t="s">
        <v>1218</v>
      </c>
      <c r="I3805" s="105" t="s">
        <v>1219</v>
      </c>
      <c r="K3805" s="105" t="s">
        <v>1220</v>
      </c>
      <c r="L3805" s="105" t="s">
        <v>1221</v>
      </c>
      <c r="M3805" s="105" t="s">
        <v>1222</v>
      </c>
      <c r="N3805" s="105" t="s">
        <v>1223</v>
      </c>
      <c r="O3805" s="105" t="s">
        <v>1224</v>
      </c>
      <c r="P3805" s="105" t="s">
        <v>1225</v>
      </c>
      <c r="Q3805" s="105" t="s">
        <v>1226</v>
      </c>
      <c r="R3805" s="105" t="s">
        <v>1227</v>
      </c>
      <c r="S3805" s="105" t="s">
        <v>1228</v>
      </c>
      <c r="U3805" s="105" t="s">
        <v>1229</v>
      </c>
      <c r="V3805" s="105" t="s">
        <v>1230</v>
      </c>
      <c r="W3805" s="105" t="s">
        <v>1231</v>
      </c>
      <c r="X3805" s="105" t="s">
        <v>1232</v>
      </c>
      <c r="Y3805" s="105" t="s">
        <v>1233</v>
      </c>
      <c r="Z3805" s="105" t="s">
        <v>1234</v>
      </c>
      <c r="AA3805" s="105" t="s">
        <v>1235</v>
      </c>
      <c r="AB3805" s="105" t="s">
        <v>1236</v>
      </c>
      <c r="AC3805" s="105" t="s">
        <v>1237</v>
      </c>
      <c r="AE3805" s="105" t="s">
        <v>1238</v>
      </c>
      <c r="AF3805" s="105" t="s">
        <v>1239</v>
      </c>
      <c r="AG3805" s="105" t="s">
        <v>1240</v>
      </c>
      <c r="AH3805" s="105" t="s">
        <v>1241</v>
      </c>
      <c r="AI3805" s="105" t="s">
        <v>1242</v>
      </c>
      <c r="AJ3805" s="105" t="s">
        <v>1243</v>
      </c>
      <c r="AK3805" s="105" t="s">
        <v>1244</v>
      </c>
      <c r="AL3805" s="105" t="s">
        <v>1245</v>
      </c>
      <c r="AM3805" s="105" t="s">
        <v>1246</v>
      </c>
    </row>
    <row r="3806" spans="1:39" x14ac:dyDescent="0.25">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25">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25">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25">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25">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25">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25">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25">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25">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25">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25">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25">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25">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25">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25">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25">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25">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25">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25">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25">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25">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25">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25">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25">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25">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25">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25">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25">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25">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25">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25">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25">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25">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25">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25">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25">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25">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25">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25">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25">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25">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25">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25">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25">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25">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25">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25">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25">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25">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25">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25">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25">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25">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25">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25">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25">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25">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25">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25">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25">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25">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25">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25">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25">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25">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25">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25">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25">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25">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25">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25">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25">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25">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25">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25">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25">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25">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25">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25">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25">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25">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25">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25">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25">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25">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25">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25">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25">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25">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25">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25">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25">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25">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25">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25">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25">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25">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25">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25">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25">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25">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25">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25">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25">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25">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25">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25">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25">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25">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25">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25">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25">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25">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25">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25">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25">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25">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25">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25">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25">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25">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25">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25">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25">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25">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25">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25">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25">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25">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25">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25">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25">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25">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25">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25">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25">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25">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25">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25">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25">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25">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25">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25">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25">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25">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25">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25">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25">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25">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25">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25">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25">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25">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25">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25">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25">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25">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25">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25">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25">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25">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25">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25">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25">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25">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25">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25">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25">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25">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25">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25">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25">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25">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25">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25">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25">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25">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25">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25">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25">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25">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25">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25">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25">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25">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25">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25">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25">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25">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25">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25">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25">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25">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25">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25">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25">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25">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25">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25">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25">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25">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25">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25">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25">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25">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25">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25">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25">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25">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25">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25">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25">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25">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25">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25">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25">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25">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25">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25">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25">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25">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25">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25">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25">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25">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25">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25">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25">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25">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25">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25">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25">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25">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25">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25">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25">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25">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25">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25">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25">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25">
      <c r="A4048" s="184" t="s">
        <v>1247</v>
      </c>
    </row>
    <row r="4049" spans="1:21" x14ac:dyDescent="0.25">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25">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25">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25">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25">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25">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25">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25">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25">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25">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25">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25">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25">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25">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25">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25">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25">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25">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25">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25">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25">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25">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25">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25">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25">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25">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25">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25">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25">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25">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25">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25">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25">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25">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25">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25">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25">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25">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25">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25">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25">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25">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25">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25">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25">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25">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25">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25">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25">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25">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25">
      <c r="A4099" s="77" t="s">
        <v>1248</v>
      </c>
      <c r="B4099" s="50">
        <f>SUMPRODUCT($H$4051:$H$4098,$Q$4051:$Q$4098,$U$4051:$U$4098)/SUMPRODUCT($H$4051:$H$4098,$Q$4051:$Q$4098)</f>
        <v>1.1101025000000002</v>
      </c>
      <c r="C4099" s="50">
        <f>SUMPRODUCT($H$4051:$H$4098,$R$4051:$R$4098,$U$4051:$U$4098)/SUMPRODUCT($H$4051:$H$4098,$R$4051:$R$4098)</f>
        <v>1.1557975</v>
      </c>
      <c r="D4099" s="169">
        <f>SUMPRODUCT($H$4051:$H$4098,$Q$4051:$Q$4098,$O$4051:$O$4098)/SUMPRODUCT($H$4051:$H$4098,$Q$4051:$Q$4098)</f>
        <v>0.8659874179431073</v>
      </c>
    </row>
    <row r="4102" spans="1:21" x14ac:dyDescent="0.25">
      <c r="A4102" s="184" t="s">
        <v>1249</v>
      </c>
    </row>
    <row r="4103" spans="1:21" x14ac:dyDescent="0.25">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25">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25">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25">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25">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25">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25">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25">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25">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25">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25">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25">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25">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25">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25">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25">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25">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25">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25">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25">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25">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25">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25">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25">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25">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25">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25">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25">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25">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25">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25">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25">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25">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25">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25">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25">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25">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25">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25">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25">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25">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25">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25">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25">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25">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25">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25">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25">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25">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25">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25">
      <c r="A4153" s="77" t="s">
        <v>1250</v>
      </c>
      <c r="B4153" s="50">
        <f>SUMPRODUCT($H$4105:$H$4152,$Q$4105:$Q$4152,$U$4105:$U$4152)/SUMPRODUCT($H$4105:$H$4152,$Q$4105:$Q$4152)</f>
        <v>1.1101025000000002</v>
      </c>
      <c r="C4153" s="50">
        <f>SUMPRODUCT($H$4105:$H$4152,$R$4105:$R$4152,$U$4105:$U$4152)/SUMPRODUCT($H$4105:$H$4152,$R$4105:$R$4152)</f>
        <v>1.1557975</v>
      </c>
      <c r="D4153" s="169">
        <f>SUMPRODUCT($H$4105:$H$4152,$Q$4105:$Q$4152,$O$4105:$O$4152)/SUMPRODUCT($H$4105:$H$4152,$Q$4105:$Q$4152)</f>
        <v>0.8659874179431073</v>
      </c>
    </row>
    <row r="4156" spans="1:21" x14ac:dyDescent="0.25">
      <c r="A4156" s="184" t="s">
        <v>1251</v>
      </c>
    </row>
    <row r="4157" spans="1:21" x14ac:dyDescent="0.25">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25">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25">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25">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25">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25">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25">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25">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25">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25">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25">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25">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25">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25">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25">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25">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25">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25">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25">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25">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25">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25">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25">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25">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25">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25">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25">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25">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25">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25">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25">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25">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25">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25">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25">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25">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25">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25">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25">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25">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25">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25">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25">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25">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25">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25">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25">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25">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25">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25">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25">
      <c r="A4207" s="77" t="s">
        <v>1252</v>
      </c>
      <c r="B4207" s="50">
        <f>SUMPRODUCT($H$4159:$H$4206,$Q$4159:$Q$4206,$U$4159:$U$4206)/SUMPRODUCT($H$4159:$H$4206,$Q$4159:$Q$4206)</f>
        <v>1.1101025000000002</v>
      </c>
      <c r="C4207" s="50">
        <f>SUMPRODUCT($H$4159:$H$4206,$R$4159:$R$4206,$U$4159:$U$4206)/SUMPRODUCT($H$4159:$H$4206,$R$4159:$R$4206)</f>
        <v>1.1557975</v>
      </c>
      <c r="D4207" s="169">
        <f>SUMPRODUCT($H$4159:$H$4206,$Q$4159:$Q$4206,$O$4159:$O$4206)/SUMPRODUCT($H$4159:$H$4206,$Q$4159:$Q$4206)</f>
        <v>0.8659874179431073</v>
      </c>
    </row>
    <row r="4210" spans="1:21" x14ac:dyDescent="0.25">
      <c r="A4210" s="184" t="s">
        <v>1253</v>
      </c>
    </row>
    <row r="4211" spans="1:21" x14ac:dyDescent="0.25">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25">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25">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25">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25">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25">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25">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25">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25">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25">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25">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25">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25">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25">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25">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25">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25">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25">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25">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25">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25">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25">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25">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25">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25">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25">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25">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25">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25">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25">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25">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25">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25">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25">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25">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25">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25">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25">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25">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25">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25">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25">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25">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25">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25">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25">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25">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25">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25">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25">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25">
      <c r="A4261" s="77" t="s">
        <v>1254</v>
      </c>
      <c r="B4261" s="50">
        <f>SUMPRODUCT($H$4213:$H$4260,$Q$4213:$Q$4260,$U$4213:$U$4260)/SUMPRODUCT($H$4213:$H$4260,$Q$4213:$Q$4260)</f>
        <v>1.1101025000000002</v>
      </c>
      <c r="C4261" s="50">
        <f>SUMPRODUCT($H$4213:$H$4260,$R$4213:$R$4260,$U$4213:$U$4260)/SUMPRODUCT($H$4213:$H$4260,$R$4213:$R$4260)</f>
        <v>1.1557975</v>
      </c>
      <c r="D4261" s="169">
        <f>SUMPRODUCT($H$4213:$H$4260,$Q$4213:$Q$4260,$O$4213:$O$4260)/SUMPRODUCT($H$4213:$H$4260,$Q$4213:$Q$4260)</f>
        <v>0.8659874179431073</v>
      </c>
    </row>
    <row r="4266" spans="1:21" x14ac:dyDescent="0.25">
      <c r="A4266" s="184" t="s">
        <v>1255</v>
      </c>
    </row>
    <row r="4267" spans="1:21" x14ac:dyDescent="0.25">
      <c r="A4267" s="105" t="s">
        <v>1256</v>
      </c>
      <c r="B4267" s="105" t="s">
        <v>1257</v>
      </c>
      <c r="C4267" s="105" t="s">
        <v>1258</v>
      </c>
      <c r="D4267" s="105" t="s">
        <v>1259</v>
      </c>
      <c r="E4267" s="105" t="s">
        <v>1260</v>
      </c>
      <c r="F4267" s="105" t="s">
        <v>1261</v>
      </c>
      <c r="G4267" s="105" t="s">
        <v>1262</v>
      </c>
      <c r="H4267" s="105" t="s">
        <v>1263</v>
      </c>
      <c r="I4267" s="105" t="s">
        <v>1264</v>
      </c>
    </row>
    <row r="4268" spans="1:21" x14ac:dyDescent="0.25">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25">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25">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25">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25">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25">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25">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25">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25">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25">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25">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25">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25">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25">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25">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25">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25">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25">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25">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25">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25">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25">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25">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25">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25">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25">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25">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25">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25">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25">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25">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25">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25">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25">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25">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25">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25">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25">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25">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25">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25">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25">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25">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25">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25">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25">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25">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25">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25">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25">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25">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25">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25">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25">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25">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25">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25">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25">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25">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25">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25">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25">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25">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25">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25">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25">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25">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25">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25">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25">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25">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25">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25">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25">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25">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25">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25">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25">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25">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25">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25">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25">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25">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25">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25">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25">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25">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25">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25">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25">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25">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25">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25">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25">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25">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25">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25">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25">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25">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25">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25">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25">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25">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25">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25">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25">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25">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25">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25">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25">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25">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25">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25">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25">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25">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25">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25">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25">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25">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25">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25">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25">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25">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25">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25">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25">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25">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25">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25">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25">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25">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25">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25">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25">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25">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25">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25">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25">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25">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25">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25">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25">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25">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25">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25">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25">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25">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25">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25">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25">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25">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25">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25">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25">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25">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25">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25">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25">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25">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25">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25">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25">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25">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25">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25">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25">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25">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25">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25">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25">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25">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25">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25">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25">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25">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25">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25">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25">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25">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25">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25">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25">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25">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25">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25">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25">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25">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25">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25">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25">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25">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25">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25">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25">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25">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25">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25">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25">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25">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25">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25">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25">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25">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25">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25">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25">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25">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25">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25">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25">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25">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25">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25">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25">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25">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25">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25">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25">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25">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25">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25">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25">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25">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25">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25">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25">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25">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25">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25">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25">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25">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25">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25">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25">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25">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25">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25">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25">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25">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25">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25">
      <c r="A4510" s="184" t="s">
        <v>1265</v>
      </c>
    </row>
    <row r="4512" spans="1:21" ht="24" x14ac:dyDescent="0.25">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25">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25">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0.125</v>
      </c>
      <c r="Q4514" s="72">
        <f t="shared" si="1567"/>
        <v>0</v>
      </c>
      <c r="R4514" s="72">
        <f t="shared" si="1568"/>
        <v>0</v>
      </c>
    </row>
    <row r="4515" spans="1:18" x14ac:dyDescent="0.25">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0.20833333333333337</v>
      </c>
      <c r="Q4515" s="72">
        <f t="shared" si="1567"/>
        <v>0</v>
      </c>
      <c r="R4515" s="72">
        <f t="shared" si="1568"/>
        <v>0</v>
      </c>
    </row>
    <row r="4516" spans="1:18" x14ac:dyDescent="0.25">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0.29166666666666663</v>
      </c>
      <c r="Q4516" s="72">
        <f t="shared" si="1567"/>
        <v>0</v>
      </c>
      <c r="R4516" s="72">
        <f t="shared" si="1568"/>
        <v>0</v>
      </c>
    </row>
    <row r="4517" spans="1:18" x14ac:dyDescent="0.25">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0.375</v>
      </c>
      <c r="Q4517" s="72">
        <f t="shared" si="1567"/>
        <v>0</v>
      </c>
      <c r="R4517" s="72">
        <f t="shared" si="1568"/>
        <v>0</v>
      </c>
    </row>
    <row r="4518" spans="1:18" x14ac:dyDescent="0.25">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0.45833333333333337</v>
      </c>
      <c r="Q4518" s="72">
        <f t="shared" si="1567"/>
        <v>0</v>
      </c>
      <c r="R4518" s="72">
        <f t="shared" si="1568"/>
        <v>0</v>
      </c>
    </row>
    <row r="4519" spans="1:18" x14ac:dyDescent="0.25">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0.54166666666666674</v>
      </c>
      <c r="Q4519" s="72">
        <f t="shared" si="1567"/>
        <v>0</v>
      </c>
      <c r="R4519" s="72">
        <f t="shared" si="1568"/>
        <v>0</v>
      </c>
    </row>
    <row r="4520" spans="1:18" x14ac:dyDescent="0.25">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0.625</v>
      </c>
      <c r="Q4520" s="72">
        <f t="shared" si="1567"/>
        <v>0</v>
      </c>
      <c r="R4520" s="72">
        <f t="shared" si="1568"/>
        <v>0</v>
      </c>
    </row>
    <row r="4521" spans="1:18" x14ac:dyDescent="0.25">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0.70833333333333326</v>
      </c>
      <c r="Q4521" s="72">
        <f t="shared" si="1567"/>
        <v>0</v>
      </c>
      <c r="R4521" s="72">
        <f t="shared" si="1568"/>
        <v>0</v>
      </c>
    </row>
    <row r="4522" spans="1:18" x14ac:dyDescent="0.25">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0.79166666666666663</v>
      </c>
      <c r="Q4522" s="72">
        <f t="shared" si="1567"/>
        <v>0</v>
      </c>
      <c r="R4522" s="72">
        <f t="shared" si="1568"/>
        <v>0</v>
      </c>
    </row>
    <row r="4523" spans="1:18" x14ac:dyDescent="0.25">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0.875</v>
      </c>
      <c r="Q4523" s="72">
        <f t="shared" si="1567"/>
        <v>0</v>
      </c>
      <c r="R4523" s="72">
        <f t="shared" si="1568"/>
        <v>0</v>
      </c>
    </row>
    <row r="4524" spans="1:18" x14ac:dyDescent="0.25">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0.95833333333333337</v>
      </c>
      <c r="Q4524" s="72">
        <f t="shared" si="1567"/>
        <v>0</v>
      </c>
      <c r="R4524" s="72">
        <f t="shared" si="1568"/>
        <v>0</v>
      </c>
    </row>
    <row r="4525" spans="1:18" x14ac:dyDescent="0.25">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0.95833333333333337</v>
      </c>
      <c r="Q4525" s="72">
        <f t="shared" si="1567"/>
        <v>4.166666666666663E-2</v>
      </c>
      <c r="R4525" s="72">
        <f t="shared" si="1568"/>
        <v>0</v>
      </c>
    </row>
    <row r="4526" spans="1:18" x14ac:dyDescent="0.25">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0.875</v>
      </c>
      <c r="Q4526" s="72">
        <f t="shared" si="1567"/>
        <v>0.125</v>
      </c>
      <c r="R4526" s="72">
        <f t="shared" si="1568"/>
        <v>0</v>
      </c>
    </row>
    <row r="4527" spans="1:18" x14ac:dyDescent="0.25">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0.79166666666666663</v>
      </c>
      <c r="Q4527" s="72">
        <f t="shared" si="1567"/>
        <v>0.20833333333333337</v>
      </c>
      <c r="R4527" s="72">
        <f t="shared" si="1568"/>
        <v>0</v>
      </c>
    </row>
    <row r="4528" spans="1:18" x14ac:dyDescent="0.25">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0.70833333333333337</v>
      </c>
      <c r="Q4528" s="72">
        <f t="shared" si="1567"/>
        <v>0.29166666666666663</v>
      </c>
      <c r="R4528" s="72">
        <f t="shared" si="1568"/>
        <v>0</v>
      </c>
    </row>
    <row r="4529" spans="1:18" x14ac:dyDescent="0.25">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0.625</v>
      </c>
      <c r="Q4529" s="72">
        <f t="shared" si="1567"/>
        <v>0.375</v>
      </c>
      <c r="R4529" s="72">
        <f t="shared" si="1568"/>
        <v>0</v>
      </c>
    </row>
    <row r="4530" spans="1:18" x14ac:dyDescent="0.25">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0.54166666666666663</v>
      </c>
      <c r="Q4530" s="72">
        <f t="shared" si="1567"/>
        <v>0.45833333333333337</v>
      </c>
      <c r="R4530" s="72">
        <f t="shared" si="1568"/>
        <v>0</v>
      </c>
    </row>
    <row r="4531" spans="1:18" x14ac:dyDescent="0.25">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25">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0.375</v>
      </c>
      <c r="Q4532" s="72">
        <f t="shared" si="1567"/>
        <v>0.625</v>
      </c>
      <c r="R4532" s="72">
        <f t="shared" si="1568"/>
        <v>0</v>
      </c>
    </row>
    <row r="4533" spans="1:18" x14ac:dyDescent="0.25">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25">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25">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0.125</v>
      </c>
      <c r="Q4535" s="72">
        <f t="shared" si="1567"/>
        <v>0.875</v>
      </c>
      <c r="R4535" s="72">
        <f t="shared" si="1568"/>
        <v>0</v>
      </c>
    </row>
    <row r="4536" spans="1:18" x14ac:dyDescent="0.25">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25">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25">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0.875</v>
      </c>
      <c r="R4538" s="72">
        <f t="shared" si="1568"/>
        <v>0.125</v>
      </c>
    </row>
    <row r="4539" spans="1:18" x14ac:dyDescent="0.25">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25">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25">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0.625</v>
      </c>
      <c r="R4541" s="72">
        <f t="shared" si="1568"/>
        <v>0.375</v>
      </c>
    </row>
    <row r="4542" spans="1:18" x14ac:dyDescent="0.25">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25">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25">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0.375</v>
      </c>
      <c r="R4544" s="72">
        <f t="shared" si="1568"/>
        <v>0.625</v>
      </c>
    </row>
    <row r="4545" spans="1:18" x14ac:dyDescent="0.25">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25">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25">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0.125</v>
      </c>
      <c r="R4547" s="72">
        <f t="shared" si="1568"/>
        <v>0.875</v>
      </c>
    </row>
    <row r="4548" spans="1:18" x14ac:dyDescent="0.25">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25">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0.95833333333333337</v>
      </c>
    </row>
    <row r="4550" spans="1:18" x14ac:dyDescent="0.25">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0.875</v>
      </c>
    </row>
    <row r="4551" spans="1:18" x14ac:dyDescent="0.25">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0.79166666666666663</v>
      </c>
    </row>
    <row r="4552" spans="1:18" x14ac:dyDescent="0.25">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0.70833333333333337</v>
      </c>
    </row>
    <row r="4553" spans="1:18" x14ac:dyDescent="0.25">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0.625</v>
      </c>
    </row>
    <row r="4554" spans="1:18" x14ac:dyDescent="0.25">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0.54166666666666663</v>
      </c>
    </row>
    <row r="4555" spans="1:18" x14ac:dyDescent="0.25">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0.45833333333333331</v>
      </c>
    </row>
    <row r="4556" spans="1:18" x14ac:dyDescent="0.25">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0.375</v>
      </c>
    </row>
    <row r="4557" spans="1:18" x14ac:dyDescent="0.25">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0.29166666666666669</v>
      </c>
    </row>
    <row r="4558" spans="1:18" x14ac:dyDescent="0.25">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0.20833333333333334</v>
      </c>
    </row>
    <row r="4559" spans="1:18" x14ac:dyDescent="0.25">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0.125</v>
      </c>
    </row>
    <row r="4560" spans="1:18" x14ac:dyDescent="0.25">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4.1666666666666664E-2</v>
      </c>
    </row>
    <row r="4561" spans="1:21" x14ac:dyDescent="0.25">
      <c r="B4561" s="50">
        <f>SUMPRODUCT($H$4513:$H$4560,$Q$4513:$Q$4560,$N$4513:$N$4560)/SUMPRODUCT($H$4513:$H$4560,$Q$4513:$Q$4560)</f>
        <v>1.1101025000000002</v>
      </c>
    </row>
    <row r="4564" spans="1:21" x14ac:dyDescent="0.25">
      <c r="A4564" s="184" t="s">
        <v>1266</v>
      </c>
    </row>
    <row r="4566" spans="1:21" ht="24" x14ac:dyDescent="0.25">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25">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25">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0.125</v>
      </c>
      <c r="Q4568" s="72">
        <f t="shared" si="1583"/>
        <v>0</v>
      </c>
      <c r="R4568" s="72">
        <f t="shared" si="1584"/>
        <v>0</v>
      </c>
    </row>
    <row r="4569" spans="1:21" x14ac:dyDescent="0.25">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0.20833333333333337</v>
      </c>
      <c r="Q4569" s="72">
        <f t="shared" si="1583"/>
        <v>0</v>
      </c>
      <c r="R4569" s="72">
        <f t="shared" si="1584"/>
        <v>0</v>
      </c>
    </row>
    <row r="4570" spans="1:21" x14ac:dyDescent="0.25">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0.29166666666666663</v>
      </c>
      <c r="Q4570" s="72">
        <f t="shared" si="1583"/>
        <v>0</v>
      </c>
      <c r="R4570" s="72">
        <f t="shared" si="1584"/>
        <v>0</v>
      </c>
    </row>
    <row r="4571" spans="1:21" x14ac:dyDescent="0.25">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0.375</v>
      </c>
      <c r="Q4571" s="72">
        <f t="shared" si="1583"/>
        <v>0</v>
      </c>
      <c r="R4571" s="72">
        <f t="shared" si="1584"/>
        <v>0</v>
      </c>
    </row>
    <row r="4572" spans="1:21" x14ac:dyDescent="0.25">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0.45833333333333337</v>
      </c>
      <c r="Q4572" s="72">
        <f t="shared" si="1583"/>
        <v>0</v>
      </c>
      <c r="R4572" s="72">
        <f t="shared" si="1584"/>
        <v>0</v>
      </c>
    </row>
    <row r="4573" spans="1:21" x14ac:dyDescent="0.25">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0.54166666666666674</v>
      </c>
      <c r="Q4573" s="72">
        <f t="shared" si="1583"/>
        <v>0</v>
      </c>
      <c r="R4573" s="72">
        <f t="shared" si="1584"/>
        <v>0</v>
      </c>
    </row>
    <row r="4574" spans="1:21" x14ac:dyDescent="0.25">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0.625</v>
      </c>
      <c r="Q4574" s="72">
        <f t="shared" si="1583"/>
        <v>0</v>
      </c>
      <c r="R4574" s="72">
        <f t="shared" si="1584"/>
        <v>0</v>
      </c>
    </row>
    <row r="4575" spans="1:21" x14ac:dyDescent="0.25">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0.70833333333333326</v>
      </c>
      <c r="Q4575" s="72">
        <f t="shared" si="1583"/>
        <v>0</v>
      </c>
      <c r="R4575" s="72">
        <f t="shared" si="1584"/>
        <v>0</v>
      </c>
    </row>
    <row r="4576" spans="1:21" x14ac:dyDescent="0.25">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0.79166666666666663</v>
      </c>
      <c r="Q4576" s="72">
        <f t="shared" si="1583"/>
        <v>0</v>
      </c>
      <c r="R4576" s="72">
        <f t="shared" si="1584"/>
        <v>0</v>
      </c>
    </row>
    <row r="4577" spans="1:18" x14ac:dyDescent="0.25">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0.875</v>
      </c>
      <c r="Q4577" s="72">
        <f t="shared" si="1583"/>
        <v>0</v>
      </c>
      <c r="R4577" s="72">
        <f t="shared" si="1584"/>
        <v>0</v>
      </c>
    </row>
    <row r="4578" spans="1:18" x14ac:dyDescent="0.25">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0.95833333333333337</v>
      </c>
      <c r="Q4578" s="72">
        <f t="shared" si="1583"/>
        <v>0</v>
      </c>
      <c r="R4578" s="72">
        <f t="shared" si="1584"/>
        <v>0</v>
      </c>
    </row>
    <row r="4579" spans="1:18" x14ac:dyDescent="0.25">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0.95833333333333337</v>
      </c>
      <c r="Q4579" s="72">
        <f t="shared" si="1583"/>
        <v>4.166666666666663E-2</v>
      </c>
      <c r="R4579" s="72">
        <f t="shared" si="1584"/>
        <v>0</v>
      </c>
    </row>
    <row r="4580" spans="1:18" x14ac:dyDescent="0.25">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0.875</v>
      </c>
      <c r="Q4580" s="72">
        <f t="shared" si="1583"/>
        <v>0.125</v>
      </c>
      <c r="R4580" s="72">
        <f t="shared" si="1584"/>
        <v>0</v>
      </c>
    </row>
    <row r="4581" spans="1:18" x14ac:dyDescent="0.25">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0.79166666666666663</v>
      </c>
      <c r="Q4581" s="72">
        <f t="shared" si="1583"/>
        <v>0.20833333333333337</v>
      </c>
      <c r="R4581" s="72">
        <f t="shared" si="1584"/>
        <v>0</v>
      </c>
    </row>
    <row r="4582" spans="1:18" x14ac:dyDescent="0.25">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0.70833333333333337</v>
      </c>
      <c r="Q4582" s="72">
        <f t="shared" si="1583"/>
        <v>0.29166666666666663</v>
      </c>
      <c r="R4582" s="72">
        <f t="shared" si="1584"/>
        <v>0</v>
      </c>
    </row>
    <row r="4583" spans="1:18" x14ac:dyDescent="0.25">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0.625</v>
      </c>
      <c r="Q4583" s="72">
        <f t="shared" si="1583"/>
        <v>0.375</v>
      </c>
      <c r="R4583" s="72">
        <f t="shared" si="1584"/>
        <v>0</v>
      </c>
    </row>
    <row r="4584" spans="1:18" x14ac:dyDescent="0.25">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0.54166666666666663</v>
      </c>
      <c r="Q4584" s="72">
        <f t="shared" si="1583"/>
        <v>0.45833333333333337</v>
      </c>
      <c r="R4584" s="72">
        <f t="shared" si="1584"/>
        <v>0</v>
      </c>
    </row>
    <row r="4585" spans="1:18" x14ac:dyDescent="0.25">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25">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0.375</v>
      </c>
      <c r="Q4586" s="72">
        <f t="shared" si="1583"/>
        <v>0.625</v>
      </c>
      <c r="R4586" s="72">
        <f t="shared" si="1584"/>
        <v>0</v>
      </c>
    </row>
    <row r="4587" spans="1:18" x14ac:dyDescent="0.25">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25">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25">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0.125</v>
      </c>
      <c r="Q4589" s="72">
        <f t="shared" si="1583"/>
        <v>0.875</v>
      </c>
      <c r="R4589" s="72">
        <f t="shared" si="1584"/>
        <v>0</v>
      </c>
    </row>
    <row r="4590" spans="1:18" x14ac:dyDescent="0.25">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25">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25">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0.875</v>
      </c>
      <c r="R4592" s="72">
        <f t="shared" si="1584"/>
        <v>0.125</v>
      </c>
    </row>
    <row r="4593" spans="1:18" x14ac:dyDescent="0.25">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25">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25">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0.625</v>
      </c>
      <c r="R4595" s="72">
        <f t="shared" si="1584"/>
        <v>0.375</v>
      </c>
    </row>
    <row r="4596" spans="1:18" x14ac:dyDescent="0.25">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25">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25">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0.375</v>
      </c>
      <c r="R4598" s="72">
        <f t="shared" si="1584"/>
        <v>0.625</v>
      </c>
    </row>
    <row r="4599" spans="1:18" x14ac:dyDescent="0.25">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25">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25">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0.125</v>
      </c>
      <c r="R4601" s="72">
        <f t="shared" si="1584"/>
        <v>0.875</v>
      </c>
    </row>
    <row r="4602" spans="1:18" x14ac:dyDescent="0.25">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25">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0.95833333333333337</v>
      </c>
    </row>
    <row r="4604" spans="1:18" x14ac:dyDescent="0.25">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0.875</v>
      </c>
    </row>
    <row r="4605" spans="1:18" x14ac:dyDescent="0.25">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0.79166666666666663</v>
      </c>
    </row>
    <row r="4606" spans="1:18" x14ac:dyDescent="0.25">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0.70833333333333337</v>
      </c>
    </row>
    <row r="4607" spans="1:18" x14ac:dyDescent="0.25">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0.625</v>
      </c>
    </row>
    <row r="4608" spans="1:18" x14ac:dyDescent="0.25">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0.54166666666666663</v>
      </c>
    </row>
    <row r="4609" spans="1:21" x14ac:dyDescent="0.25">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0.45833333333333331</v>
      </c>
    </row>
    <row r="4610" spans="1:21" x14ac:dyDescent="0.25">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0.375</v>
      </c>
    </row>
    <row r="4611" spans="1:21" x14ac:dyDescent="0.25">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0.29166666666666669</v>
      </c>
    </row>
    <row r="4612" spans="1:21" x14ac:dyDescent="0.25">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0.20833333333333334</v>
      </c>
    </row>
    <row r="4613" spans="1:21" x14ac:dyDescent="0.25">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0.125</v>
      </c>
    </row>
    <row r="4614" spans="1:21" x14ac:dyDescent="0.25">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4.1666666666666664E-2</v>
      </c>
    </row>
    <row r="4615" spans="1:21" x14ac:dyDescent="0.25">
      <c r="B4615" s="50">
        <f>SUMPRODUCT($H$4567:$H$4614,$Q$4567:$Q$4614,$N$4567:$N$4614)/SUMPRODUCT($H$4567:$H$4614,$Q$4567:$Q$4614)</f>
        <v>1.1101025000000002</v>
      </c>
    </row>
    <row r="4618" spans="1:21" x14ac:dyDescent="0.25">
      <c r="A4618" s="184" t="s">
        <v>1267</v>
      </c>
      <c r="M4618" s="169">
        <f>IF(N(att_m0)=0,nr_M0,att_m0)</f>
        <v>0.86</v>
      </c>
      <c r="N4618" s="51">
        <f>IF(N(att_asof)=0,nr_M0Asof,att_asof)</f>
        <v>46295</v>
      </c>
      <c r="O4618" s="169">
        <f>IF(N(att_m1)=0,nr_M1,att_m1)</f>
        <v>0.89</v>
      </c>
      <c r="P4618" s="169">
        <f>IF(N(att_m2)=0,N(nr_M2),att_m2)</f>
        <v>0</v>
      </c>
    </row>
    <row r="4619" spans="1:21" x14ac:dyDescent="0.25">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25">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25">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25">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0.125</v>
      </c>
      <c r="Q4622" s="72">
        <f t="shared" si="1594"/>
        <v>0</v>
      </c>
      <c r="R4622" s="72">
        <f t="shared" si="1595"/>
        <v>0</v>
      </c>
    </row>
    <row r="4623" spans="1:21" x14ac:dyDescent="0.25">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25">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25">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0.375</v>
      </c>
      <c r="Q4625" s="72">
        <f t="shared" si="1594"/>
        <v>0</v>
      </c>
      <c r="R4625" s="72">
        <f t="shared" si="1595"/>
        <v>0</v>
      </c>
    </row>
    <row r="4626" spans="1:18" x14ac:dyDescent="0.25">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25">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25">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0.625</v>
      </c>
      <c r="Q4628" s="72">
        <f t="shared" si="1594"/>
        <v>0</v>
      </c>
      <c r="R4628" s="72">
        <f t="shared" si="1595"/>
        <v>0</v>
      </c>
    </row>
    <row r="4629" spans="1:18" x14ac:dyDescent="0.25">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25">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25">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0.875</v>
      </c>
      <c r="Q4631" s="72">
        <f t="shared" si="1594"/>
        <v>0</v>
      </c>
      <c r="R4631" s="72">
        <f t="shared" si="1595"/>
        <v>0</v>
      </c>
    </row>
    <row r="4632" spans="1:18" x14ac:dyDescent="0.25">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25">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25">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0.875</v>
      </c>
      <c r="Q4634" s="72">
        <f t="shared" si="1594"/>
        <v>0.125</v>
      </c>
      <c r="R4634" s="72">
        <f t="shared" si="1595"/>
        <v>0</v>
      </c>
    </row>
    <row r="4635" spans="1:18" x14ac:dyDescent="0.25">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25">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25">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0.625</v>
      </c>
      <c r="Q4637" s="72">
        <f t="shared" si="1594"/>
        <v>0.375</v>
      </c>
      <c r="R4637" s="72">
        <f t="shared" si="1595"/>
        <v>0</v>
      </c>
    </row>
    <row r="4638" spans="1:18" x14ac:dyDescent="0.25">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25">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25">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0.375</v>
      </c>
      <c r="Q4640" s="72">
        <f t="shared" si="1594"/>
        <v>0.625</v>
      </c>
      <c r="R4640" s="72">
        <f t="shared" si="1595"/>
        <v>0</v>
      </c>
    </row>
    <row r="4641" spans="1:18" x14ac:dyDescent="0.25">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25">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25">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0.125</v>
      </c>
      <c r="Q4643" s="72">
        <f t="shared" si="1594"/>
        <v>0.875</v>
      </c>
      <c r="R4643" s="72">
        <f t="shared" si="1595"/>
        <v>0</v>
      </c>
    </row>
    <row r="4644" spans="1:18" x14ac:dyDescent="0.25">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25">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25">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0.875</v>
      </c>
      <c r="R4646" s="72">
        <f t="shared" si="1595"/>
        <v>0.125</v>
      </c>
    </row>
    <row r="4647" spans="1:18" x14ac:dyDescent="0.25">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25">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25">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0.625</v>
      </c>
      <c r="R4649" s="72">
        <f t="shared" si="1595"/>
        <v>0.375</v>
      </c>
    </row>
    <row r="4650" spans="1:18" x14ac:dyDescent="0.25">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25">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25">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0.375</v>
      </c>
      <c r="R4652" s="72">
        <f t="shared" si="1595"/>
        <v>0.625</v>
      </c>
    </row>
    <row r="4653" spans="1:18" x14ac:dyDescent="0.25">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25">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25">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0.125</v>
      </c>
      <c r="R4655" s="72">
        <f t="shared" si="1595"/>
        <v>0.875</v>
      </c>
    </row>
    <row r="4656" spans="1:18" x14ac:dyDescent="0.25">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25">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0.95833333333333337</v>
      </c>
    </row>
    <row r="4658" spans="1:18" x14ac:dyDescent="0.25">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0.875</v>
      </c>
    </row>
    <row r="4659" spans="1:18" x14ac:dyDescent="0.25">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0.79166666666666663</v>
      </c>
    </row>
    <row r="4660" spans="1:18" x14ac:dyDescent="0.25">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0.70833333333333337</v>
      </c>
    </row>
    <row r="4661" spans="1:18" x14ac:dyDescent="0.25">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0.625</v>
      </c>
    </row>
    <row r="4662" spans="1:18" x14ac:dyDescent="0.25">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0.54166666666666663</v>
      </c>
    </row>
    <row r="4663" spans="1:18" x14ac:dyDescent="0.25">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0.45833333333333331</v>
      </c>
    </row>
    <row r="4664" spans="1:18" x14ac:dyDescent="0.25">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0.375</v>
      </c>
    </row>
    <row r="4665" spans="1:18" x14ac:dyDescent="0.25">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0.29166666666666669</v>
      </c>
    </row>
    <row r="4666" spans="1:18" x14ac:dyDescent="0.25">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0.20833333333333334</v>
      </c>
    </row>
    <row r="4667" spans="1:18" x14ac:dyDescent="0.25">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0.125</v>
      </c>
    </row>
    <row r="4668" spans="1:18" x14ac:dyDescent="0.25">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4.1666666666666664E-2</v>
      </c>
    </row>
    <row r="4669" spans="1:18" x14ac:dyDescent="0.25">
      <c r="B4669" s="169">
        <f>SUMPRODUCT($H$4621:$H$4668,$Q$4621:$Q$4668,$O$4621:$O$4668)/SUMPRODUCT($H$4621:$H$4668,$Q$4621:$Q$4668)</f>
        <v>0.8659874179431073</v>
      </c>
    </row>
    <row r="4672" spans="1:18" x14ac:dyDescent="0.25">
      <c r="A4672" s="184" t="s">
        <v>1268</v>
      </c>
    </row>
    <row r="4674" spans="1:21" ht="24" x14ac:dyDescent="0.25">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1269</v>
      </c>
      <c r="T4674" s="186" t="s">
        <v>1270</v>
      </c>
      <c r="U4674" s="186" t="s">
        <v>1271</v>
      </c>
    </row>
    <row r="4675" spans="1:21" x14ac:dyDescent="0.25">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25">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0.125</v>
      </c>
      <c r="Q4676" s="72">
        <f t="shared" si="1610"/>
        <v>0</v>
      </c>
      <c r="R4676" s="72">
        <f t="shared" si="1611"/>
        <v>0</v>
      </c>
      <c r="S4676" s="50">
        <f t="shared" si="1612"/>
        <v>0</v>
      </c>
      <c r="T4676" s="50">
        <f>SUM($S$4675:$S4676)</f>
        <v>0</v>
      </c>
      <c r="U4676" s="50">
        <f t="shared" si="1613"/>
        <v>0</v>
      </c>
    </row>
    <row r="4677" spans="1:21" x14ac:dyDescent="0.25">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0.20833333333333337</v>
      </c>
      <c r="Q4677" s="72">
        <f t="shared" si="1610"/>
        <v>0</v>
      </c>
      <c r="R4677" s="72">
        <f t="shared" si="1611"/>
        <v>0</v>
      </c>
      <c r="S4677" s="50">
        <f t="shared" si="1612"/>
        <v>0</v>
      </c>
      <c r="T4677" s="50">
        <f>SUM($S$4675:$S4677)</f>
        <v>0</v>
      </c>
      <c r="U4677" s="50">
        <f t="shared" si="1613"/>
        <v>0</v>
      </c>
    </row>
    <row r="4678" spans="1:21" x14ac:dyDescent="0.25">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0.29166666666666663</v>
      </c>
      <c r="Q4678" s="72">
        <f t="shared" si="1610"/>
        <v>0</v>
      </c>
      <c r="R4678" s="72">
        <f t="shared" si="1611"/>
        <v>0</v>
      </c>
      <c r="S4678" s="50">
        <f t="shared" si="1612"/>
        <v>0</v>
      </c>
      <c r="T4678" s="50">
        <f>SUM($S$4675:$S4678)</f>
        <v>0</v>
      </c>
      <c r="U4678" s="50">
        <f t="shared" si="1613"/>
        <v>0</v>
      </c>
    </row>
    <row r="4679" spans="1:21" x14ac:dyDescent="0.25">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0.375</v>
      </c>
      <c r="Q4679" s="72">
        <f t="shared" si="1610"/>
        <v>0</v>
      </c>
      <c r="R4679" s="72">
        <f t="shared" si="1611"/>
        <v>0</v>
      </c>
      <c r="S4679" s="50">
        <f t="shared" si="1612"/>
        <v>0</v>
      </c>
      <c r="T4679" s="50">
        <f>SUM($S$4675:$S4679)</f>
        <v>0</v>
      </c>
      <c r="U4679" s="50">
        <f t="shared" si="1613"/>
        <v>0</v>
      </c>
    </row>
    <row r="4680" spans="1:21" x14ac:dyDescent="0.25">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0.45833333333333337</v>
      </c>
      <c r="Q4680" s="72">
        <f t="shared" si="1610"/>
        <v>0</v>
      </c>
      <c r="R4680" s="72">
        <f t="shared" si="1611"/>
        <v>0</v>
      </c>
      <c r="S4680" s="50">
        <f t="shared" si="1612"/>
        <v>0</v>
      </c>
      <c r="T4680" s="50">
        <f>SUM($S$4675:$S4680)</f>
        <v>0</v>
      </c>
      <c r="U4680" s="50">
        <f t="shared" si="1613"/>
        <v>0</v>
      </c>
    </row>
    <row r="4681" spans="1:21" x14ac:dyDescent="0.25">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0.54166666666666674</v>
      </c>
      <c r="Q4681" s="72">
        <f t="shared" si="1610"/>
        <v>0</v>
      </c>
      <c r="R4681" s="72">
        <f t="shared" si="1611"/>
        <v>0</v>
      </c>
      <c r="S4681" s="50">
        <f t="shared" si="1612"/>
        <v>0</v>
      </c>
      <c r="T4681" s="50">
        <f>SUM($S$4675:$S4681)</f>
        <v>0</v>
      </c>
      <c r="U4681" s="50">
        <f t="shared" si="1613"/>
        <v>0</v>
      </c>
    </row>
    <row r="4682" spans="1:21" x14ac:dyDescent="0.25">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0.625</v>
      </c>
      <c r="Q4682" s="72">
        <f t="shared" si="1610"/>
        <v>0</v>
      </c>
      <c r="R4682" s="72">
        <f t="shared" si="1611"/>
        <v>0</v>
      </c>
      <c r="S4682" s="50">
        <f t="shared" si="1612"/>
        <v>0</v>
      </c>
      <c r="T4682" s="50">
        <f>SUM($S$4675:$S4682)</f>
        <v>0</v>
      </c>
      <c r="U4682" s="50">
        <f t="shared" si="1613"/>
        <v>0</v>
      </c>
    </row>
    <row r="4683" spans="1:21" x14ac:dyDescent="0.25">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0.70833333333333326</v>
      </c>
      <c r="Q4683" s="72">
        <f t="shared" si="1610"/>
        <v>0</v>
      </c>
      <c r="R4683" s="72">
        <f t="shared" si="1611"/>
        <v>0</v>
      </c>
      <c r="S4683" s="50">
        <f t="shared" si="1612"/>
        <v>0</v>
      </c>
      <c r="T4683" s="50">
        <f>SUM($S$4675:$S4683)</f>
        <v>0</v>
      </c>
      <c r="U4683" s="50">
        <f t="shared" si="1613"/>
        <v>0</v>
      </c>
    </row>
    <row r="4684" spans="1:21" x14ac:dyDescent="0.25">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0.79166666666666663</v>
      </c>
      <c r="Q4684" s="72">
        <f t="shared" si="1610"/>
        <v>0</v>
      </c>
      <c r="R4684" s="72">
        <f t="shared" si="1611"/>
        <v>0</v>
      </c>
      <c r="S4684" s="50">
        <f t="shared" si="1612"/>
        <v>0</v>
      </c>
      <c r="T4684" s="50">
        <f>SUM($S$4675:$S4684)</f>
        <v>0</v>
      </c>
      <c r="U4684" s="50">
        <f t="shared" si="1613"/>
        <v>0</v>
      </c>
    </row>
    <row r="4685" spans="1:21" x14ac:dyDescent="0.25">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0.875</v>
      </c>
      <c r="Q4685" s="72">
        <f t="shared" si="1610"/>
        <v>0</v>
      </c>
      <c r="R4685" s="72">
        <f t="shared" si="1611"/>
        <v>0</v>
      </c>
      <c r="S4685" s="50">
        <f t="shared" si="1612"/>
        <v>0</v>
      </c>
      <c r="T4685" s="50">
        <f>SUM($S$4675:$S4685)</f>
        <v>0</v>
      </c>
      <c r="U4685" s="50">
        <f t="shared" si="1613"/>
        <v>0</v>
      </c>
    </row>
    <row r="4686" spans="1:21" x14ac:dyDescent="0.25">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0.95833333333333337</v>
      </c>
      <c r="Q4686" s="72">
        <f t="shared" si="1610"/>
        <v>0</v>
      </c>
      <c r="R4686" s="72">
        <f t="shared" si="1611"/>
        <v>0</v>
      </c>
      <c r="S4686" s="50">
        <f t="shared" si="1612"/>
        <v>0</v>
      </c>
      <c r="T4686" s="50">
        <f>SUM($S$4675:$S4686)</f>
        <v>0</v>
      </c>
      <c r="U4686" s="50">
        <f t="shared" si="1613"/>
        <v>0</v>
      </c>
    </row>
    <row r="4687" spans="1:21" x14ac:dyDescent="0.25">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0.95833333333333337</v>
      </c>
      <c r="Q4687" s="72">
        <f t="shared" si="1610"/>
        <v>4.166666666666663E-2</v>
      </c>
      <c r="R4687" s="72">
        <f t="shared" si="1611"/>
        <v>0</v>
      </c>
      <c r="S4687" s="50">
        <f t="shared" si="1612"/>
        <v>4.3333333333333293E-2</v>
      </c>
      <c r="T4687" s="50">
        <f>SUM($S$4675:$S4687)</f>
        <v>4.3333333333333293E-2</v>
      </c>
      <c r="U4687" s="50">
        <f t="shared" si="1613"/>
        <v>4.3333333333333293E-2</v>
      </c>
    </row>
    <row r="4688" spans="1:21" x14ac:dyDescent="0.25">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0.875</v>
      </c>
      <c r="Q4688" s="72">
        <f t="shared" si="1610"/>
        <v>0.125</v>
      </c>
      <c r="R4688" s="72">
        <f t="shared" si="1611"/>
        <v>0</v>
      </c>
      <c r="S4688" s="50">
        <f t="shared" si="1612"/>
        <v>0.13</v>
      </c>
      <c r="T4688" s="50">
        <f>SUM($S$4675:$S4688)</f>
        <v>0.17333333333333328</v>
      </c>
      <c r="U4688" s="50">
        <f t="shared" si="1613"/>
        <v>0.13</v>
      </c>
    </row>
    <row r="4689" spans="1:21" x14ac:dyDescent="0.25">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0.79166666666666663</v>
      </c>
      <c r="Q4689" s="72">
        <f t="shared" si="1610"/>
        <v>0.20833333333333337</v>
      </c>
      <c r="R4689" s="72">
        <f t="shared" si="1611"/>
        <v>0</v>
      </c>
      <c r="S4689" s="50">
        <f t="shared" si="1612"/>
        <v>0.2166666666666667</v>
      </c>
      <c r="T4689" s="50">
        <f>SUM($S$4675:$S4689)</f>
        <v>0.39</v>
      </c>
      <c r="U4689" s="50">
        <f t="shared" si="1613"/>
        <v>0.2166666666666667</v>
      </c>
    </row>
    <row r="4690" spans="1:21" x14ac:dyDescent="0.25">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0.70833333333333337</v>
      </c>
      <c r="Q4690" s="72">
        <f t="shared" si="1610"/>
        <v>0.29166666666666663</v>
      </c>
      <c r="R4690" s="72">
        <f t="shared" si="1611"/>
        <v>0</v>
      </c>
      <c r="S4690" s="50">
        <f t="shared" si="1612"/>
        <v>0.30333333333333329</v>
      </c>
      <c r="T4690" s="50">
        <f>SUM($S$4675:$S4690)</f>
        <v>0.69333333333333336</v>
      </c>
      <c r="U4690" s="50">
        <f t="shared" si="1613"/>
        <v>0.30333333333333329</v>
      </c>
    </row>
    <row r="4691" spans="1:21" x14ac:dyDescent="0.25">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0.625</v>
      </c>
      <c r="Q4691" s="72">
        <f t="shared" si="1610"/>
        <v>0.375</v>
      </c>
      <c r="R4691" s="72">
        <f t="shared" si="1611"/>
        <v>0</v>
      </c>
      <c r="S4691" s="50">
        <f t="shared" si="1612"/>
        <v>0.39</v>
      </c>
      <c r="T4691" s="50">
        <f>SUM($S$4675:$S4691)</f>
        <v>1.0833333333333335</v>
      </c>
      <c r="U4691" s="50">
        <f t="shared" si="1613"/>
        <v>0.39</v>
      </c>
    </row>
    <row r="4692" spans="1:21" x14ac:dyDescent="0.25">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0.54166666666666663</v>
      </c>
      <c r="Q4692" s="72">
        <f t="shared" si="1610"/>
        <v>0.45833333333333337</v>
      </c>
      <c r="R4692" s="72">
        <f t="shared" si="1611"/>
        <v>0</v>
      </c>
      <c r="S4692" s="50">
        <f t="shared" si="1612"/>
        <v>0.47666666666666674</v>
      </c>
      <c r="T4692" s="50">
        <f>SUM($S$4675:$S4692)</f>
        <v>1.5600000000000003</v>
      </c>
      <c r="U4692" s="50">
        <f t="shared" si="1613"/>
        <v>0.47666666666666674</v>
      </c>
    </row>
    <row r="4693" spans="1:21" x14ac:dyDescent="0.25">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0.45833333333333331</v>
      </c>
      <c r="Q4693" s="72">
        <f t="shared" si="1610"/>
        <v>0.54166666666666674</v>
      </c>
      <c r="R4693" s="72">
        <f t="shared" si="1611"/>
        <v>0</v>
      </c>
      <c r="S4693" s="50">
        <f t="shared" si="1612"/>
        <v>0.5971333333333334</v>
      </c>
      <c r="T4693" s="50">
        <f>SUM($S$4675:$S4693)</f>
        <v>2.1571333333333338</v>
      </c>
      <c r="U4693" s="50">
        <f t="shared" si="1613"/>
        <v>0.5971333333333334</v>
      </c>
    </row>
    <row r="4694" spans="1:21" x14ac:dyDescent="0.25">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0.375</v>
      </c>
      <c r="Q4694" s="72">
        <f t="shared" si="1610"/>
        <v>0.625</v>
      </c>
      <c r="R4694" s="72">
        <f t="shared" si="1611"/>
        <v>0</v>
      </c>
      <c r="S4694" s="50">
        <f t="shared" si="1612"/>
        <v>0.68900000000000006</v>
      </c>
      <c r="T4694" s="50">
        <f>SUM($S$4675:$S4694)</f>
        <v>2.8461333333333338</v>
      </c>
      <c r="U4694" s="50">
        <f t="shared" si="1613"/>
        <v>0.68900000000000006</v>
      </c>
    </row>
    <row r="4695" spans="1:21" x14ac:dyDescent="0.25">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0.29166666666666669</v>
      </c>
      <c r="Q4695" s="72">
        <f t="shared" si="1610"/>
        <v>0.70833333333333326</v>
      </c>
      <c r="R4695" s="72">
        <f t="shared" si="1611"/>
        <v>0</v>
      </c>
      <c r="S4695" s="50">
        <f t="shared" si="1612"/>
        <v>0.7808666666666666</v>
      </c>
      <c r="T4695" s="50">
        <f>SUM($S$4675:$S4695)</f>
        <v>3.6270000000000007</v>
      </c>
      <c r="U4695" s="50">
        <f t="shared" si="1613"/>
        <v>0.7808666666666666</v>
      </c>
    </row>
    <row r="4696" spans="1:21" x14ac:dyDescent="0.25">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0.20833333333333334</v>
      </c>
      <c r="Q4696" s="72">
        <f t="shared" si="1610"/>
        <v>0.79166666666666663</v>
      </c>
      <c r="R4696" s="72">
        <f t="shared" si="1611"/>
        <v>0</v>
      </c>
      <c r="S4696" s="50">
        <f t="shared" si="1612"/>
        <v>0.87273333333333336</v>
      </c>
      <c r="T4696" s="50">
        <f>SUM($S$4675:$S4696)</f>
        <v>4.4997333333333343</v>
      </c>
      <c r="U4696" s="50">
        <f t="shared" si="1613"/>
        <v>0.87273333333333336</v>
      </c>
    </row>
    <row r="4697" spans="1:21" x14ac:dyDescent="0.25">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0.125</v>
      </c>
      <c r="Q4697" s="72">
        <f t="shared" si="1610"/>
        <v>0.875</v>
      </c>
      <c r="R4697" s="72">
        <f t="shared" si="1611"/>
        <v>0</v>
      </c>
      <c r="S4697" s="50">
        <f t="shared" si="1612"/>
        <v>0.96460000000000001</v>
      </c>
      <c r="T4697" s="50">
        <f>SUM($S$4675:$S4697)</f>
        <v>5.4643333333333342</v>
      </c>
      <c r="U4697" s="50">
        <f t="shared" si="1613"/>
        <v>0.96460000000000001</v>
      </c>
    </row>
    <row r="4698" spans="1:21" x14ac:dyDescent="0.25">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4.1666666666666664E-2</v>
      </c>
      <c r="Q4698" s="72">
        <f t="shared" si="1610"/>
        <v>0.95833333333333337</v>
      </c>
      <c r="R4698" s="72">
        <f t="shared" si="1611"/>
        <v>0</v>
      </c>
      <c r="S4698" s="50">
        <f t="shared" si="1612"/>
        <v>1.0564666666666667</v>
      </c>
      <c r="T4698" s="50">
        <f>SUM($S$4675:$S4698)</f>
        <v>6.5208000000000013</v>
      </c>
      <c r="U4698" s="50">
        <f t="shared" si="1613"/>
        <v>1.0564666666666667</v>
      </c>
    </row>
    <row r="4699" spans="1:21" x14ac:dyDescent="0.25">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0.95833333333333337</v>
      </c>
      <c r="R4699" s="72">
        <f t="shared" si="1611"/>
        <v>4.166666666666663E-2</v>
      </c>
      <c r="S4699" s="50">
        <f t="shared" si="1612"/>
        <v>1.0564666666666667</v>
      </c>
      <c r="T4699" s="50">
        <f>SUM($S$4675:$S4699)</f>
        <v>7.5772666666666684</v>
      </c>
      <c r="U4699" s="50">
        <f t="shared" si="1613"/>
        <v>1.0564666666666667</v>
      </c>
    </row>
    <row r="4700" spans="1:21" x14ac:dyDescent="0.25">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0.875</v>
      </c>
      <c r="R4700" s="72">
        <f t="shared" si="1611"/>
        <v>0.125</v>
      </c>
      <c r="S4700" s="50">
        <f t="shared" si="1612"/>
        <v>0.96460000000000001</v>
      </c>
      <c r="T4700" s="50">
        <f>SUM($S$4675:$S4700)</f>
        <v>8.5418666666666692</v>
      </c>
      <c r="U4700" s="50">
        <f t="shared" si="1613"/>
        <v>0.96460000000000001</v>
      </c>
    </row>
    <row r="4701" spans="1:21" x14ac:dyDescent="0.25">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0.79166666666666663</v>
      </c>
      <c r="R4701" s="72">
        <f t="shared" si="1611"/>
        <v>0.20833333333333337</v>
      </c>
      <c r="S4701" s="50">
        <f t="shared" si="1612"/>
        <v>0.87273333333333336</v>
      </c>
      <c r="T4701" s="50">
        <f>SUM($S$4675:$S4701)</f>
        <v>9.4146000000000019</v>
      </c>
      <c r="U4701" s="50">
        <f t="shared" si="1613"/>
        <v>0.87273333333333336</v>
      </c>
    </row>
    <row r="4702" spans="1:21" x14ac:dyDescent="0.25">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0.70833333333333337</v>
      </c>
      <c r="R4702" s="72">
        <f t="shared" si="1611"/>
        <v>0.29166666666666663</v>
      </c>
      <c r="S4702" s="50">
        <f t="shared" si="1612"/>
        <v>0.78086666666666671</v>
      </c>
      <c r="T4702" s="50">
        <f>SUM($S$4675:$S4702)</f>
        <v>10.195466666666668</v>
      </c>
      <c r="U4702" s="50">
        <f t="shared" si="1613"/>
        <v>0.78086666666666671</v>
      </c>
    </row>
    <row r="4703" spans="1:21" x14ac:dyDescent="0.25">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0.625</v>
      </c>
      <c r="R4703" s="72">
        <f t="shared" si="1611"/>
        <v>0.375</v>
      </c>
      <c r="S4703" s="50">
        <f t="shared" si="1612"/>
        <v>0.68900000000000006</v>
      </c>
      <c r="T4703" s="50">
        <f>SUM($S$4675:$S4703)</f>
        <v>10.884466666666668</v>
      </c>
      <c r="U4703" s="50">
        <f t="shared" si="1613"/>
        <v>0.68900000000000006</v>
      </c>
    </row>
    <row r="4704" spans="1:21" x14ac:dyDescent="0.25">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0.54166666666666663</v>
      </c>
      <c r="R4704" s="72">
        <f t="shared" si="1611"/>
        <v>0.45833333333333337</v>
      </c>
      <c r="S4704" s="50">
        <f t="shared" si="1612"/>
        <v>0.59713333333333329</v>
      </c>
      <c r="T4704" s="50">
        <f>SUM($S$4675:$S4704)</f>
        <v>11.481600000000002</v>
      </c>
      <c r="U4704" s="50">
        <f t="shared" si="1613"/>
        <v>0.59713333333333329</v>
      </c>
    </row>
    <row r="4705" spans="1:21" x14ac:dyDescent="0.25">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0.45833333333333331</v>
      </c>
      <c r="R4705" s="72">
        <f t="shared" si="1611"/>
        <v>0.54166666666666674</v>
      </c>
      <c r="S4705" s="50">
        <f t="shared" si="1612"/>
        <v>0.50526666666666664</v>
      </c>
      <c r="T4705" s="50">
        <f>SUM($S$4675:$S4705)</f>
        <v>11.986866666666669</v>
      </c>
      <c r="U4705" s="50">
        <f t="shared" si="1613"/>
        <v>0.50526666666666664</v>
      </c>
    </row>
    <row r="4706" spans="1:21" x14ac:dyDescent="0.25">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0.375</v>
      </c>
      <c r="R4706" s="72">
        <f t="shared" si="1611"/>
        <v>0.625</v>
      </c>
      <c r="S4706" s="50">
        <f t="shared" si="1612"/>
        <v>0.41339999999999999</v>
      </c>
      <c r="T4706" s="50">
        <f>SUM($S$4675:$S4706)</f>
        <v>12.400266666666669</v>
      </c>
      <c r="U4706" s="50">
        <f t="shared" si="1613"/>
        <v>0.41339999999999999</v>
      </c>
    </row>
    <row r="4707" spans="1:21" x14ac:dyDescent="0.25">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0.29166666666666669</v>
      </c>
      <c r="R4707" s="72">
        <f t="shared" si="1611"/>
        <v>0.70833333333333326</v>
      </c>
      <c r="S4707" s="50">
        <f t="shared" si="1612"/>
        <v>0.32153333333333339</v>
      </c>
      <c r="T4707" s="50">
        <f>SUM($S$4675:$S4707)</f>
        <v>12.721800000000002</v>
      </c>
      <c r="U4707" s="50">
        <f t="shared" si="1613"/>
        <v>0.32153333333333339</v>
      </c>
    </row>
    <row r="4708" spans="1:21" x14ac:dyDescent="0.25">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0.20833333333333334</v>
      </c>
      <c r="R4708" s="72">
        <f t="shared" si="1611"/>
        <v>0.79166666666666663</v>
      </c>
      <c r="S4708" s="50">
        <f t="shared" si="1612"/>
        <v>0.22966666666666669</v>
      </c>
      <c r="T4708" s="50">
        <f>SUM($S$4675:$S4708)</f>
        <v>12.951466666666668</v>
      </c>
      <c r="U4708" s="50">
        <f t="shared" si="1613"/>
        <v>0.22966666666666669</v>
      </c>
    </row>
    <row r="4709" spans="1:21" x14ac:dyDescent="0.25">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0.125</v>
      </c>
      <c r="R4709" s="72">
        <f t="shared" si="1611"/>
        <v>0.875</v>
      </c>
      <c r="S4709" s="50">
        <f t="shared" si="1612"/>
        <v>0.13780000000000001</v>
      </c>
      <c r="T4709" s="50">
        <f>SUM($S$4675:$S4709)</f>
        <v>13.089266666666669</v>
      </c>
      <c r="U4709" s="50">
        <f t="shared" si="1613"/>
        <v>0.13780000000000001</v>
      </c>
    </row>
    <row r="4710" spans="1:21" x14ac:dyDescent="0.25">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4.1666666666666664E-2</v>
      </c>
      <c r="R4710" s="72">
        <f t="shared" si="1611"/>
        <v>0.95833333333333337</v>
      </c>
      <c r="S4710" s="50">
        <f t="shared" si="1612"/>
        <v>4.5933333333333333E-2</v>
      </c>
      <c r="T4710" s="50">
        <f>SUM($S$4675:$S4710)</f>
        <v>13.135200000000003</v>
      </c>
      <c r="U4710" s="50">
        <f t="shared" si="1613"/>
        <v>4.5933333333333333E-2</v>
      </c>
    </row>
    <row r="4711" spans="1:21" x14ac:dyDescent="0.25">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0.95833333333333337</v>
      </c>
      <c r="S4711" s="50">
        <f t="shared" si="1612"/>
        <v>0</v>
      </c>
      <c r="T4711" s="50">
        <f>SUM($S$4675:$S4711)</f>
        <v>13.135200000000003</v>
      </c>
      <c r="U4711" s="50">
        <f t="shared" si="1613"/>
        <v>0</v>
      </c>
    </row>
    <row r="4712" spans="1:21" x14ac:dyDescent="0.25">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0.875</v>
      </c>
      <c r="S4712" s="50">
        <f t="shared" si="1612"/>
        <v>0</v>
      </c>
      <c r="T4712" s="50">
        <f>SUM($S$4675:$S4712)</f>
        <v>13.135200000000003</v>
      </c>
      <c r="U4712" s="50">
        <f t="shared" si="1613"/>
        <v>0</v>
      </c>
    </row>
    <row r="4713" spans="1:21" x14ac:dyDescent="0.25">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0.79166666666666663</v>
      </c>
      <c r="S4713" s="50">
        <f t="shared" si="1612"/>
        <v>0</v>
      </c>
      <c r="T4713" s="50">
        <f>SUM($S$4675:$S4713)</f>
        <v>13.135200000000003</v>
      </c>
      <c r="U4713" s="50">
        <f t="shared" si="1613"/>
        <v>0</v>
      </c>
    </row>
    <row r="4714" spans="1:21" x14ac:dyDescent="0.25">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0.70833333333333337</v>
      </c>
      <c r="S4714" s="50">
        <f t="shared" si="1612"/>
        <v>0</v>
      </c>
      <c r="T4714" s="50">
        <f>SUM($S$4675:$S4714)</f>
        <v>13.135200000000003</v>
      </c>
      <c r="U4714" s="50">
        <f t="shared" si="1613"/>
        <v>0</v>
      </c>
    </row>
    <row r="4715" spans="1:21" x14ac:dyDescent="0.25">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0.625</v>
      </c>
      <c r="S4715" s="50">
        <f t="shared" si="1612"/>
        <v>0</v>
      </c>
      <c r="T4715" s="50">
        <f>SUM($S$4675:$S4715)</f>
        <v>13.135200000000003</v>
      </c>
      <c r="U4715" s="50">
        <f t="shared" si="1613"/>
        <v>0</v>
      </c>
    </row>
    <row r="4716" spans="1:21" x14ac:dyDescent="0.25">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0.54166666666666663</v>
      </c>
      <c r="S4716" s="50">
        <f t="shared" si="1612"/>
        <v>0</v>
      </c>
      <c r="T4716" s="50">
        <f>SUM($S$4675:$S4716)</f>
        <v>13.135200000000003</v>
      </c>
      <c r="U4716" s="50">
        <f t="shared" si="1613"/>
        <v>0</v>
      </c>
    </row>
    <row r="4717" spans="1:21" x14ac:dyDescent="0.25">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0.45833333333333331</v>
      </c>
      <c r="S4717" s="50">
        <f t="shared" si="1612"/>
        <v>0</v>
      </c>
      <c r="T4717" s="50">
        <f>SUM($S$4675:$S4717)</f>
        <v>13.135200000000003</v>
      </c>
      <c r="U4717" s="50">
        <f t="shared" si="1613"/>
        <v>0</v>
      </c>
    </row>
    <row r="4718" spans="1:21" x14ac:dyDescent="0.25">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0.375</v>
      </c>
      <c r="S4718" s="50">
        <f t="shared" si="1612"/>
        <v>0</v>
      </c>
      <c r="T4718" s="50">
        <f>SUM($S$4675:$S4718)</f>
        <v>13.135200000000003</v>
      </c>
      <c r="U4718" s="50">
        <f t="shared" si="1613"/>
        <v>0</v>
      </c>
    </row>
    <row r="4719" spans="1:21" x14ac:dyDescent="0.25">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0.29166666666666669</v>
      </c>
      <c r="S4719" s="50">
        <f t="shared" si="1612"/>
        <v>0</v>
      </c>
      <c r="T4719" s="50">
        <f>SUM($S$4675:$S4719)</f>
        <v>13.135200000000003</v>
      </c>
      <c r="U4719" s="50">
        <f t="shared" si="1613"/>
        <v>0</v>
      </c>
    </row>
    <row r="4720" spans="1:21" x14ac:dyDescent="0.25">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0.20833333333333334</v>
      </c>
      <c r="S4720" s="50">
        <f t="shared" si="1612"/>
        <v>0</v>
      </c>
      <c r="T4720" s="50">
        <f>SUM($S$4675:$S4720)</f>
        <v>13.135200000000003</v>
      </c>
      <c r="U4720" s="50">
        <f t="shared" si="1613"/>
        <v>0</v>
      </c>
    </row>
    <row r="4721" spans="1:21" x14ac:dyDescent="0.25">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0.125</v>
      </c>
      <c r="S4721" s="50">
        <f t="shared" si="1612"/>
        <v>0</v>
      </c>
      <c r="T4721" s="50">
        <f>SUM($S$4675:$S4721)</f>
        <v>13.135200000000003</v>
      </c>
      <c r="U4721" s="50">
        <f t="shared" si="1613"/>
        <v>0</v>
      </c>
    </row>
    <row r="4722" spans="1:21" x14ac:dyDescent="0.25">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4.1666666666666664E-2</v>
      </c>
      <c r="S4722" s="50">
        <f t="shared" si="1612"/>
        <v>0</v>
      </c>
      <c r="T4722" s="50">
        <f>SUM($S$4675:$S4722)</f>
        <v>13.135200000000003</v>
      </c>
      <c r="U4722" s="50">
        <f t="shared" si="1613"/>
        <v>0</v>
      </c>
    </row>
    <row r="4723" spans="1:21" x14ac:dyDescent="0.25">
      <c r="A4723" s="77" t="s">
        <v>1272</v>
      </c>
      <c r="B4723" s="50">
        <f>SUMPRODUCT($H$4675:$H$4722,$Q$4675:$Q$4722)</f>
        <v>12</v>
      </c>
      <c r="C4723" s="50">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4" t="s">
        <v>1273</v>
      </c>
    </row>
    <row r="3" spans="1:2" x14ac:dyDescent="0.25">
      <c r="A3" s="115" t="s">
        <v>1274</v>
      </c>
    </row>
    <row r="4" spans="1:2" x14ac:dyDescent="0.25">
      <c r="A4" s="12" t="s">
        <v>1275</v>
      </c>
      <c r="B4" s="187">
        <v>1.1024</v>
      </c>
    </row>
    <row r="5" spans="1:2" x14ac:dyDescent="0.25">
      <c r="A5" s="12" t="s">
        <v>1276</v>
      </c>
      <c r="B5" s="187">
        <v>1.0427999999999999</v>
      </c>
    </row>
    <row r="6" spans="1:2" x14ac:dyDescent="0.25">
      <c r="A6" s="12" t="s">
        <v>1277</v>
      </c>
      <c r="B6" s="187">
        <v>1.1101025</v>
      </c>
    </row>
    <row r="7" spans="1:2" x14ac:dyDescent="0.25">
      <c r="A7" s="12" t="s">
        <v>1278</v>
      </c>
      <c r="B7" s="187">
        <v>1.1557975</v>
      </c>
    </row>
    <row r="8" spans="1:2" x14ac:dyDescent="0.25">
      <c r="A8" s="12" t="s">
        <v>1279</v>
      </c>
      <c r="B8" s="187">
        <v>0.8659874179431073</v>
      </c>
    </row>
    <row r="9" spans="1:2" x14ac:dyDescent="0.25">
      <c r="A9" s="12" t="s">
        <v>1280</v>
      </c>
      <c r="B9" s="187">
        <v>0.99306145153262859</v>
      </c>
    </row>
    <row r="10" spans="1:2" x14ac:dyDescent="0.25">
      <c r="A10" s="12" t="s">
        <v>1281</v>
      </c>
      <c r="B10" s="187">
        <v>0.95380029806259314</v>
      </c>
    </row>
    <row r="11" spans="1:2" x14ac:dyDescent="0.25">
      <c r="A11" s="12" t="s">
        <v>1282</v>
      </c>
      <c r="B11" s="187">
        <v>0.98153851013092008</v>
      </c>
    </row>
    <row r="12" spans="1:2" x14ac:dyDescent="0.25">
      <c r="A12" s="12" t="s">
        <v>1283</v>
      </c>
      <c r="B12" s="187">
        <v>0.63357323744376037</v>
      </c>
    </row>
    <row r="13" spans="1:2" x14ac:dyDescent="0.25">
      <c r="A13" s="12" t="s">
        <v>1284</v>
      </c>
      <c r="B13" s="187">
        <v>0.59480029614224839</v>
      </c>
    </row>
    <row r="14" spans="1:2" x14ac:dyDescent="0.25">
      <c r="A14" s="12" t="s">
        <v>1285</v>
      </c>
      <c r="B14" s="187">
        <v>6.9870283018869106E-3</v>
      </c>
    </row>
    <row r="15" spans="1:2" x14ac:dyDescent="0.25">
      <c r="A15" s="12" t="s">
        <v>1286</v>
      </c>
      <c r="B15" s="187">
        <v>0.63356403229997393</v>
      </c>
    </row>
    <row r="16" spans="1:2" x14ac:dyDescent="0.25">
      <c r="A16" s="12" t="s">
        <v>1287</v>
      </c>
      <c r="B16" s="187">
        <v>1.1101025</v>
      </c>
    </row>
    <row r="17" spans="1:4" x14ac:dyDescent="0.25">
      <c r="A17" s="12" t="s">
        <v>1288</v>
      </c>
      <c r="B17" s="187">
        <v>5.0000000000000933E-2</v>
      </c>
    </row>
    <row r="19" spans="1:4" x14ac:dyDescent="0.25">
      <c r="A19" s="115" t="s">
        <v>1289</v>
      </c>
    </row>
    <row r="20" spans="1:4" x14ac:dyDescent="0.25">
      <c r="A20" s="184" t="s">
        <v>1290</v>
      </c>
      <c r="B20" s="184" t="s">
        <v>509</v>
      </c>
      <c r="C20" s="184" t="s">
        <v>1291</v>
      </c>
      <c r="D20" s="184" t="s">
        <v>1292</v>
      </c>
    </row>
    <row r="21" spans="1:4" x14ac:dyDescent="0.25">
      <c r="A21" s="12" t="s">
        <v>1293</v>
      </c>
      <c r="B21" s="12">
        <v>2027</v>
      </c>
      <c r="C21" s="12">
        <f>nr_PlanYear</f>
        <v>2027</v>
      </c>
      <c r="D21" s="12" t="b">
        <f>ABS($C21-$B21)&lt;=0.000000001</f>
        <v>1</v>
      </c>
    </row>
    <row r="22" spans="1:4" x14ac:dyDescent="0.25">
      <c r="A22" s="12" t="s">
        <v>60</v>
      </c>
      <c r="B22" s="12" t="s">
        <v>1294</v>
      </c>
      <c r="C22" s="12" t="str">
        <f>nr_SelKey</f>
        <v>BU-A|AZ</v>
      </c>
      <c r="D22" s="12" t="b">
        <f>$C22=$B22</f>
        <v>1</v>
      </c>
    </row>
    <row r="23" spans="1:4" x14ac:dyDescent="0.25">
      <c r="A23" s="12" t="s">
        <v>109</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112</v>
      </c>
      <c r="B25" s="12">
        <v>0.85</v>
      </c>
      <c r="C25" s="12">
        <f>nr_MInd</f>
        <v>0.85</v>
      </c>
      <c r="D25" s="12" t="b">
        <f>ABS($C25-$B25)&lt;=0.000000001</f>
        <v>1</v>
      </c>
    </row>
    <row r="26" spans="1:4" x14ac:dyDescent="0.25">
      <c r="A26" s="12" t="s">
        <v>113</v>
      </c>
      <c r="B26" s="12">
        <v>0.86</v>
      </c>
      <c r="C26" s="12">
        <f>nr_M0</f>
        <v>0.86</v>
      </c>
      <c r="D26" s="12" t="b">
        <f>ABS($C26-$B26)&lt;=0.000000001</f>
        <v>1</v>
      </c>
    </row>
    <row r="27" spans="1:4" x14ac:dyDescent="0.25">
      <c r="A27" s="12" t="s">
        <v>1295</v>
      </c>
      <c r="B27" s="12">
        <v>46295</v>
      </c>
      <c r="C27" s="12">
        <f>nr_M0Asof</f>
        <v>46295</v>
      </c>
      <c r="D27" s="12" t="b">
        <f>ABS($C27-$B27)&lt;=0.5</f>
        <v>1</v>
      </c>
    </row>
    <row r="28" spans="1:4" x14ac:dyDescent="0.25">
      <c r="A28" s="12" t="s">
        <v>115</v>
      </c>
      <c r="B28" s="12">
        <v>0.89</v>
      </c>
      <c r="C28" s="12">
        <f>nr_M1</f>
        <v>0.89</v>
      </c>
      <c r="D28" s="12" t="b">
        <f>ABS($C28-$B28)&lt;=0.000000001</f>
        <v>1</v>
      </c>
    </row>
    <row r="29" spans="1:4" x14ac:dyDescent="0.25">
      <c r="A29" s="12" t="s">
        <v>1296</v>
      </c>
      <c r="B29" s="12">
        <v>0</v>
      </c>
      <c r="C29" s="12">
        <f>nr_MPrior</f>
        <v>0</v>
      </c>
      <c r="D29" s="12" t="b">
        <f>ABS($C29-$B29)&lt;=0.000000001</f>
        <v>1</v>
      </c>
    </row>
    <row r="30" spans="1:4" x14ac:dyDescent="0.25">
      <c r="A30" s="12" t="s">
        <v>1297</v>
      </c>
      <c r="B30" s="12">
        <v>0</v>
      </c>
      <c r="C30" s="12">
        <f>nr_M2</f>
        <v>0</v>
      </c>
      <c r="D30" s="12" t="b">
        <f>ABS($C30-$B30)&lt;=0.000000001</f>
        <v>1</v>
      </c>
    </row>
    <row r="31" spans="1:4" x14ac:dyDescent="0.25">
      <c r="A31" s="12" t="s">
        <v>1298</v>
      </c>
      <c r="B31" s="12">
        <v>0</v>
      </c>
      <c r="C31" s="12">
        <f>nr_Trend</f>
        <v>0</v>
      </c>
      <c r="D31" s="12" t="b">
        <f>ABS($C31-$B31)&lt;=0.000000001</f>
        <v>1</v>
      </c>
    </row>
    <row r="32" spans="1:4" x14ac:dyDescent="0.25">
      <c r="A32" s="12" t="s">
        <v>1299</v>
      </c>
      <c r="B32" s="12">
        <v>0</v>
      </c>
      <c r="C32" s="12">
        <f>N(nr_TrendDefault)</f>
        <v>0</v>
      </c>
      <c r="D32" s="12" t="b">
        <f>ABS($C32-$B32)&lt;=0.000000001</f>
        <v>1</v>
      </c>
    </row>
    <row r="33" spans="1:4" x14ac:dyDescent="0.25">
      <c r="A33" s="12" t="s">
        <v>1300</v>
      </c>
      <c r="B33" s="12" t="s">
        <v>1301</v>
      </c>
      <c r="C33" s="12" t="str">
        <f>IF(nr_NetMode,"TRUE","FALSE")</f>
        <v>FALSE</v>
      </c>
      <c r="D33" s="12" t="b">
        <f>$C33=$B33</f>
        <v>1</v>
      </c>
    </row>
    <row r="34" spans="1:4" x14ac:dyDescent="0.25">
      <c r="A34" s="12" t="s">
        <v>120</v>
      </c>
      <c r="B34" s="12">
        <v>1</v>
      </c>
      <c r="C34" s="12">
        <f>nr_AOther</f>
        <v>1</v>
      </c>
      <c r="D34" s="12" t="b">
        <f>ABS($C34-$B34)&lt;=0.000000001</f>
        <v>1</v>
      </c>
    </row>
    <row r="35" spans="1:4" x14ac:dyDescent="0.25">
      <c r="A35" s="12" t="s">
        <v>1302</v>
      </c>
      <c r="B35" s="12" t="s">
        <v>76</v>
      </c>
      <c r="C35" s="12" t="str">
        <f>nr_ModAdjRow</f>
        <v>ON</v>
      </c>
      <c r="D35" s="12" t="b">
        <f>$C35=$B35</f>
        <v>1</v>
      </c>
    </row>
    <row r="36" spans="1:4" x14ac:dyDescent="0.25">
      <c r="A36" s="12" t="s">
        <v>1303</v>
      </c>
      <c r="B36" s="12" t="s">
        <v>76</v>
      </c>
      <c r="C36" s="12" t="str">
        <f>nr_ModAdjMaster</f>
        <v>ON</v>
      </c>
      <c r="D36" s="12" t="b">
        <f>$C36=$B36</f>
        <v>1</v>
      </c>
    </row>
    <row r="37" spans="1:4" x14ac:dyDescent="0.25">
      <c r="A37" s="12" t="s">
        <v>1304</v>
      </c>
      <c r="B37" s="12" t="s">
        <v>1301</v>
      </c>
      <c r="C37" s="12" t="str">
        <f>IF(re_season_active,"TRUE","FALSE")</f>
        <v>FALSE</v>
      </c>
      <c r="D37" s="12" t="b">
        <f>$C37=$B37</f>
        <v>1</v>
      </c>
    </row>
    <row r="38" spans="1:4" x14ac:dyDescent="0.25">
      <c r="A38" s="12" t="s">
        <v>1305</v>
      </c>
      <c r="B38" s="12">
        <v>12</v>
      </c>
      <c r="C38" s="12">
        <f>nr_TermMonths</f>
        <v>12</v>
      </c>
      <c r="D38" s="12" t="b">
        <f>ABS($C38-$B38)&lt;=0.000000001</f>
        <v>1</v>
      </c>
    </row>
    <row r="39" spans="1:4" x14ac:dyDescent="0.25">
      <c r="A39" s="12" t="s">
        <v>1306</v>
      </c>
      <c r="B39" s="12">
        <v>3</v>
      </c>
      <c r="C39" s="12">
        <f>COUNTIF(rl_key,"BU-A|AZ")</f>
        <v>3</v>
      </c>
      <c r="D39" s="12" t="b">
        <f>ABS($C39-$B39)&lt;=0.000000001</f>
        <v>1</v>
      </c>
    </row>
    <row r="40" spans="1:4" x14ac:dyDescent="0.25">
      <c r="A40" s="12" t="s">
        <v>1307</v>
      </c>
      <c r="B40" s="12">
        <v>0.15</v>
      </c>
      <c r="C40" s="12">
        <f>SUMIF(rl_key,"BU-A|AZ",rl_filed)</f>
        <v>0.15000000000000002</v>
      </c>
      <c r="D40" s="12" t="b">
        <f>ABS($C40-$B40)&lt;=0.000000001</f>
        <v>1</v>
      </c>
    </row>
    <row r="41" spans="1:4" x14ac:dyDescent="0.25">
      <c r="A41" s="12" t="s">
        <v>1308</v>
      </c>
      <c r="B41" s="12">
        <v>138521</v>
      </c>
      <c r="C41" s="12">
        <f>SUMIF(rl_key,"BU-A|AZ",rl_eff)</f>
        <v>138521</v>
      </c>
      <c r="D41" s="12" t="b">
        <f>ABS($C41-$B41)&lt;=0.5</f>
        <v>1</v>
      </c>
    </row>
    <row r="42" spans="1:4" x14ac:dyDescent="0.25">
      <c r="A42" s="12" t="s">
        <v>1309</v>
      </c>
      <c r="B42" s="12">
        <v>0.15</v>
      </c>
      <c r="C42" s="12">
        <f>SUMIF(rl_key,"BU-A|AZ",rl_reff)</f>
        <v>0.15000000000000002</v>
      </c>
      <c r="D42" s="12" t="b">
        <f>ABS($C42-$B42)&lt;=0.000000001</f>
        <v>1</v>
      </c>
    </row>
    <row r="43" spans="1:4" x14ac:dyDescent="0.25">
      <c r="A43" s="12" t="s">
        <v>1310</v>
      </c>
      <c r="B43" s="12">
        <v>1</v>
      </c>
      <c r="C43" s="12">
        <f>COUNTIFS(rl_key,"BU-A|AZ",rl_status,"planned")</f>
        <v>1</v>
      </c>
      <c r="D43" s="12" t="b">
        <f>ABS($C43-$B43)&lt;=0.000000001</f>
        <v>1</v>
      </c>
    </row>
    <row r="44" spans="1:4" x14ac:dyDescent="0.25">
      <c r="A44" s="12" t="s">
        <v>1311</v>
      </c>
      <c r="B44" s="12">
        <v>2</v>
      </c>
      <c r="C44" s="12">
        <f>COUNTIFS(rl_key,"BU-A|AZ",rl_cons,"Y")</f>
        <v>2</v>
      </c>
      <c r="D44" s="12" t="b">
        <f>ABS($C44-$B44)&lt;=0.000000001</f>
        <v>1</v>
      </c>
    </row>
    <row r="46" spans="1:4" x14ac:dyDescent="0.25">
      <c r="A46" s="115" t="s">
        <v>1312</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2026-07-30T14:19:00Z</dcterms:created>
  <dcterms:modified xsi:type="dcterms:W3CDTF">2026-07-30T14:19:20Z</dcterms:modified>
</cp:coreProperties>
</file>