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drawings/drawing6.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s>
  <calcPr calcId="124519" calcMode="auto" fullCalcOnLoad="1"/>
</workbook>
</file>

<file path=xl/styles.xml><?xml version="1.0" encoding="utf-8"?>
<styleSheet xmlns="http://schemas.openxmlformats.org/spreadsheetml/2006/main">
  <numFmts count="23">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0.00 &quot;pts&quot;;-0.00 &quot;pts&quot;;&quot;&quot;"/>
    <numFmt numFmtId="177" formatCode="+0.0%;-0.0%;&quot;&quot;"/>
    <numFmt numFmtId="178" formatCode="m/d/yy"/>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6">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174"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5" fontId="3"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6" fontId="3" fillId="0" borderId="0" applyAlignment="1" pivotButton="0" quotePrefix="0" xfId="0">
      <alignment horizontal="center" vertical="center"/>
    </xf>
    <xf numFmtId="164" fontId="22" fillId="6" borderId="0" applyAlignment="1" pivotButton="0" quotePrefix="0" xfId="0">
      <alignment horizontal="center" vertical="center"/>
    </xf>
    <xf numFmtId="176" fontId="3" fillId="6" borderId="0" applyAlignment="1" pivotButton="0" quotePrefix="0" xfId="0">
      <alignment horizontal="center" vertical="center"/>
    </xf>
    <xf numFmtId="177" fontId="17" fillId="0" borderId="0" applyAlignment="1" pivotButton="0" quotePrefix="0" xfId="0">
      <alignment horizontal="center" vertical="center"/>
    </xf>
    <xf numFmtId="178"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8"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6"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81" fontId="3" fillId="6" borderId="0" applyAlignment="1" pivotButton="0" quotePrefix="0" xfId="0">
      <alignment horizontal="center" vertical="center"/>
    </xf>
    <xf numFmtId="177"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8" fontId="3" fillId="0" borderId="6" applyAlignment="1" pivotButton="0" quotePrefix="0" xfId="0">
      <alignment horizontal="center" vertical="center"/>
    </xf>
    <xf numFmtId="171" fontId="3" fillId="0" borderId="2" applyAlignment="1" pivotButton="0" quotePrefix="0" xfId="0">
      <alignment horizontal="center" vertical="center"/>
    </xf>
    <xf numFmtId="178"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8" fontId="3" fillId="6" borderId="6" applyAlignment="1" pivotButton="0" quotePrefix="0" xfId="0">
      <alignment horizontal="center" vertical="center"/>
    </xf>
    <xf numFmtId="171" fontId="3" fillId="6" borderId="2" applyAlignment="1" pivotButton="0" quotePrefix="0" xfId="0">
      <alignment horizontal="center" vertical="center"/>
    </xf>
    <xf numFmtId="178"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185" fontId="3" fillId="0" borderId="0" applyAlignment="1" pivotButton="0" quotePrefix="0" xfId="0">
      <alignment horizontal="center" vertical="center"/>
    </xf>
    <xf numFmtId="0" fontId="22" fillId="0" borderId="0" applyAlignment="1" pivotButton="0" quotePrefix="0" xfId="0">
      <alignment horizontal="center" vertical="center"/>
    </xf>
    <xf numFmtId="186" fontId="6" fillId="0" borderId="0" applyAlignment="1" pivotButton="0" quotePrefix="0" xfId="0">
      <alignment horizontal="center" vertical="center"/>
    </xf>
    <xf numFmtId="182"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2.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4.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Workers Comp</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Workers Comp</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Workers Comp</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24000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0.608</v>
      </c>
      <c r="D13" s="11" t="inlineStr">
        <is>
          <t>current</t>
        </is>
      </c>
      <c r="E13" s="58" t="n">
        <v>0.05</v>
      </c>
      <c r="F13" s="59" t="n">
        <v>0.9</v>
      </c>
      <c r="G13" s="59" t="n">
        <v>0.89</v>
      </c>
      <c r="H13" s="60" t="n">
        <v>46295</v>
      </c>
      <c r="I13" s="59" t="n">
        <v>0.895</v>
      </c>
      <c r="J13" s="61" t="n"/>
      <c r="K13" s="61" t="n"/>
      <c r="L13" s="62" t="n">
        <v>63000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0.592</v>
      </c>
      <c r="D14" s="11" t="inlineStr">
        <is>
          <t>current</t>
        </is>
      </c>
      <c r="E14" s="58" t="n">
        <v>0.05</v>
      </c>
      <c r="F14" s="59" t="n">
        <v>0.9</v>
      </c>
      <c r="G14" s="59" t="n">
        <v>0.89</v>
      </c>
      <c r="H14" s="60" t="n">
        <v>46295</v>
      </c>
      <c r="I14" s="59" t="n">
        <v>0.91</v>
      </c>
      <c r="J14" s="61" t="n"/>
      <c r="K14" s="61" t="n"/>
      <c r="L14" s="62" t="n">
        <v>51000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0.62</v>
      </c>
      <c r="D15" s="11" t="inlineStr">
        <is>
          <t>current</t>
        </is>
      </c>
      <c r="E15" s="58" t="n">
        <v>0.05</v>
      </c>
      <c r="F15" s="59" t="n">
        <v>0.9</v>
      </c>
      <c r="G15" s="59" t="n">
        <v>0.9</v>
      </c>
      <c r="H15" s="60" t="n">
        <v>46295</v>
      </c>
      <c r="I15" s="59" t="n">
        <v>0.9</v>
      </c>
      <c r="J15" s="61" t="n"/>
      <c r="K15" s="61" t="n"/>
      <c r="L15" s="62" t="n">
        <v>39000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0.604</v>
      </c>
      <c r="D16" s="11" t="inlineStr">
        <is>
          <t>current</t>
        </is>
      </c>
      <c r="E16" s="58" t="n">
        <v>0.05</v>
      </c>
      <c r="F16" s="59" t="n">
        <v>0.9</v>
      </c>
      <c r="G16" s="59" t="n">
        <v>0.89</v>
      </c>
      <c r="H16" s="60" t="n">
        <v>46295</v>
      </c>
      <c r="I16" s="59" t="n">
        <v>0.905</v>
      </c>
      <c r="J16" s="61" t="n"/>
      <c r="K16" s="61" t="n"/>
      <c r="L16" s="62" t="n">
        <v>27000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0.588</v>
      </c>
      <c r="D17" s="11" t="inlineStr">
        <is>
          <t>current</t>
        </is>
      </c>
      <c r="E17" s="58" t="n">
        <v>0.05</v>
      </c>
      <c r="F17" s="59" t="n">
        <v>0.9</v>
      </c>
      <c r="G17" s="59" t="n">
        <v>0.89</v>
      </c>
      <c r="H17" s="60" t="n">
        <v>46295</v>
      </c>
      <c r="I17" s="59" t="n">
        <v>0.885</v>
      </c>
      <c r="J17" s="61" t="n">
        <v>0.88</v>
      </c>
      <c r="K17" s="61" t="n">
        <v>0.89</v>
      </c>
      <c r="L17" s="62" t="n">
        <v>66000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0.616</v>
      </c>
      <c r="D18" s="11" t="inlineStr">
        <is>
          <t>current</t>
        </is>
      </c>
      <c r="E18" s="58" t="n">
        <v>0.05</v>
      </c>
      <c r="F18" s="59" t="n">
        <v>0.9</v>
      </c>
      <c r="G18" s="59" t="n">
        <v>0.89</v>
      </c>
      <c r="H18" s="60" t="n">
        <v>46295</v>
      </c>
      <c r="I18" s="59" t="n">
        <v>0.9</v>
      </c>
      <c r="J18" s="61" t="n"/>
      <c r="K18" s="61" t="n"/>
      <c r="L18" s="62" t="n">
        <v>54000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v>
      </c>
      <c r="D19" s="11" t="inlineStr">
        <is>
          <t>current</t>
        </is>
      </c>
      <c r="E19" s="58" t="n">
        <v>0.05</v>
      </c>
      <c r="F19" s="59" t="n">
        <v>0.9</v>
      </c>
      <c r="G19" s="59" t="n">
        <v>0.89</v>
      </c>
      <c r="H19" s="60" t="n">
        <v>46295</v>
      </c>
      <c r="I19" s="59" t="n">
        <v>0.88</v>
      </c>
      <c r="J19" s="61" t="n"/>
      <c r="K19" s="61" t="n"/>
      <c r="L19" s="62" t="n">
        <v>42000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0.584</v>
      </c>
      <c r="D20" s="11" t="inlineStr">
        <is>
          <t>current</t>
        </is>
      </c>
      <c r="E20" s="58" t="n">
        <v>0.05</v>
      </c>
      <c r="F20" s="59" t="n">
        <v>0.9</v>
      </c>
      <c r="G20" s="59" t="n">
        <v>0.89</v>
      </c>
      <c r="H20" s="60" t="n">
        <v>46295</v>
      </c>
      <c r="I20" s="59" t="n">
        <v>0.895</v>
      </c>
      <c r="J20" s="61" t="n"/>
      <c r="K20" s="61" t="n"/>
      <c r="L20" s="62" t="n">
        <v>30000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0.612</v>
      </c>
      <c r="D21" s="11" t="inlineStr">
        <is>
          <t>current</t>
        </is>
      </c>
      <c r="E21" s="58" t="n">
        <v>0.05</v>
      </c>
      <c r="F21" s="59" t="n">
        <v>0.9</v>
      </c>
      <c r="G21" s="59" t="n">
        <v>0.89</v>
      </c>
      <c r="H21" s="60" t="n">
        <v>46295</v>
      </c>
      <c r="I21" s="59" t="n">
        <v>0.91</v>
      </c>
      <c r="J21" s="61" t="n"/>
      <c r="K21" s="61" t="n"/>
      <c r="L21" s="62" t="n">
        <v>69000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0.596</v>
      </c>
      <c r="D22" s="11" t="inlineStr">
        <is>
          <t>current</t>
        </is>
      </c>
      <c r="E22" s="58" t="n">
        <v>0.05</v>
      </c>
      <c r="F22" s="59" t="n">
        <v>0.9</v>
      </c>
      <c r="G22" s="59" t="n">
        <v>0.89</v>
      </c>
      <c r="H22" s="60" t="n">
        <v>46295</v>
      </c>
      <c r="I22" s="59" t="n">
        <v>0.89</v>
      </c>
      <c r="J22" s="61" t="n"/>
      <c r="K22" s="61" t="n"/>
      <c r="L22" s="62" t="n">
        <v>57000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0.58</v>
      </c>
      <c r="D23" s="11" t="inlineStr">
        <is>
          <t>current</t>
        </is>
      </c>
      <c r="E23" s="58" t="n">
        <v>0.05</v>
      </c>
      <c r="F23" s="59" t="n">
        <v>0.9</v>
      </c>
      <c r="G23" s="59" t="n">
        <v>0.89</v>
      </c>
      <c r="H23" s="60" t="n">
        <v>46295</v>
      </c>
      <c r="I23" s="59" t="n">
        <v>0.905</v>
      </c>
      <c r="J23" s="61" t="n"/>
      <c r="K23" s="61" t="n"/>
      <c r="L23" s="62" t="n">
        <v>45000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0.608</v>
      </c>
      <c r="D24" s="11" t="inlineStr">
        <is>
          <t>current</t>
        </is>
      </c>
      <c r="E24" s="58" t="n">
        <v>0.05</v>
      </c>
      <c r="F24" s="59" t="n">
        <v>0.9</v>
      </c>
      <c r="G24" s="59" t="n">
        <v>0.89</v>
      </c>
      <c r="H24" s="60" t="n">
        <v>46295</v>
      </c>
      <c r="I24" s="59" t="n">
        <v>0.885</v>
      </c>
      <c r="J24" s="61" t="n"/>
      <c r="K24" s="61" t="n"/>
      <c r="L24" s="62" t="n">
        <v>33000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0.592</v>
      </c>
      <c r="D25" s="11" t="inlineStr">
        <is>
          <t>current</t>
        </is>
      </c>
      <c r="E25" s="58" t="n">
        <v>0.05</v>
      </c>
      <c r="F25" s="59" t="n">
        <v>0.9</v>
      </c>
      <c r="G25" s="59" t="n">
        <v>0.89</v>
      </c>
      <c r="H25" s="60" t="n">
        <v>46295</v>
      </c>
      <c r="I25" s="59" t="n">
        <v>0.9</v>
      </c>
      <c r="J25" s="61" t="n"/>
      <c r="K25" s="61" t="n"/>
      <c r="L25" s="62" t="n">
        <v>72000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0.62</v>
      </c>
      <c r="D26" s="11" t="inlineStr">
        <is>
          <t>current</t>
        </is>
      </c>
      <c r="E26" s="58" t="n">
        <v>0.05</v>
      </c>
      <c r="F26" s="59" t="n">
        <v>0.9</v>
      </c>
      <c r="G26" s="59" t="n">
        <v>0.89</v>
      </c>
      <c r="H26" s="60" t="n">
        <v>46295</v>
      </c>
      <c r="I26" s="59" t="n">
        <v>0.88</v>
      </c>
      <c r="J26" s="61" t="n"/>
      <c r="K26" s="61" t="n"/>
      <c r="L26" s="62" t="n">
        <v>60000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0.604</v>
      </c>
      <c r="D27" s="11" t="inlineStr">
        <is>
          <t>current</t>
        </is>
      </c>
      <c r="E27" s="58" t="n">
        <v>0.05</v>
      </c>
      <c r="F27" s="59" t="n">
        <v>0.9</v>
      </c>
      <c r="G27" s="59" t="n">
        <v>0.89</v>
      </c>
      <c r="H27" s="60" t="n">
        <v>46295</v>
      </c>
      <c r="I27" s="59" t="n">
        <v>0.895</v>
      </c>
      <c r="J27" s="61" t="n"/>
      <c r="K27" s="61" t="n"/>
      <c r="L27" s="62" t="n">
        <v>48000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0.588</v>
      </c>
      <c r="D28" s="11" t="inlineStr">
        <is>
          <t>current</t>
        </is>
      </c>
      <c r="E28" s="58" t="n">
        <v>0.05</v>
      </c>
      <c r="F28" s="59" t="n">
        <v>0.9</v>
      </c>
      <c r="G28" s="59" t="n">
        <v>0.89</v>
      </c>
      <c r="H28" s="60" t="n">
        <v>46295</v>
      </c>
      <c r="I28" s="59" t="n">
        <v>0.91</v>
      </c>
      <c r="J28" s="61" t="n"/>
      <c r="K28" s="61" t="n"/>
      <c r="L28" s="62" t="n">
        <v>36000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0.616</v>
      </c>
      <c r="D29" s="11" t="inlineStr">
        <is>
          <t>current</t>
        </is>
      </c>
      <c r="E29" s="58" t="n">
        <v>0.05</v>
      </c>
      <c r="F29" s="59" t="n">
        <v>0.9</v>
      </c>
      <c r="G29" s="59" t="n">
        <v>0.89</v>
      </c>
      <c r="H29" s="60" t="n">
        <v>46295</v>
      </c>
      <c r="I29" s="59" t="n">
        <v>0.89</v>
      </c>
      <c r="J29" s="61" t="n"/>
      <c r="K29" s="61" t="n"/>
      <c r="L29" s="62" t="n">
        <v>24000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v>
      </c>
      <c r="D30" s="11" t="inlineStr">
        <is>
          <t>current</t>
        </is>
      </c>
      <c r="E30" s="58" t="n">
        <v>0.05</v>
      </c>
      <c r="F30" s="59" t="n">
        <v>0.9</v>
      </c>
      <c r="G30" s="59" t="n">
        <v>0.89</v>
      </c>
      <c r="H30" s="60" t="n">
        <v>46295</v>
      </c>
      <c r="I30" s="59" t="n">
        <v>0.905</v>
      </c>
      <c r="J30" s="61" t="n"/>
      <c r="K30" s="61" t="n"/>
      <c r="L30" s="62" t="n">
        <v>63000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0.584</v>
      </c>
      <c r="D31" s="11" t="inlineStr">
        <is>
          <t>current</t>
        </is>
      </c>
      <c r="E31" s="58" t="n">
        <v>0.05</v>
      </c>
      <c r="F31" s="59" t="n">
        <v>0.9</v>
      </c>
      <c r="G31" s="59" t="n">
        <v>0.89</v>
      </c>
      <c r="H31" s="60" t="n">
        <v>46295</v>
      </c>
      <c r="I31" s="59" t="n">
        <v>0.885</v>
      </c>
      <c r="J31" s="61" t="n"/>
      <c r="K31" s="61" t="n"/>
      <c r="L31" s="62" t="n">
        <v>51000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0.612</v>
      </c>
      <c r="D32" s="11" t="inlineStr">
        <is>
          <t>current</t>
        </is>
      </c>
      <c r="E32" s="58" t="n">
        <v>0.05</v>
      </c>
      <c r="F32" s="59" t="n">
        <v>0.9</v>
      </c>
      <c r="G32" s="59" t="n">
        <v>0.89</v>
      </c>
      <c r="H32" s="60" t="n">
        <v>46295</v>
      </c>
      <c r="I32" s="59" t="n">
        <v>0.9</v>
      </c>
      <c r="J32" s="61" t="n"/>
      <c r="K32" s="61" t="n"/>
      <c r="L32" s="62" t="n">
        <v>39000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0.596</v>
      </c>
      <c r="D33" s="11" t="inlineStr">
        <is>
          <t>current</t>
        </is>
      </c>
      <c r="E33" s="58" t="n">
        <v>0.05</v>
      </c>
      <c r="F33" s="59" t="n">
        <v>0.9</v>
      </c>
      <c r="G33" s="59" t="n">
        <v>0.89</v>
      </c>
      <c r="H33" s="60" t="n">
        <v>46295</v>
      </c>
      <c r="I33" s="59" t="n">
        <v>0.88</v>
      </c>
      <c r="J33" s="61" t="n"/>
      <c r="K33" s="61" t="n"/>
      <c r="L33" s="62" t="n">
        <v>27000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0.58</v>
      </c>
      <c r="D34" s="11" t="inlineStr">
        <is>
          <t>proposed</t>
        </is>
      </c>
      <c r="E34" s="58" t="n">
        <v>0.08</v>
      </c>
      <c r="F34" s="59" t="n">
        <v>0.9</v>
      </c>
      <c r="G34" s="59" t="n">
        <v>0.89</v>
      </c>
      <c r="H34" s="60" t="n">
        <v>46295</v>
      </c>
      <c r="I34" s="59" t="n">
        <v>0.895</v>
      </c>
      <c r="J34" s="61" t="n"/>
      <c r="K34" s="61" t="n"/>
      <c r="L34" s="62" t="n">
        <v>66000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0.608</v>
      </c>
      <c r="D35" s="11" t="inlineStr">
        <is>
          <t>current</t>
        </is>
      </c>
      <c r="E35" s="58" t="n">
        <v>0.05</v>
      </c>
      <c r="F35" s="59" t="n">
        <v>0.9</v>
      </c>
      <c r="G35" s="59" t="n">
        <v>0.89</v>
      </c>
      <c r="H35" s="60" t="n">
        <v>46295</v>
      </c>
      <c r="I35" s="59" t="n">
        <v>0.91</v>
      </c>
      <c r="J35" s="61" t="n"/>
      <c r="K35" s="61" t="n"/>
      <c r="L35" s="62" t="n">
        <v>54000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0.592</v>
      </c>
      <c r="D36" s="11" t="inlineStr">
        <is>
          <t>current</t>
        </is>
      </c>
      <c r="E36" s="58" t="n">
        <v>0.05</v>
      </c>
      <c r="F36" s="59" t="n">
        <v>0.9</v>
      </c>
      <c r="G36" s="59" t="n">
        <v>0.89</v>
      </c>
      <c r="H36" s="60" t="n">
        <v>46295</v>
      </c>
      <c r="I36" s="59" t="n">
        <v>0.89</v>
      </c>
      <c r="J36" s="61" t="n"/>
      <c r="K36" s="61" t="n"/>
      <c r="L36" s="62" t="n">
        <v>42000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0.62</v>
      </c>
      <c r="D37" s="11" t="inlineStr">
        <is>
          <t>current</t>
        </is>
      </c>
      <c r="E37" s="58" t="n">
        <v>0.05</v>
      </c>
      <c r="F37" s="59" t="n">
        <v>0.9</v>
      </c>
      <c r="G37" s="59" t="n">
        <v>0.89</v>
      </c>
      <c r="H37" s="60" t="n">
        <v>46295</v>
      </c>
      <c r="I37" s="59" t="n">
        <v>0.905</v>
      </c>
      <c r="J37" s="61" t="n"/>
      <c r="K37" s="61" t="n"/>
      <c r="L37" s="62" t="n">
        <v>30000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0.604</v>
      </c>
      <c r="D38" s="11" t="inlineStr">
        <is>
          <t>current</t>
        </is>
      </c>
      <c r="E38" s="58" t="n">
        <v>0.05</v>
      </c>
      <c r="F38" s="59" t="n">
        <v>0.9</v>
      </c>
      <c r="G38" s="59" t="n">
        <v>0.89</v>
      </c>
      <c r="H38" s="60" t="n">
        <v>46295</v>
      </c>
      <c r="I38" s="59" t="n">
        <v>0.885</v>
      </c>
      <c r="J38" s="61" t="n"/>
      <c r="K38" s="61" t="n"/>
      <c r="L38" s="62" t="n">
        <v>69000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0.588</v>
      </c>
      <c r="D39" s="11" t="inlineStr">
        <is>
          <t>current</t>
        </is>
      </c>
      <c r="E39" s="58" t="n">
        <v>0.05</v>
      </c>
      <c r="F39" s="59" t="n">
        <v>0.9</v>
      </c>
      <c r="G39" s="59" t="n">
        <v>0.89</v>
      </c>
      <c r="H39" s="60" t="n">
        <v>46295</v>
      </c>
      <c r="I39" s="59" t="n">
        <v>0.9</v>
      </c>
      <c r="J39" s="61" t="n"/>
      <c r="K39" s="61" t="n"/>
      <c r="L39" s="62" t="n">
        <v>57000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0.616</v>
      </c>
      <c r="D40" s="11" t="inlineStr">
        <is>
          <t>current</t>
        </is>
      </c>
      <c r="E40" s="58" t="n">
        <v>0.05</v>
      </c>
      <c r="F40" s="59" t="n">
        <v>0.9</v>
      </c>
      <c r="G40" s="59" t="n">
        <v>0.89</v>
      </c>
      <c r="H40" s="60" t="n">
        <v>46295</v>
      </c>
      <c r="I40" s="59" t="n">
        <v>0.88</v>
      </c>
      <c r="J40" s="61" t="n"/>
      <c r="K40" s="61" t="n"/>
      <c r="L40" s="62" t="n">
        <v>45000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v>
      </c>
      <c r="D41" s="11" t="inlineStr">
        <is>
          <t>current</t>
        </is>
      </c>
      <c r="E41" s="58" t="n">
        <v>0.05</v>
      </c>
      <c r="F41" s="59" t="n">
        <v>0.9</v>
      </c>
      <c r="G41" s="59" t="n">
        <v>0.89</v>
      </c>
      <c r="H41" s="60" t="n">
        <v>46295</v>
      </c>
      <c r="I41" s="59" t="n">
        <v>0.895</v>
      </c>
      <c r="J41" s="61" t="n"/>
      <c r="K41" s="61" t="n"/>
      <c r="L41" s="62" t="n">
        <v>33000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0.584</v>
      </c>
      <c r="D42" s="11" t="inlineStr">
        <is>
          <t>current</t>
        </is>
      </c>
      <c r="E42" s="58" t="n">
        <v>0.05</v>
      </c>
      <c r="F42" s="59" t="n">
        <v>0.9</v>
      </c>
      <c r="G42" s="59" t="n">
        <v>0.89</v>
      </c>
      <c r="H42" s="60" t="n">
        <v>46295</v>
      </c>
      <c r="I42" s="59" t="n">
        <v>0.91</v>
      </c>
      <c r="J42" s="61" t="n"/>
      <c r="K42" s="61" t="n"/>
      <c r="L42" s="62" t="n">
        <v>72000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0.612</v>
      </c>
      <c r="D43" s="11" t="inlineStr">
        <is>
          <t>current</t>
        </is>
      </c>
      <c r="E43" s="58" t="n">
        <v>0.05</v>
      </c>
      <c r="F43" s="59" t="n">
        <v>0.9</v>
      </c>
      <c r="G43" s="59" t="n">
        <v>0.89</v>
      </c>
      <c r="H43" s="60" t="n">
        <v>46295</v>
      </c>
      <c r="I43" s="59" t="n">
        <v>0.89</v>
      </c>
      <c r="J43" s="61" t="n"/>
      <c r="K43" s="61" t="n"/>
      <c r="L43" s="62" t="n">
        <v>60000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0.596</v>
      </c>
      <c r="D44" s="11" t="inlineStr">
        <is>
          <t>current</t>
        </is>
      </c>
      <c r="E44" s="58" t="n">
        <v>0.05</v>
      </c>
      <c r="F44" s="59" t="n">
        <v>0.9</v>
      </c>
      <c r="G44" s="59" t="n">
        <v>0.89</v>
      </c>
      <c r="H44" s="60" t="n">
        <v>46295</v>
      </c>
      <c r="I44" s="59" t="n">
        <v>0.905</v>
      </c>
      <c r="J44" s="61" t="n"/>
      <c r="K44" s="61" t="n"/>
      <c r="L44" s="62" t="n">
        <v>48000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0.58</v>
      </c>
      <c r="D45" s="11" t="inlineStr">
        <is>
          <t>current</t>
        </is>
      </c>
      <c r="E45" s="58" t="n">
        <v>0.05</v>
      </c>
      <c r="F45" s="59" t="n">
        <v>0.9</v>
      </c>
      <c r="G45" s="59" t="n">
        <v>0.89</v>
      </c>
      <c r="H45" s="60" t="n">
        <v>46295</v>
      </c>
      <c r="I45" s="59" t="n">
        <v>0.885</v>
      </c>
      <c r="J45" s="61" t="n"/>
      <c r="K45" s="61" t="n"/>
      <c r="L45" s="62" t="n">
        <v>36000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0.608</v>
      </c>
      <c r="D46" s="11" t="inlineStr">
        <is>
          <t>current</t>
        </is>
      </c>
      <c r="E46" s="58" t="n">
        <v>0.05</v>
      </c>
      <c r="F46" s="59" t="n">
        <v>0.9</v>
      </c>
      <c r="G46" s="59" t="n">
        <v>0.89</v>
      </c>
      <c r="H46" s="60" t="n">
        <v>46295</v>
      </c>
      <c r="I46" s="59" t="n">
        <v>0.9</v>
      </c>
      <c r="J46" s="61" t="n"/>
      <c r="K46" s="61" t="n"/>
      <c r="L46" s="62" t="n">
        <v>24000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0.592</v>
      </c>
      <c r="D47" s="11" t="inlineStr">
        <is>
          <t>current</t>
        </is>
      </c>
      <c r="E47" s="58" t="n">
        <v>0.05</v>
      </c>
      <c r="F47" s="59" t="n">
        <v>0.9</v>
      </c>
      <c r="G47" s="59" t="n">
        <v>0.89</v>
      </c>
      <c r="H47" s="60" t="n">
        <v>46295</v>
      </c>
      <c r="I47" s="59" t="n">
        <v>0.88</v>
      </c>
      <c r="J47" s="61" t="n"/>
      <c r="K47" s="61" t="n"/>
      <c r="L47" s="62" t="n">
        <v>63000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0.62</v>
      </c>
      <c r="D48" s="11" t="inlineStr">
        <is>
          <t>current</t>
        </is>
      </c>
      <c r="E48" s="58" t="n">
        <v>0.05</v>
      </c>
      <c r="F48" s="59" t="n">
        <v>0.9</v>
      </c>
      <c r="G48" s="59" t="n">
        <v>0.89</v>
      </c>
      <c r="H48" s="60" t="n">
        <v>46295</v>
      </c>
      <c r="I48" s="59" t="n">
        <v>0.895</v>
      </c>
      <c r="J48" s="61" t="n"/>
      <c r="K48" s="61" t="n"/>
      <c r="L48" s="62" t="n">
        <v>51000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0.604</v>
      </c>
      <c r="D49" s="11" t="inlineStr">
        <is>
          <t>current</t>
        </is>
      </c>
      <c r="E49" s="58" t="n">
        <v>0.05</v>
      </c>
      <c r="F49" s="59" t="n">
        <v>0.9</v>
      </c>
      <c r="G49" s="59" t="n">
        <v>0.89</v>
      </c>
      <c r="H49" s="60" t="n">
        <v>46295</v>
      </c>
      <c r="I49" s="59" t="n">
        <v>0.91</v>
      </c>
      <c r="J49" s="61" t="n"/>
      <c r="K49" s="61" t="n"/>
      <c r="L49" s="62" t="n">
        <v>39000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0.588</v>
      </c>
      <c r="D50" s="11" t="inlineStr">
        <is>
          <t>current</t>
        </is>
      </c>
      <c r="E50" s="58" t="n">
        <v>0.05</v>
      </c>
      <c r="F50" s="59" t="n">
        <v>0.9</v>
      </c>
      <c r="G50" s="59" t="n">
        <v>0.89</v>
      </c>
      <c r="H50" s="60" t="n">
        <v>46295</v>
      </c>
      <c r="I50" s="59" t="n">
        <v>0.89</v>
      </c>
      <c r="J50" s="61" t="n"/>
      <c r="K50" s="61" t="n"/>
      <c r="L50" s="62" t="n">
        <v>27000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0.616</v>
      </c>
      <c r="D51" s="11" t="inlineStr">
        <is>
          <t>current</t>
        </is>
      </c>
      <c r="E51" s="58" t="n">
        <v>0.05</v>
      </c>
      <c r="F51" s="59" t="n">
        <v>0.9</v>
      </c>
      <c r="G51" s="59" t="n">
        <v>0.89</v>
      </c>
      <c r="H51" s="60" t="n">
        <v>46295</v>
      </c>
      <c r="I51" s="59" t="n">
        <v>0.905</v>
      </c>
      <c r="J51" s="61" t="n"/>
      <c r="K51" s="61" t="n"/>
      <c r="L51" s="62" t="n">
        <v>66000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v>
      </c>
      <c r="D52" s="11" t="inlineStr">
        <is>
          <t>current</t>
        </is>
      </c>
      <c r="E52" s="58" t="n">
        <v>0.05</v>
      </c>
      <c r="F52" s="59" t="n">
        <v>0.9</v>
      </c>
      <c r="G52" s="59" t="n">
        <v>0.89</v>
      </c>
      <c r="H52" s="60" t="n">
        <v>46295</v>
      </c>
      <c r="I52" s="59" t="n">
        <v>0.885</v>
      </c>
      <c r="J52" s="61" t="n"/>
      <c r="K52" s="61" t="n"/>
      <c r="L52" s="62" t="n">
        <v>54000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0.584</v>
      </c>
      <c r="D53" s="11" t="inlineStr">
        <is>
          <t>current</t>
        </is>
      </c>
      <c r="E53" s="58" t="n">
        <v>0.05</v>
      </c>
      <c r="F53" s="59" t="n">
        <v>0.9</v>
      </c>
      <c r="G53" s="59" t="n">
        <v>0.89</v>
      </c>
      <c r="H53" s="60" t="n">
        <v>46295</v>
      </c>
      <c r="I53" s="59" t="n">
        <v>0.9</v>
      </c>
      <c r="J53" s="61" t="n"/>
      <c r="K53" s="61" t="n"/>
      <c r="L53" s="62" t="n">
        <v>42000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0.612</v>
      </c>
      <c r="D54" s="11" t="inlineStr">
        <is>
          <t>current</t>
        </is>
      </c>
      <c r="E54" s="58" t="n">
        <v>0.05</v>
      </c>
      <c r="F54" s="59" t="n">
        <v>0.9</v>
      </c>
      <c r="G54" s="59" t="n">
        <v>0.89</v>
      </c>
      <c r="H54" s="60" t="n">
        <v>46295</v>
      </c>
      <c r="I54" s="59" t="n">
        <v>0.88</v>
      </c>
      <c r="J54" s="61" t="n"/>
      <c r="K54" s="61" t="n"/>
      <c r="L54" s="62" t="n">
        <v>30000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0.596</v>
      </c>
      <c r="D55" s="11" t="inlineStr">
        <is>
          <t>current</t>
        </is>
      </c>
      <c r="E55" s="58" t="n">
        <v>0.05</v>
      </c>
      <c r="F55" s="59" t="n">
        <v>0.9</v>
      </c>
      <c r="G55" s="59" t="n">
        <v>0.89</v>
      </c>
      <c r="H55" s="60" t="n">
        <v>46295</v>
      </c>
      <c r="I55" s="59" t="n">
        <v>0.895</v>
      </c>
      <c r="J55" s="61" t="n"/>
      <c r="K55" s="61" t="n"/>
      <c r="L55" s="62" t="n">
        <v>69000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0.58</v>
      </c>
      <c r="D56" s="11" t="inlineStr">
        <is>
          <t>current</t>
        </is>
      </c>
      <c r="E56" s="58" t="n">
        <v>0.05</v>
      </c>
      <c r="F56" s="59" t="n">
        <v>0.9</v>
      </c>
      <c r="G56" s="59" t="n">
        <v>0.89</v>
      </c>
      <c r="H56" s="60" t="n">
        <v>46295</v>
      </c>
      <c r="I56" s="59" t="n">
        <v>0.91</v>
      </c>
      <c r="J56" s="61" t="n"/>
      <c r="K56" s="61" t="n"/>
      <c r="L56" s="62" t="n">
        <v>57000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0.608</v>
      </c>
      <c r="D57" s="11" t="inlineStr">
        <is>
          <t>current</t>
        </is>
      </c>
      <c r="E57" s="58" t="n">
        <v>0.05</v>
      </c>
      <c r="F57" s="59" t="n">
        <v>0.9</v>
      </c>
      <c r="G57" s="59" t="n">
        <v>0.89</v>
      </c>
      <c r="H57" s="60" t="n">
        <v>46295</v>
      </c>
      <c r="I57" s="59" t="n">
        <v>0.89</v>
      </c>
      <c r="J57" s="61" t="n"/>
      <c r="K57" s="61" t="n"/>
      <c r="L57" s="62" t="n">
        <v>45000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0.592</v>
      </c>
      <c r="D58" s="11" t="inlineStr">
        <is>
          <t>current</t>
        </is>
      </c>
      <c r="E58" s="58" t="n">
        <v>0.05</v>
      </c>
      <c r="F58" s="59" t="n">
        <v>0.9</v>
      </c>
      <c r="G58" s="59" t="n">
        <v>0.89</v>
      </c>
      <c r="H58" s="60" t="n">
        <v>46295</v>
      </c>
      <c r="I58" s="59" t="n">
        <v>0.905</v>
      </c>
      <c r="J58" s="61" t="n"/>
      <c r="K58" s="61" t="n"/>
      <c r="L58" s="62" t="n">
        <v>33000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0.62</v>
      </c>
      <c r="D59" s="11" t="inlineStr">
        <is>
          <t>current</t>
        </is>
      </c>
      <c r="E59" s="58" t="n">
        <v>0.05</v>
      </c>
      <c r="F59" s="59" t="n">
        <v>0.9</v>
      </c>
      <c r="G59" s="59" t="n">
        <v>0.89</v>
      </c>
      <c r="H59" s="60" t="n">
        <v>46295</v>
      </c>
      <c r="I59" s="59" t="n">
        <v>0.885</v>
      </c>
      <c r="J59" s="61" t="n"/>
      <c r="K59" s="61" t="n"/>
      <c r="L59" s="62" t="n">
        <v>72000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0.604</v>
      </c>
      <c r="D60" s="11" t="inlineStr">
        <is>
          <t>current</t>
        </is>
      </c>
      <c r="E60" s="58" t="n">
        <v>0.065</v>
      </c>
      <c r="F60" s="59" t="n">
        <v>0.9</v>
      </c>
      <c r="G60" s="59" t="n">
        <v>0.89</v>
      </c>
      <c r="H60" s="60" t="n">
        <v>46295</v>
      </c>
      <c r="I60" s="59" t="n">
        <v>0.9</v>
      </c>
      <c r="J60" s="61" t="n"/>
      <c r="K60" s="61" t="n"/>
      <c r="L60" s="62" t="n">
        <v>60000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0.588</v>
      </c>
      <c r="D61" s="11" t="inlineStr">
        <is>
          <t>current</t>
        </is>
      </c>
      <c r="E61" s="58" t="n">
        <v>0.05</v>
      </c>
      <c r="F61" s="59" t="n">
        <v>0.9</v>
      </c>
      <c r="G61" s="59" t="n">
        <v>0.89</v>
      </c>
      <c r="H61" s="60" t="n">
        <v>46295</v>
      </c>
      <c r="I61" s="59" t="n">
        <v>0.88</v>
      </c>
      <c r="J61" s="61" t="n"/>
      <c r="K61" s="61" t="n"/>
      <c r="L61" s="62" t="n">
        <v>48000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0.616</v>
      </c>
      <c r="D62" s="11" t="inlineStr">
        <is>
          <t>current</t>
        </is>
      </c>
      <c r="E62" s="58" t="n">
        <v>0.05</v>
      </c>
      <c r="F62" s="59" t="n">
        <v>0.9</v>
      </c>
      <c r="G62" s="59" t="n">
        <v>0.89</v>
      </c>
      <c r="H62" s="60" t="n">
        <v>46295</v>
      </c>
      <c r="I62" s="59" t="n">
        <v>0.895</v>
      </c>
      <c r="J62" s="61" t="n"/>
      <c r="K62" s="61" t="n"/>
      <c r="L62" s="62" t="n">
        <v>36000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v>
      </c>
      <c r="D63" s="11" t="inlineStr">
        <is>
          <t>current</t>
        </is>
      </c>
      <c r="E63" s="58" t="n">
        <v>0.05</v>
      </c>
      <c r="F63" s="59" t="n">
        <v>0.9</v>
      </c>
      <c r="G63" s="59" t="n">
        <v>0.89</v>
      </c>
      <c r="H63" s="60" t="n">
        <v>46295</v>
      </c>
      <c r="I63" s="59" t="n">
        <v>0.91</v>
      </c>
      <c r="J63" s="61" t="n"/>
      <c r="K63" s="61" t="n"/>
      <c r="L63" s="62" t="n">
        <v>24000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0.584</v>
      </c>
      <c r="D64" s="11" t="inlineStr">
        <is>
          <t>current</t>
        </is>
      </c>
      <c r="E64" s="58" t="n">
        <v>0.05</v>
      </c>
      <c r="F64" s="59" t="n">
        <v>0.9</v>
      </c>
      <c r="G64" s="59" t="n">
        <v>0.89</v>
      </c>
      <c r="H64" s="60" t="n">
        <v>46295</v>
      </c>
      <c r="I64" s="59" t="n">
        <v>0.89</v>
      </c>
      <c r="J64" s="61" t="n"/>
      <c r="K64" s="61" t="n"/>
      <c r="L64" s="62" t="n">
        <v>63000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0.612</v>
      </c>
      <c r="D65" s="11" t="inlineStr">
        <is>
          <t>current</t>
        </is>
      </c>
      <c r="E65" s="58" t="n">
        <v>0.05</v>
      </c>
      <c r="F65" s="59" t="n">
        <v>0.9</v>
      </c>
      <c r="G65" s="59" t="n">
        <v>0.89</v>
      </c>
      <c r="H65" s="60" t="n">
        <v>46295</v>
      </c>
      <c r="I65" s="59" t="n">
        <v>0.905</v>
      </c>
      <c r="J65" s="61" t="n"/>
      <c r="K65" s="61" t="n"/>
      <c r="L65" s="62" t="n">
        <v>51000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0.596</v>
      </c>
      <c r="D66" s="11" t="inlineStr">
        <is>
          <t>current</t>
        </is>
      </c>
      <c r="E66" s="58" t="n">
        <v>0.05</v>
      </c>
      <c r="F66" s="59" t="n">
        <v>0.9</v>
      </c>
      <c r="G66" s="59" t="n">
        <v>0.89</v>
      </c>
      <c r="H66" s="60" t="n">
        <v>46295</v>
      </c>
      <c r="I66" s="59" t="n">
        <v>0.885</v>
      </c>
      <c r="J66" s="61" t="n"/>
      <c r="K66" s="61" t="n"/>
      <c r="L66" s="62" t="n">
        <v>39000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0.58</v>
      </c>
      <c r="D67" s="11" t="inlineStr">
        <is>
          <t>current</t>
        </is>
      </c>
      <c r="E67" s="58" t="n">
        <v>0.05</v>
      </c>
      <c r="F67" s="59" t="n">
        <v>0.9</v>
      </c>
      <c r="G67" s="59" t="n">
        <v>0.89</v>
      </c>
      <c r="H67" s="60" t="n">
        <v>46295</v>
      </c>
      <c r="I67" s="59" t="n">
        <v>0.9</v>
      </c>
      <c r="J67" s="61" t="n"/>
      <c r="K67" s="61" t="n"/>
      <c r="L67" s="62" t="n">
        <v>27000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0.608</v>
      </c>
      <c r="D68" s="11" t="inlineStr">
        <is>
          <t>current</t>
        </is>
      </c>
      <c r="E68" s="58" t="n">
        <v>0.05</v>
      </c>
      <c r="F68" s="59" t="n">
        <v>0.9</v>
      </c>
      <c r="G68" s="59" t="n">
        <v>0.89</v>
      </c>
      <c r="H68" s="60" t="n">
        <v>46295</v>
      </c>
      <c r="I68" s="59" t="n">
        <v>0.88</v>
      </c>
      <c r="J68" s="61" t="n"/>
      <c r="K68" s="61" t="n"/>
      <c r="L68" s="62" t="n">
        <v>66000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0.592</v>
      </c>
      <c r="D69" s="11" t="inlineStr">
        <is>
          <t>current</t>
        </is>
      </c>
      <c r="E69" s="58" t="n">
        <v>0.05</v>
      </c>
      <c r="F69" s="59" t="n">
        <v>0.9</v>
      </c>
      <c r="G69" s="59" t="n">
        <v>0.89</v>
      </c>
      <c r="H69" s="60" t="n">
        <v>46295</v>
      </c>
      <c r="I69" s="59" t="n">
        <v>0.895</v>
      </c>
      <c r="J69" s="61" t="n"/>
      <c r="K69" s="61" t="n"/>
      <c r="L69" s="62" t="n">
        <v>54000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0.62</v>
      </c>
      <c r="D70" s="11" t="inlineStr">
        <is>
          <t>current</t>
        </is>
      </c>
      <c r="E70" s="58" t="n">
        <v>0.05</v>
      </c>
      <c r="F70" s="59" t="n">
        <v>0.9</v>
      </c>
      <c r="G70" s="59" t="n">
        <v>0.89</v>
      </c>
      <c r="H70" s="60" t="n">
        <v>46295</v>
      </c>
      <c r="I70" s="59" t="n">
        <v>0.91</v>
      </c>
      <c r="J70" s="61" t="n"/>
      <c r="K70" s="61" t="n"/>
      <c r="L70" s="62" t="n">
        <v>42000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0.604</v>
      </c>
      <c r="D71" s="11" t="inlineStr">
        <is>
          <t>current</t>
        </is>
      </c>
      <c r="E71" s="58" t="n">
        <v>0.05</v>
      </c>
      <c r="F71" s="59" t="n">
        <v>0.9</v>
      </c>
      <c r="G71" s="59" t="n">
        <v>0.89</v>
      </c>
      <c r="H71" s="60" t="n">
        <v>46295</v>
      </c>
      <c r="I71" s="59" t="n">
        <v>0.89</v>
      </c>
      <c r="J71" s="61" t="n"/>
      <c r="K71" s="61" t="n"/>
      <c r="L71" s="62" t="n">
        <v>30000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0.588</v>
      </c>
      <c r="D72" s="11" t="inlineStr">
        <is>
          <t>current</t>
        </is>
      </c>
      <c r="E72" s="58" t="n">
        <v>0.05</v>
      </c>
      <c r="F72" s="59" t="n">
        <v>0.9</v>
      </c>
      <c r="G72" s="59" t="n">
        <v>0.89</v>
      </c>
      <c r="H72" s="60" t="n">
        <v>46295</v>
      </c>
      <c r="I72" s="59" t="n">
        <v>0.905</v>
      </c>
      <c r="J72" s="61" t="n"/>
      <c r="K72" s="61" t="n"/>
      <c r="L72" s="62" t="n">
        <v>69000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0.616</v>
      </c>
      <c r="D73" s="11" t="inlineStr">
        <is>
          <t>current</t>
        </is>
      </c>
      <c r="E73" s="58" t="n">
        <v>0.05</v>
      </c>
      <c r="F73" s="59" t="n">
        <v>0.9</v>
      </c>
      <c r="G73" s="59" t="n">
        <v>0.89</v>
      </c>
      <c r="H73" s="60" t="n">
        <v>46295</v>
      </c>
      <c r="I73" s="59" t="n">
        <v>0.885</v>
      </c>
      <c r="J73" s="61" t="n"/>
      <c r="K73" s="61" t="n"/>
      <c r="L73" s="62" t="n">
        <v>57000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v>
      </c>
      <c r="D74" s="11" t="inlineStr">
        <is>
          <t>current</t>
        </is>
      </c>
      <c r="E74" s="58" t="n">
        <v>0.05</v>
      </c>
      <c r="F74" s="59" t="n">
        <v>0.9</v>
      </c>
      <c r="G74" s="59" t="n">
        <v>0.89</v>
      </c>
      <c r="H74" s="60" t="n">
        <v>46295</v>
      </c>
      <c r="I74" s="59" t="n">
        <v>0.9</v>
      </c>
      <c r="J74" s="61" t="n"/>
      <c r="K74" s="61" t="n"/>
      <c r="L74" s="62" t="n">
        <v>45000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Workers Comp</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$N17*IF(nr_ModAdjEff="ON",$O17/nr_MInd,1)</f>
        <v/>
      </c>
      <c r="T17" s="95">
        <f>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$N18*IF(nr_ModAdjEff="ON",$O18/nr_MInd,1)</f>
        <v/>
      </c>
      <c r="T18" s="95">
        <f>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$N19*IF(nr_ModAdjEff="ON",$O19/nr_MInd,1)</f>
        <v/>
      </c>
      <c r="T19" s="95">
        <f>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$N20*IF(nr_ModAdjEff="ON",$O20/nr_MInd,1)</f>
        <v/>
      </c>
      <c r="T20" s="95">
        <f>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$N21*IF(nr_ModAdjEff="ON",$O21/nr_MInd,1)</f>
        <v/>
      </c>
      <c r="T21" s="95">
        <f>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$N22*IF(nr_ModAdjEff="ON",$O22/nr_MInd,1)</f>
        <v/>
      </c>
      <c r="T22" s="95">
        <f>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$N23*IF(nr_ModAdjEff="ON",$O23/nr_MInd,1)</f>
        <v/>
      </c>
      <c r="T23" s="95">
        <f>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$N24*IF(nr_ModAdjEff="ON",$O24/nr_MInd,1)</f>
        <v/>
      </c>
      <c r="T24" s="95">
        <f>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$N25*IF(nr_ModAdjEff="ON",$O25/nr_MInd,1)</f>
        <v/>
      </c>
      <c r="T25" s="95">
        <f>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$N26*IF(nr_ModAdjEff="ON",$O26/nr_MInd,1)</f>
        <v/>
      </c>
      <c r="T26" s="95">
        <f>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$N27*IF(nr_ModAdjEff="ON",$O27/nr_MInd,1)</f>
        <v/>
      </c>
      <c r="T27" s="95">
        <f>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$N28*IF(nr_ModAdjEff="ON",$O28/nr_MInd,1)</f>
        <v/>
      </c>
      <c r="T28" s="95">
        <f>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$N29*IF(nr_ModAdjEff="ON",$O29/nr_MInd,1)</f>
        <v/>
      </c>
      <c r="T29" s="95">
        <f>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$N30*IF(nr_ModAdjEff="ON",$O30/nr_MInd,1)</f>
        <v/>
      </c>
      <c r="T30" s="95">
        <f>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$N31*IF(nr_ModAdjEff="ON",$O31/nr_MInd,1)</f>
        <v/>
      </c>
      <c r="T31" s="95">
        <f>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$N32*IF(nr_ModAdjEff="ON",$O32/nr_MInd,1)</f>
        <v/>
      </c>
      <c r="T32" s="95">
        <f>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$N33*IF(nr_ModAdjEff="ON",$O33/nr_MInd,1)</f>
        <v/>
      </c>
      <c r="T33" s="95">
        <f>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$N34*IF(nr_ModAdjEff="ON",$O34/nr_MInd,1)</f>
        <v/>
      </c>
      <c r="T34" s="95">
        <f>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$N35*IF(nr_ModAdjEff="ON",$O35/nr_MInd,1)</f>
        <v/>
      </c>
      <c r="T35" s="95">
        <f>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$N36*IF(nr_ModAdjEff="ON",$O36/nr_MInd,1)</f>
        <v/>
      </c>
      <c r="T36" s="95">
        <f>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$N37*IF(nr_ModAdjEff="ON",$O37/nr_MInd,1)</f>
        <v/>
      </c>
      <c r="T37" s="95">
        <f>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$N38*IF(nr_ModAdjEff="ON",$O38/nr_MInd,1)</f>
        <v/>
      </c>
      <c r="T38" s="95">
        <f>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$N39*IF(nr_ModAdjEff="ON",$O39/nr_MInd,1)</f>
        <v/>
      </c>
      <c r="T39" s="95">
        <f>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$N40*IF(nr_ModAdjEff="ON",$O40/nr_MInd,1)</f>
        <v/>
      </c>
      <c r="T40" s="95">
        <f>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$N41*IF(nr_ModAdjEff="ON",$O41/nr_MInd,1)</f>
        <v/>
      </c>
      <c r="T41" s="95">
        <f>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$N42*IF(nr_ModAdjEff="ON",$O42/nr_MInd,1)</f>
        <v/>
      </c>
      <c r="T42" s="95">
        <f>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$N43*IF(nr_ModAdjEff="ON",$O43/nr_MInd,1)</f>
        <v/>
      </c>
      <c r="T43" s="95">
        <f>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$N44*IF(nr_ModAdjEff="ON",$O44/nr_MInd,1)</f>
        <v/>
      </c>
      <c r="T44" s="95">
        <f>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$N45*IF(nr_ModAdjEff="ON",$O45/nr_MInd,1)</f>
        <v/>
      </c>
      <c r="T45" s="95">
        <f>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$N46*IF(nr_ModAdjEff="ON",$O46/nr_MInd,1)</f>
        <v/>
      </c>
      <c r="T46" s="95">
        <f>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$N47*IF(nr_ModAdjEff="ON",$O47/nr_MInd,1)</f>
        <v/>
      </c>
      <c r="T47" s="95">
        <f>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$N48*IF(nr_ModAdjEff="ON",$O48/nr_MInd,1)</f>
        <v/>
      </c>
      <c r="T48" s="95">
        <f>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$N49*IF(nr_ModAdjEff="ON",$O49/nr_MInd,1)</f>
        <v/>
      </c>
      <c r="T49" s="95">
        <f>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$N50*IF(nr_ModAdjEff="ON",$O50/nr_MInd,1)</f>
        <v/>
      </c>
      <c r="T50" s="95">
        <f>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$N51*IF(nr_ModAdjEff="ON",$O51/nr_MInd,1)</f>
        <v/>
      </c>
      <c r="T51" s="95">
        <f>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$N52*IF(nr_ModAdjEff="ON",$O52/nr_MInd,1)</f>
        <v/>
      </c>
      <c r="T52" s="95">
        <f>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$N53*IF(nr_ModAdjEff="ON",$O53/nr_MInd,1)</f>
        <v/>
      </c>
      <c r="T53" s="95">
        <f>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$N54*IF(nr_ModAdjEff="ON",$O54/nr_MInd,1)</f>
        <v/>
      </c>
      <c r="T54" s="95">
        <f>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$N55*IF(nr_ModAdjEff="ON",$O55/nr_MInd,1)</f>
        <v/>
      </c>
      <c r="T55" s="95">
        <f>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$N56*IF(nr_ModAdjEff="ON",$O56/nr_MInd,1)</f>
        <v/>
      </c>
      <c r="T56" s="95">
        <f>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$N57*IF(nr_ModAdjEff="ON",$O57/nr_MInd,1)</f>
        <v/>
      </c>
      <c r="T57" s="95">
        <f>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$N58*IF(nr_ModAdjEff="ON",$O58/nr_MInd,1)</f>
        <v/>
      </c>
      <c r="T58" s="95">
        <f>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$N59*IF(nr_ModAdjEff="ON",$O59/nr_MInd,1)</f>
        <v/>
      </c>
      <c r="T59" s="95">
        <f>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$N60*IF(nr_ModAdjEff="ON",$O60/nr_MInd,1)</f>
        <v/>
      </c>
      <c r="T60" s="95">
        <f>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$N61*IF(nr_ModAdjEff="ON",$O61/nr_MInd,1)</f>
        <v/>
      </c>
      <c r="T61" s="95">
        <f>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$N62*IF(nr_ModAdjEff="ON",$O62/nr_MInd,1)</f>
        <v/>
      </c>
      <c r="T62" s="95">
        <f>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$N63*IF(nr_ModAdjEff="ON",$O63/nr_MInd,1)</f>
        <v/>
      </c>
      <c r="T63" s="95">
        <f>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$N64*IF(nr_ModAdjEff="ON",$O64/nr_MInd,1)</f>
        <v/>
      </c>
      <c r="T64" s="95">
        <f>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102">
        <f>nr_MInd</f>
        <v/>
      </c>
      <c r="E5" s="55" t="inlineStr">
        <is>
          <t>Anchor</t>
        </is>
      </c>
      <c r="F5" s="55" t="inlineStr">
        <is>
          <t>x (serial)</t>
        </is>
      </c>
      <c r="G5" s="55" t="inlineStr">
        <is>
          <t>M value</t>
        </is>
      </c>
      <c r="H5" s="55" t="inlineStr">
        <is>
          <t>Slope / day</t>
        </is>
      </c>
      <c r="J5" s="20">
        <f>"Earned mod CY "&amp;(nr_PlanYear-1)</f>
        <v/>
      </c>
      <c r="L5" s="103">
        <f>SUMPRODUCT($D$17:$D$64,$F$17:$F$64,$E$17:$E$64)/SUMPRODUCT($D$17:$D$64,$F$17:$F$64)</f>
        <v/>
      </c>
    </row>
    <row r="6">
      <c r="A6" s="20" t="inlineStr">
        <is>
          <t>Current avg written mod (M_0)</t>
        </is>
      </c>
      <c r="C6" s="102">
        <f>nr_M0</f>
        <v/>
      </c>
      <c r="E6" s="20" t="inlineStr">
        <is>
          <t>A0: backward (as-of - 12 mo)</t>
        </is>
      </c>
      <c r="F6" s="83">
        <f>EDATE(nr_M0Asof,-12)+1</f>
        <v/>
      </c>
      <c r="G6" s="103">
        <f>IF(N(nr_MPrior)=0,$G$7-($G$8-$G$7)/($F$8-$F$7)*($F$7-$F$6),nr_MPrior)</f>
        <v/>
      </c>
      <c r="H6" s="104">
        <f>($G$7-$G$6)/($F$7-$F$6)</f>
        <v/>
      </c>
      <c r="J6" s="20">
        <f>"Earned mod CY "&amp;nr_PlanYear</f>
        <v/>
      </c>
      <c r="L6" s="105">
        <f>SUMPRODUCT($D$17:$D$64,$G$17:$G$64,$E$17:$E$64)/SUMPRODUCT($D$17:$D$64,$G$17:$G$64)</f>
        <v/>
      </c>
    </row>
    <row r="7">
      <c r="A7" s="20" t="inlineStr">
        <is>
          <t>Current mod as-of date</t>
        </is>
      </c>
      <c r="C7" s="106">
        <f>nr_M0Asof</f>
        <v/>
      </c>
      <c r="E7" s="20" t="inlineStr">
        <is>
          <t>A1: M_0 as-of</t>
        </is>
      </c>
      <c r="F7" s="83">
        <f>nr_M0Asof+1</f>
        <v/>
      </c>
      <c r="G7" s="103">
        <f>nr_M0</f>
        <v/>
      </c>
      <c r="H7" s="104">
        <f>($G$8-$G$7)/($F$8-$F$7)</f>
        <v/>
      </c>
      <c r="J7" s="20">
        <f>"Earned mod CY "&amp;(nr_PlanYear+1)</f>
        <v/>
      </c>
      <c r="L7" s="103">
        <f>SUMPRODUCT($D$17:$D$64,$H$17:$H$64,$E$17:$E$64)/SUMPRODUCT($D$17:$D$64,$H$17:$H$64)</f>
        <v/>
      </c>
    </row>
    <row r="8">
      <c r="A8" s="20" t="inlineStr">
        <is>
          <t>Projected mod, end of plan yr (M_1)</t>
        </is>
      </c>
      <c r="C8" s="102">
        <f>nr_M1</f>
        <v/>
      </c>
      <c r="E8" s="20" t="inlineStr">
        <is>
          <t>A2: M_1 at plan-yr end</t>
        </is>
      </c>
      <c r="F8" s="83">
        <f>DATE(nr_PlanYear,12,31)+1</f>
        <v/>
      </c>
      <c r="G8" s="103">
        <f>nr_M1</f>
        <v/>
      </c>
      <c r="H8" s="104">
        <f>($G$9-$G$8)/($F$9-$F$8)</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83">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7">
        <f>'Rate Engine'!$A17</f>
        <v/>
      </c>
      <c r="B17" s="108">
        <f>'Rate Engine'!$B17</f>
        <v/>
      </c>
      <c r="C17" s="109">
        <f>'Rate Engine'!$F17</f>
        <v/>
      </c>
      <c r="D17" s="110">
        <f>'Rate Engine'!$H17</f>
        <v/>
      </c>
      <c r="E17" s="96">
        <f>IF($C17&lt;$F$7,$G$6+$H$6*($C17-$F$6),IF($C17&lt;$F$8,$G$7+$H$7*($C17-$F$7),$G$8+$H$8*($C17-$F$8)))</f>
        <v/>
      </c>
      <c r="F17" s="111">
        <f>'Rate Engine'!$P17</f>
        <v/>
      </c>
      <c r="G17" s="111">
        <f>'Rate Engine'!$Q17</f>
        <v/>
      </c>
      <c r="H17" s="111">
        <f>'Rate Engine'!$R17</f>
        <v/>
      </c>
    </row>
    <row r="18">
      <c r="A18" s="107">
        <f>'Rate Engine'!$A18</f>
        <v/>
      </c>
      <c r="B18" s="108">
        <f>'Rate Engine'!$B18</f>
        <v/>
      </c>
      <c r="C18" s="109">
        <f>'Rate Engine'!$F18</f>
        <v/>
      </c>
      <c r="D18" s="110">
        <f>'Rate Engine'!$H18</f>
        <v/>
      </c>
      <c r="E18" s="96">
        <f>IF($C18&lt;$F$7,$G$6+$H$6*($C18-$F$6),IF($C18&lt;$F$8,$G$7+$H$7*($C18-$F$7),$G$8+$H$8*($C18-$F$8)))</f>
        <v/>
      </c>
      <c r="F18" s="111">
        <f>'Rate Engine'!$P18</f>
        <v/>
      </c>
      <c r="G18" s="111">
        <f>'Rate Engine'!$Q18</f>
        <v/>
      </c>
      <c r="H18" s="111">
        <f>'Rate Engine'!$R18</f>
        <v/>
      </c>
    </row>
    <row r="19">
      <c r="A19" s="107">
        <f>'Rate Engine'!$A19</f>
        <v/>
      </c>
      <c r="B19" s="108">
        <f>'Rate Engine'!$B19</f>
        <v/>
      </c>
      <c r="C19" s="109">
        <f>'Rate Engine'!$F19</f>
        <v/>
      </c>
      <c r="D19" s="110">
        <f>'Rate Engine'!$H19</f>
        <v/>
      </c>
      <c r="E19" s="96">
        <f>IF($C19&lt;$F$7,$G$6+$H$6*($C19-$F$6),IF($C19&lt;$F$8,$G$7+$H$7*($C19-$F$7),$G$8+$H$8*($C19-$F$8)))</f>
        <v/>
      </c>
      <c r="F19" s="111">
        <f>'Rate Engine'!$P19</f>
        <v/>
      </c>
      <c r="G19" s="111">
        <f>'Rate Engine'!$Q19</f>
        <v/>
      </c>
      <c r="H19" s="111">
        <f>'Rate Engine'!$R19</f>
        <v/>
      </c>
    </row>
    <row r="20">
      <c r="A20" s="107">
        <f>'Rate Engine'!$A20</f>
        <v/>
      </c>
      <c r="B20" s="108">
        <f>'Rate Engine'!$B20</f>
        <v/>
      </c>
      <c r="C20" s="109">
        <f>'Rate Engine'!$F20</f>
        <v/>
      </c>
      <c r="D20" s="110">
        <f>'Rate Engine'!$H20</f>
        <v/>
      </c>
      <c r="E20" s="96">
        <f>IF($C20&lt;$F$7,$G$6+$H$6*($C20-$F$6),IF($C20&lt;$F$8,$G$7+$H$7*($C20-$F$7),$G$8+$H$8*($C20-$F$8)))</f>
        <v/>
      </c>
      <c r="F20" s="111">
        <f>'Rate Engine'!$P20</f>
        <v/>
      </c>
      <c r="G20" s="111">
        <f>'Rate Engine'!$Q20</f>
        <v/>
      </c>
      <c r="H20" s="111">
        <f>'Rate Engine'!$R20</f>
        <v/>
      </c>
    </row>
    <row r="21">
      <c r="A21" s="107">
        <f>'Rate Engine'!$A21</f>
        <v/>
      </c>
      <c r="B21" s="108">
        <f>'Rate Engine'!$B21</f>
        <v/>
      </c>
      <c r="C21" s="109">
        <f>'Rate Engine'!$F21</f>
        <v/>
      </c>
      <c r="D21" s="110">
        <f>'Rate Engine'!$H21</f>
        <v/>
      </c>
      <c r="E21" s="96">
        <f>IF($C21&lt;$F$7,$G$6+$H$6*($C21-$F$6),IF($C21&lt;$F$8,$G$7+$H$7*($C21-$F$7),$G$8+$H$8*($C21-$F$8)))</f>
        <v/>
      </c>
      <c r="F21" s="111">
        <f>'Rate Engine'!$P21</f>
        <v/>
      </c>
      <c r="G21" s="111">
        <f>'Rate Engine'!$Q21</f>
        <v/>
      </c>
      <c r="H21" s="111">
        <f>'Rate Engine'!$R21</f>
        <v/>
      </c>
    </row>
    <row r="22">
      <c r="A22" s="107">
        <f>'Rate Engine'!$A22</f>
        <v/>
      </c>
      <c r="B22" s="108">
        <f>'Rate Engine'!$B22</f>
        <v/>
      </c>
      <c r="C22" s="109">
        <f>'Rate Engine'!$F22</f>
        <v/>
      </c>
      <c r="D22" s="110">
        <f>'Rate Engine'!$H22</f>
        <v/>
      </c>
      <c r="E22" s="96">
        <f>IF($C22&lt;$F$7,$G$6+$H$6*($C22-$F$6),IF($C22&lt;$F$8,$G$7+$H$7*($C22-$F$7),$G$8+$H$8*($C22-$F$8)))</f>
        <v/>
      </c>
      <c r="F22" s="111">
        <f>'Rate Engine'!$P22</f>
        <v/>
      </c>
      <c r="G22" s="111">
        <f>'Rate Engine'!$Q22</f>
        <v/>
      </c>
      <c r="H22" s="111">
        <f>'Rate Engine'!$R22</f>
        <v/>
      </c>
    </row>
    <row r="23">
      <c r="A23" s="107">
        <f>'Rate Engine'!$A23</f>
        <v/>
      </c>
      <c r="B23" s="108">
        <f>'Rate Engine'!$B23</f>
        <v/>
      </c>
      <c r="C23" s="109">
        <f>'Rate Engine'!$F23</f>
        <v/>
      </c>
      <c r="D23" s="110">
        <f>'Rate Engine'!$H23</f>
        <v/>
      </c>
      <c r="E23" s="96">
        <f>IF($C23&lt;$F$7,$G$6+$H$6*($C23-$F$6),IF($C23&lt;$F$8,$G$7+$H$7*($C23-$F$7),$G$8+$H$8*($C23-$F$8)))</f>
        <v/>
      </c>
      <c r="F23" s="111">
        <f>'Rate Engine'!$P23</f>
        <v/>
      </c>
      <c r="G23" s="111">
        <f>'Rate Engine'!$Q23</f>
        <v/>
      </c>
      <c r="H23" s="111">
        <f>'Rate Engine'!$R23</f>
        <v/>
      </c>
    </row>
    <row r="24">
      <c r="A24" s="107">
        <f>'Rate Engine'!$A24</f>
        <v/>
      </c>
      <c r="B24" s="108">
        <f>'Rate Engine'!$B24</f>
        <v/>
      </c>
      <c r="C24" s="109">
        <f>'Rate Engine'!$F24</f>
        <v/>
      </c>
      <c r="D24" s="110">
        <f>'Rate Engine'!$H24</f>
        <v/>
      </c>
      <c r="E24" s="96">
        <f>IF($C24&lt;$F$7,$G$6+$H$6*($C24-$F$6),IF($C24&lt;$F$8,$G$7+$H$7*($C24-$F$7),$G$8+$H$8*($C24-$F$8)))</f>
        <v/>
      </c>
      <c r="F24" s="111">
        <f>'Rate Engine'!$P24</f>
        <v/>
      </c>
      <c r="G24" s="111">
        <f>'Rate Engine'!$Q24</f>
        <v/>
      </c>
      <c r="H24" s="111">
        <f>'Rate Engine'!$R24</f>
        <v/>
      </c>
    </row>
    <row r="25">
      <c r="A25" s="107">
        <f>'Rate Engine'!$A25</f>
        <v/>
      </c>
      <c r="B25" s="108">
        <f>'Rate Engine'!$B25</f>
        <v/>
      </c>
      <c r="C25" s="109">
        <f>'Rate Engine'!$F25</f>
        <v/>
      </c>
      <c r="D25" s="110">
        <f>'Rate Engine'!$H25</f>
        <v/>
      </c>
      <c r="E25" s="96">
        <f>IF($C25&lt;$F$7,$G$6+$H$6*($C25-$F$6),IF($C25&lt;$F$8,$G$7+$H$7*($C25-$F$7),$G$8+$H$8*($C25-$F$8)))</f>
        <v/>
      </c>
      <c r="F25" s="111">
        <f>'Rate Engine'!$P25</f>
        <v/>
      </c>
      <c r="G25" s="111">
        <f>'Rate Engine'!$Q25</f>
        <v/>
      </c>
      <c r="H25" s="111">
        <f>'Rate Engine'!$R25</f>
        <v/>
      </c>
    </row>
    <row r="26">
      <c r="A26" s="107">
        <f>'Rate Engine'!$A26</f>
        <v/>
      </c>
      <c r="B26" s="108">
        <f>'Rate Engine'!$B26</f>
        <v/>
      </c>
      <c r="C26" s="109">
        <f>'Rate Engine'!$F26</f>
        <v/>
      </c>
      <c r="D26" s="110">
        <f>'Rate Engine'!$H26</f>
        <v/>
      </c>
      <c r="E26" s="96">
        <f>IF($C26&lt;$F$7,$G$6+$H$6*($C26-$F$6),IF($C26&lt;$F$8,$G$7+$H$7*($C26-$F$7),$G$8+$H$8*($C26-$F$8)))</f>
        <v/>
      </c>
      <c r="F26" s="111">
        <f>'Rate Engine'!$P26</f>
        <v/>
      </c>
      <c r="G26" s="111">
        <f>'Rate Engine'!$Q26</f>
        <v/>
      </c>
      <c r="H26" s="111">
        <f>'Rate Engine'!$R26</f>
        <v/>
      </c>
    </row>
    <row r="27">
      <c r="A27" s="107">
        <f>'Rate Engine'!$A27</f>
        <v/>
      </c>
      <c r="B27" s="108">
        <f>'Rate Engine'!$B27</f>
        <v/>
      </c>
      <c r="C27" s="109">
        <f>'Rate Engine'!$F27</f>
        <v/>
      </c>
      <c r="D27" s="110">
        <f>'Rate Engine'!$H27</f>
        <v/>
      </c>
      <c r="E27" s="96">
        <f>IF($C27&lt;$F$7,$G$6+$H$6*($C27-$F$6),IF($C27&lt;$F$8,$G$7+$H$7*($C27-$F$7),$G$8+$H$8*($C27-$F$8)))</f>
        <v/>
      </c>
      <c r="F27" s="111">
        <f>'Rate Engine'!$P27</f>
        <v/>
      </c>
      <c r="G27" s="111">
        <f>'Rate Engine'!$Q27</f>
        <v/>
      </c>
      <c r="H27" s="111">
        <f>'Rate Engine'!$R27</f>
        <v/>
      </c>
    </row>
    <row r="28">
      <c r="A28" s="107">
        <f>'Rate Engine'!$A28</f>
        <v/>
      </c>
      <c r="B28" s="108">
        <f>'Rate Engine'!$B28</f>
        <v/>
      </c>
      <c r="C28" s="109">
        <f>'Rate Engine'!$F28</f>
        <v/>
      </c>
      <c r="D28" s="110">
        <f>'Rate Engine'!$H28</f>
        <v/>
      </c>
      <c r="E28" s="96">
        <f>IF($C28&lt;$F$7,$G$6+$H$6*($C28-$F$6),IF($C28&lt;$F$8,$G$7+$H$7*($C28-$F$7),$G$8+$H$8*($C28-$F$8)))</f>
        <v/>
      </c>
      <c r="F28" s="111">
        <f>'Rate Engine'!$P28</f>
        <v/>
      </c>
      <c r="G28" s="111">
        <f>'Rate Engine'!$Q28</f>
        <v/>
      </c>
      <c r="H28" s="111">
        <f>'Rate Engine'!$R28</f>
        <v/>
      </c>
    </row>
    <row r="29">
      <c r="A29" s="107">
        <f>'Rate Engine'!$A29</f>
        <v/>
      </c>
      <c r="B29" s="108">
        <f>'Rate Engine'!$B29</f>
        <v/>
      </c>
      <c r="C29" s="109">
        <f>'Rate Engine'!$F29</f>
        <v/>
      </c>
      <c r="D29" s="110">
        <f>'Rate Engine'!$H29</f>
        <v/>
      </c>
      <c r="E29" s="96">
        <f>IF($C29&lt;$F$7,$G$6+$H$6*($C29-$F$6),IF($C29&lt;$F$8,$G$7+$H$7*($C29-$F$7),$G$8+$H$8*($C29-$F$8)))</f>
        <v/>
      </c>
      <c r="F29" s="111">
        <f>'Rate Engine'!$P29</f>
        <v/>
      </c>
      <c r="G29" s="111">
        <f>'Rate Engine'!$Q29</f>
        <v/>
      </c>
      <c r="H29" s="111">
        <f>'Rate Engine'!$R29</f>
        <v/>
      </c>
    </row>
    <row r="30">
      <c r="A30" s="107">
        <f>'Rate Engine'!$A30</f>
        <v/>
      </c>
      <c r="B30" s="108">
        <f>'Rate Engine'!$B30</f>
        <v/>
      </c>
      <c r="C30" s="109">
        <f>'Rate Engine'!$F30</f>
        <v/>
      </c>
      <c r="D30" s="110">
        <f>'Rate Engine'!$H30</f>
        <v/>
      </c>
      <c r="E30" s="96">
        <f>IF($C30&lt;$F$7,$G$6+$H$6*($C30-$F$6),IF($C30&lt;$F$8,$G$7+$H$7*($C30-$F$7),$G$8+$H$8*($C30-$F$8)))</f>
        <v/>
      </c>
      <c r="F30" s="111">
        <f>'Rate Engine'!$P30</f>
        <v/>
      </c>
      <c r="G30" s="111">
        <f>'Rate Engine'!$Q30</f>
        <v/>
      </c>
      <c r="H30" s="111">
        <f>'Rate Engine'!$R30</f>
        <v/>
      </c>
    </row>
    <row r="31">
      <c r="A31" s="107">
        <f>'Rate Engine'!$A31</f>
        <v/>
      </c>
      <c r="B31" s="108">
        <f>'Rate Engine'!$B31</f>
        <v/>
      </c>
      <c r="C31" s="109">
        <f>'Rate Engine'!$F31</f>
        <v/>
      </c>
      <c r="D31" s="110">
        <f>'Rate Engine'!$H31</f>
        <v/>
      </c>
      <c r="E31" s="96">
        <f>IF($C31&lt;$F$7,$G$6+$H$6*($C31-$F$6),IF($C31&lt;$F$8,$G$7+$H$7*($C31-$F$7),$G$8+$H$8*($C31-$F$8)))</f>
        <v/>
      </c>
      <c r="F31" s="111">
        <f>'Rate Engine'!$P31</f>
        <v/>
      </c>
      <c r="G31" s="111">
        <f>'Rate Engine'!$Q31</f>
        <v/>
      </c>
      <c r="H31" s="111">
        <f>'Rate Engine'!$R31</f>
        <v/>
      </c>
    </row>
    <row r="32">
      <c r="A32" s="107">
        <f>'Rate Engine'!$A32</f>
        <v/>
      </c>
      <c r="B32" s="108">
        <f>'Rate Engine'!$B32</f>
        <v/>
      </c>
      <c r="C32" s="109">
        <f>'Rate Engine'!$F32</f>
        <v/>
      </c>
      <c r="D32" s="110">
        <f>'Rate Engine'!$H32</f>
        <v/>
      </c>
      <c r="E32" s="96">
        <f>IF($C32&lt;$F$7,$G$6+$H$6*($C32-$F$6),IF($C32&lt;$F$8,$G$7+$H$7*($C32-$F$7),$G$8+$H$8*($C32-$F$8)))</f>
        <v/>
      </c>
      <c r="F32" s="111">
        <f>'Rate Engine'!$P32</f>
        <v/>
      </c>
      <c r="G32" s="111">
        <f>'Rate Engine'!$Q32</f>
        <v/>
      </c>
      <c r="H32" s="111">
        <f>'Rate Engine'!$R32</f>
        <v/>
      </c>
    </row>
    <row r="33">
      <c r="A33" s="107">
        <f>'Rate Engine'!$A33</f>
        <v/>
      </c>
      <c r="B33" s="108">
        <f>'Rate Engine'!$B33</f>
        <v/>
      </c>
      <c r="C33" s="109">
        <f>'Rate Engine'!$F33</f>
        <v/>
      </c>
      <c r="D33" s="110">
        <f>'Rate Engine'!$H33</f>
        <v/>
      </c>
      <c r="E33" s="96">
        <f>IF($C33&lt;$F$7,$G$6+$H$6*($C33-$F$6),IF($C33&lt;$F$8,$G$7+$H$7*($C33-$F$7),$G$8+$H$8*($C33-$F$8)))</f>
        <v/>
      </c>
      <c r="F33" s="111">
        <f>'Rate Engine'!$P33</f>
        <v/>
      </c>
      <c r="G33" s="111">
        <f>'Rate Engine'!$Q33</f>
        <v/>
      </c>
      <c r="H33" s="111">
        <f>'Rate Engine'!$R33</f>
        <v/>
      </c>
    </row>
    <row r="34">
      <c r="A34" s="107">
        <f>'Rate Engine'!$A34</f>
        <v/>
      </c>
      <c r="B34" s="108">
        <f>'Rate Engine'!$B34</f>
        <v/>
      </c>
      <c r="C34" s="109">
        <f>'Rate Engine'!$F34</f>
        <v/>
      </c>
      <c r="D34" s="110">
        <f>'Rate Engine'!$H34</f>
        <v/>
      </c>
      <c r="E34" s="96">
        <f>IF($C34&lt;$F$7,$G$6+$H$6*($C34-$F$6),IF($C34&lt;$F$8,$G$7+$H$7*($C34-$F$7),$G$8+$H$8*($C34-$F$8)))</f>
        <v/>
      </c>
      <c r="F34" s="111">
        <f>'Rate Engine'!$P34</f>
        <v/>
      </c>
      <c r="G34" s="111">
        <f>'Rate Engine'!$Q34</f>
        <v/>
      </c>
      <c r="H34" s="111">
        <f>'Rate Engine'!$R34</f>
        <v/>
      </c>
    </row>
    <row r="35">
      <c r="A35" s="107">
        <f>'Rate Engine'!$A35</f>
        <v/>
      </c>
      <c r="B35" s="108">
        <f>'Rate Engine'!$B35</f>
        <v/>
      </c>
      <c r="C35" s="109">
        <f>'Rate Engine'!$F35</f>
        <v/>
      </c>
      <c r="D35" s="110">
        <f>'Rate Engine'!$H35</f>
        <v/>
      </c>
      <c r="E35" s="96">
        <f>IF($C35&lt;$F$7,$G$6+$H$6*($C35-$F$6),IF($C35&lt;$F$8,$G$7+$H$7*($C35-$F$7),$G$8+$H$8*($C35-$F$8)))</f>
        <v/>
      </c>
      <c r="F35" s="111">
        <f>'Rate Engine'!$P35</f>
        <v/>
      </c>
      <c r="G35" s="111">
        <f>'Rate Engine'!$Q35</f>
        <v/>
      </c>
      <c r="H35" s="111">
        <f>'Rate Engine'!$R35</f>
        <v/>
      </c>
    </row>
    <row r="36">
      <c r="A36" s="107">
        <f>'Rate Engine'!$A36</f>
        <v/>
      </c>
      <c r="B36" s="108">
        <f>'Rate Engine'!$B36</f>
        <v/>
      </c>
      <c r="C36" s="109">
        <f>'Rate Engine'!$F36</f>
        <v/>
      </c>
      <c r="D36" s="110">
        <f>'Rate Engine'!$H36</f>
        <v/>
      </c>
      <c r="E36" s="96">
        <f>IF($C36&lt;$F$7,$G$6+$H$6*($C36-$F$6),IF($C36&lt;$F$8,$G$7+$H$7*($C36-$F$7),$G$8+$H$8*($C36-$F$8)))</f>
        <v/>
      </c>
      <c r="F36" s="111">
        <f>'Rate Engine'!$P36</f>
        <v/>
      </c>
      <c r="G36" s="111">
        <f>'Rate Engine'!$Q36</f>
        <v/>
      </c>
      <c r="H36" s="111">
        <f>'Rate Engine'!$R36</f>
        <v/>
      </c>
    </row>
    <row r="37">
      <c r="A37" s="107">
        <f>'Rate Engine'!$A37</f>
        <v/>
      </c>
      <c r="B37" s="108">
        <f>'Rate Engine'!$B37</f>
        <v/>
      </c>
      <c r="C37" s="109">
        <f>'Rate Engine'!$F37</f>
        <v/>
      </c>
      <c r="D37" s="110">
        <f>'Rate Engine'!$H37</f>
        <v/>
      </c>
      <c r="E37" s="96">
        <f>IF($C37&lt;$F$7,$G$6+$H$6*($C37-$F$6),IF($C37&lt;$F$8,$G$7+$H$7*($C37-$F$7),$G$8+$H$8*($C37-$F$8)))</f>
        <v/>
      </c>
      <c r="F37" s="111">
        <f>'Rate Engine'!$P37</f>
        <v/>
      </c>
      <c r="G37" s="111">
        <f>'Rate Engine'!$Q37</f>
        <v/>
      </c>
      <c r="H37" s="111">
        <f>'Rate Engine'!$R37</f>
        <v/>
      </c>
    </row>
    <row r="38">
      <c r="A38" s="107">
        <f>'Rate Engine'!$A38</f>
        <v/>
      </c>
      <c r="B38" s="108">
        <f>'Rate Engine'!$B38</f>
        <v/>
      </c>
      <c r="C38" s="109">
        <f>'Rate Engine'!$F38</f>
        <v/>
      </c>
      <c r="D38" s="110">
        <f>'Rate Engine'!$H38</f>
        <v/>
      </c>
      <c r="E38" s="96">
        <f>IF($C38&lt;$F$7,$G$6+$H$6*($C38-$F$6),IF($C38&lt;$F$8,$G$7+$H$7*($C38-$F$7),$G$8+$H$8*($C38-$F$8)))</f>
        <v/>
      </c>
      <c r="F38" s="111">
        <f>'Rate Engine'!$P38</f>
        <v/>
      </c>
      <c r="G38" s="111">
        <f>'Rate Engine'!$Q38</f>
        <v/>
      </c>
      <c r="H38" s="111">
        <f>'Rate Engine'!$R38</f>
        <v/>
      </c>
    </row>
    <row r="39">
      <c r="A39" s="107">
        <f>'Rate Engine'!$A39</f>
        <v/>
      </c>
      <c r="B39" s="108">
        <f>'Rate Engine'!$B39</f>
        <v/>
      </c>
      <c r="C39" s="109">
        <f>'Rate Engine'!$F39</f>
        <v/>
      </c>
      <c r="D39" s="110">
        <f>'Rate Engine'!$H39</f>
        <v/>
      </c>
      <c r="E39" s="96">
        <f>IF($C39&lt;$F$7,$G$6+$H$6*($C39-$F$6),IF($C39&lt;$F$8,$G$7+$H$7*($C39-$F$7),$G$8+$H$8*($C39-$F$8)))</f>
        <v/>
      </c>
      <c r="F39" s="111">
        <f>'Rate Engine'!$P39</f>
        <v/>
      </c>
      <c r="G39" s="111">
        <f>'Rate Engine'!$Q39</f>
        <v/>
      </c>
      <c r="H39" s="111">
        <f>'Rate Engine'!$R39</f>
        <v/>
      </c>
    </row>
    <row r="40">
      <c r="A40" s="107">
        <f>'Rate Engine'!$A40</f>
        <v/>
      </c>
      <c r="B40" s="108">
        <f>'Rate Engine'!$B40</f>
        <v/>
      </c>
      <c r="C40" s="109">
        <f>'Rate Engine'!$F40</f>
        <v/>
      </c>
      <c r="D40" s="110">
        <f>'Rate Engine'!$H40</f>
        <v/>
      </c>
      <c r="E40" s="96">
        <f>IF($C40&lt;$F$7,$G$6+$H$6*($C40-$F$6),IF($C40&lt;$F$8,$G$7+$H$7*($C40-$F$7),$G$8+$H$8*($C40-$F$8)))</f>
        <v/>
      </c>
      <c r="F40" s="111">
        <f>'Rate Engine'!$P40</f>
        <v/>
      </c>
      <c r="G40" s="111">
        <f>'Rate Engine'!$Q40</f>
        <v/>
      </c>
      <c r="H40" s="111">
        <f>'Rate Engine'!$R40</f>
        <v/>
      </c>
    </row>
    <row r="41">
      <c r="A41" s="107">
        <f>'Rate Engine'!$A41</f>
        <v/>
      </c>
      <c r="B41" s="108">
        <f>'Rate Engine'!$B41</f>
        <v/>
      </c>
      <c r="C41" s="109">
        <f>'Rate Engine'!$F41</f>
        <v/>
      </c>
      <c r="D41" s="110">
        <f>'Rate Engine'!$H41</f>
        <v/>
      </c>
      <c r="E41" s="96">
        <f>IF($C41&lt;$F$7,$G$6+$H$6*($C41-$F$6),IF($C41&lt;$F$8,$G$7+$H$7*($C41-$F$7),$G$8+$H$8*($C41-$F$8)))</f>
        <v/>
      </c>
      <c r="F41" s="111">
        <f>'Rate Engine'!$P41</f>
        <v/>
      </c>
      <c r="G41" s="111">
        <f>'Rate Engine'!$Q41</f>
        <v/>
      </c>
      <c r="H41" s="111">
        <f>'Rate Engine'!$R41</f>
        <v/>
      </c>
    </row>
    <row r="42">
      <c r="A42" s="107">
        <f>'Rate Engine'!$A42</f>
        <v/>
      </c>
      <c r="B42" s="108">
        <f>'Rate Engine'!$B42</f>
        <v/>
      </c>
      <c r="C42" s="109">
        <f>'Rate Engine'!$F42</f>
        <v/>
      </c>
      <c r="D42" s="110">
        <f>'Rate Engine'!$H42</f>
        <v/>
      </c>
      <c r="E42" s="96">
        <f>IF($C42&lt;$F$7,$G$6+$H$6*($C42-$F$6),IF($C42&lt;$F$8,$G$7+$H$7*($C42-$F$7),$G$8+$H$8*($C42-$F$8)))</f>
        <v/>
      </c>
      <c r="F42" s="111">
        <f>'Rate Engine'!$P42</f>
        <v/>
      </c>
      <c r="G42" s="111">
        <f>'Rate Engine'!$Q42</f>
        <v/>
      </c>
      <c r="H42" s="111">
        <f>'Rate Engine'!$R42</f>
        <v/>
      </c>
    </row>
    <row r="43">
      <c r="A43" s="107">
        <f>'Rate Engine'!$A43</f>
        <v/>
      </c>
      <c r="B43" s="108">
        <f>'Rate Engine'!$B43</f>
        <v/>
      </c>
      <c r="C43" s="109">
        <f>'Rate Engine'!$F43</f>
        <v/>
      </c>
      <c r="D43" s="110">
        <f>'Rate Engine'!$H43</f>
        <v/>
      </c>
      <c r="E43" s="96">
        <f>IF($C43&lt;$F$7,$G$6+$H$6*($C43-$F$6),IF($C43&lt;$F$8,$G$7+$H$7*($C43-$F$7),$G$8+$H$8*($C43-$F$8)))</f>
        <v/>
      </c>
      <c r="F43" s="111">
        <f>'Rate Engine'!$P43</f>
        <v/>
      </c>
      <c r="G43" s="111">
        <f>'Rate Engine'!$Q43</f>
        <v/>
      </c>
      <c r="H43" s="111">
        <f>'Rate Engine'!$R43</f>
        <v/>
      </c>
    </row>
    <row r="44">
      <c r="A44" s="107">
        <f>'Rate Engine'!$A44</f>
        <v/>
      </c>
      <c r="B44" s="108">
        <f>'Rate Engine'!$B44</f>
        <v/>
      </c>
      <c r="C44" s="109">
        <f>'Rate Engine'!$F44</f>
        <v/>
      </c>
      <c r="D44" s="110">
        <f>'Rate Engine'!$H44</f>
        <v/>
      </c>
      <c r="E44" s="96">
        <f>IF($C44&lt;$F$7,$G$6+$H$6*($C44-$F$6),IF($C44&lt;$F$8,$G$7+$H$7*($C44-$F$7),$G$8+$H$8*($C44-$F$8)))</f>
        <v/>
      </c>
      <c r="F44" s="111">
        <f>'Rate Engine'!$P44</f>
        <v/>
      </c>
      <c r="G44" s="111">
        <f>'Rate Engine'!$Q44</f>
        <v/>
      </c>
      <c r="H44" s="111">
        <f>'Rate Engine'!$R44</f>
        <v/>
      </c>
    </row>
    <row r="45">
      <c r="A45" s="107">
        <f>'Rate Engine'!$A45</f>
        <v/>
      </c>
      <c r="B45" s="108">
        <f>'Rate Engine'!$B45</f>
        <v/>
      </c>
      <c r="C45" s="109">
        <f>'Rate Engine'!$F45</f>
        <v/>
      </c>
      <c r="D45" s="110">
        <f>'Rate Engine'!$H45</f>
        <v/>
      </c>
      <c r="E45" s="96">
        <f>IF($C45&lt;$F$7,$G$6+$H$6*($C45-$F$6),IF($C45&lt;$F$8,$G$7+$H$7*($C45-$F$7),$G$8+$H$8*($C45-$F$8)))</f>
        <v/>
      </c>
      <c r="F45" s="111">
        <f>'Rate Engine'!$P45</f>
        <v/>
      </c>
      <c r="G45" s="111">
        <f>'Rate Engine'!$Q45</f>
        <v/>
      </c>
      <c r="H45" s="111">
        <f>'Rate Engine'!$R45</f>
        <v/>
      </c>
    </row>
    <row r="46">
      <c r="A46" s="107">
        <f>'Rate Engine'!$A46</f>
        <v/>
      </c>
      <c r="B46" s="108">
        <f>'Rate Engine'!$B46</f>
        <v/>
      </c>
      <c r="C46" s="109">
        <f>'Rate Engine'!$F46</f>
        <v/>
      </c>
      <c r="D46" s="110">
        <f>'Rate Engine'!$H46</f>
        <v/>
      </c>
      <c r="E46" s="96">
        <f>IF($C46&lt;$F$7,$G$6+$H$6*($C46-$F$6),IF($C46&lt;$F$8,$G$7+$H$7*($C46-$F$7),$G$8+$H$8*($C46-$F$8)))</f>
        <v/>
      </c>
      <c r="F46" s="111">
        <f>'Rate Engine'!$P46</f>
        <v/>
      </c>
      <c r="G46" s="111">
        <f>'Rate Engine'!$Q46</f>
        <v/>
      </c>
      <c r="H46" s="111">
        <f>'Rate Engine'!$R46</f>
        <v/>
      </c>
    </row>
    <row r="47">
      <c r="A47" s="107">
        <f>'Rate Engine'!$A47</f>
        <v/>
      </c>
      <c r="B47" s="108">
        <f>'Rate Engine'!$B47</f>
        <v/>
      </c>
      <c r="C47" s="109">
        <f>'Rate Engine'!$F47</f>
        <v/>
      </c>
      <c r="D47" s="110">
        <f>'Rate Engine'!$H47</f>
        <v/>
      </c>
      <c r="E47" s="96">
        <f>IF($C47&lt;$F$7,$G$6+$H$6*($C47-$F$6),IF($C47&lt;$F$8,$G$7+$H$7*($C47-$F$7),$G$8+$H$8*($C47-$F$8)))</f>
        <v/>
      </c>
      <c r="F47" s="111">
        <f>'Rate Engine'!$P47</f>
        <v/>
      </c>
      <c r="G47" s="111">
        <f>'Rate Engine'!$Q47</f>
        <v/>
      </c>
      <c r="H47" s="111">
        <f>'Rate Engine'!$R47</f>
        <v/>
      </c>
    </row>
    <row r="48">
      <c r="A48" s="107">
        <f>'Rate Engine'!$A48</f>
        <v/>
      </c>
      <c r="B48" s="108">
        <f>'Rate Engine'!$B48</f>
        <v/>
      </c>
      <c r="C48" s="109">
        <f>'Rate Engine'!$F48</f>
        <v/>
      </c>
      <c r="D48" s="110">
        <f>'Rate Engine'!$H48</f>
        <v/>
      </c>
      <c r="E48" s="96">
        <f>IF($C48&lt;$F$7,$G$6+$H$6*($C48-$F$6),IF($C48&lt;$F$8,$G$7+$H$7*($C48-$F$7),$G$8+$H$8*($C48-$F$8)))</f>
        <v/>
      </c>
      <c r="F48" s="111">
        <f>'Rate Engine'!$P48</f>
        <v/>
      </c>
      <c r="G48" s="111">
        <f>'Rate Engine'!$Q48</f>
        <v/>
      </c>
      <c r="H48" s="111">
        <f>'Rate Engine'!$R48</f>
        <v/>
      </c>
    </row>
    <row r="49">
      <c r="A49" s="107">
        <f>'Rate Engine'!$A49</f>
        <v/>
      </c>
      <c r="B49" s="108">
        <f>'Rate Engine'!$B49</f>
        <v/>
      </c>
      <c r="C49" s="109">
        <f>'Rate Engine'!$F49</f>
        <v/>
      </c>
      <c r="D49" s="110">
        <f>'Rate Engine'!$H49</f>
        <v/>
      </c>
      <c r="E49" s="96">
        <f>IF($C49&lt;$F$7,$G$6+$H$6*($C49-$F$6),IF($C49&lt;$F$8,$G$7+$H$7*($C49-$F$7),$G$8+$H$8*($C49-$F$8)))</f>
        <v/>
      </c>
      <c r="F49" s="111">
        <f>'Rate Engine'!$P49</f>
        <v/>
      </c>
      <c r="G49" s="111">
        <f>'Rate Engine'!$Q49</f>
        <v/>
      </c>
      <c r="H49" s="111">
        <f>'Rate Engine'!$R49</f>
        <v/>
      </c>
    </row>
    <row r="50">
      <c r="A50" s="107">
        <f>'Rate Engine'!$A50</f>
        <v/>
      </c>
      <c r="B50" s="108">
        <f>'Rate Engine'!$B50</f>
        <v/>
      </c>
      <c r="C50" s="109">
        <f>'Rate Engine'!$F50</f>
        <v/>
      </c>
      <c r="D50" s="110">
        <f>'Rate Engine'!$H50</f>
        <v/>
      </c>
      <c r="E50" s="96">
        <f>IF($C50&lt;$F$7,$G$6+$H$6*($C50-$F$6),IF($C50&lt;$F$8,$G$7+$H$7*($C50-$F$7),$G$8+$H$8*($C50-$F$8)))</f>
        <v/>
      </c>
      <c r="F50" s="111">
        <f>'Rate Engine'!$P50</f>
        <v/>
      </c>
      <c r="G50" s="111">
        <f>'Rate Engine'!$Q50</f>
        <v/>
      </c>
      <c r="H50" s="111">
        <f>'Rate Engine'!$R50</f>
        <v/>
      </c>
    </row>
    <row r="51">
      <c r="A51" s="107">
        <f>'Rate Engine'!$A51</f>
        <v/>
      </c>
      <c r="B51" s="108">
        <f>'Rate Engine'!$B51</f>
        <v/>
      </c>
      <c r="C51" s="109">
        <f>'Rate Engine'!$F51</f>
        <v/>
      </c>
      <c r="D51" s="110">
        <f>'Rate Engine'!$H51</f>
        <v/>
      </c>
      <c r="E51" s="96">
        <f>IF($C51&lt;$F$7,$G$6+$H$6*($C51-$F$6),IF($C51&lt;$F$8,$G$7+$H$7*($C51-$F$7),$G$8+$H$8*($C51-$F$8)))</f>
        <v/>
      </c>
      <c r="F51" s="111">
        <f>'Rate Engine'!$P51</f>
        <v/>
      </c>
      <c r="G51" s="111">
        <f>'Rate Engine'!$Q51</f>
        <v/>
      </c>
      <c r="H51" s="111">
        <f>'Rate Engine'!$R51</f>
        <v/>
      </c>
    </row>
    <row r="52">
      <c r="A52" s="107">
        <f>'Rate Engine'!$A52</f>
        <v/>
      </c>
      <c r="B52" s="108">
        <f>'Rate Engine'!$B52</f>
        <v/>
      </c>
      <c r="C52" s="109">
        <f>'Rate Engine'!$F52</f>
        <v/>
      </c>
      <c r="D52" s="110">
        <f>'Rate Engine'!$H52</f>
        <v/>
      </c>
      <c r="E52" s="96">
        <f>IF($C52&lt;$F$7,$G$6+$H$6*($C52-$F$6),IF($C52&lt;$F$8,$G$7+$H$7*($C52-$F$7),$G$8+$H$8*($C52-$F$8)))</f>
        <v/>
      </c>
      <c r="F52" s="111">
        <f>'Rate Engine'!$P52</f>
        <v/>
      </c>
      <c r="G52" s="111">
        <f>'Rate Engine'!$Q52</f>
        <v/>
      </c>
      <c r="H52" s="111">
        <f>'Rate Engine'!$R52</f>
        <v/>
      </c>
    </row>
    <row r="53">
      <c r="A53" s="107">
        <f>'Rate Engine'!$A53</f>
        <v/>
      </c>
      <c r="B53" s="108">
        <f>'Rate Engine'!$B53</f>
        <v/>
      </c>
      <c r="C53" s="109">
        <f>'Rate Engine'!$F53</f>
        <v/>
      </c>
      <c r="D53" s="110">
        <f>'Rate Engine'!$H53</f>
        <v/>
      </c>
      <c r="E53" s="96">
        <f>IF($C53&lt;$F$7,$G$6+$H$6*($C53-$F$6),IF($C53&lt;$F$8,$G$7+$H$7*($C53-$F$7),$G$8+$H$8*($C53-$F$8)))</f>
        <v/>
      </c>
      <c r="F53" s="111">
        <f>'Rate Engine'!$P53</f>
        <v/>
      </c>
      <c r="G53" s="111">
        <f>'Rate Engine'!$Q53</f>
        <v/>
      </c>
      <c r="H53" s="111">
        <f>'Rate Engine'!$R53</f>
        <v/>
      </c>
    </row>
    <row r="54">
      <c r="A54" s="107">
        <f>'Rate Engine'!$A54</f>
        <v/>
      </c>
      <c r="B54" s="108">
        <f>'Rate Engine'!$B54</f>
        <v/>
      </c>
      <c r="C54" s="109">
        <f>'Rate Engine'!$F54</f>
        <v/>
      </c>
      <c r="D54" s="110">
        <f>'Rate Engine'!$H54</f>
        <v/>
      </c>
      <c r="E54" s="96">
        <f>IF($C54&lt;$F$7,$G$6+$H$6*($C54-$F$6),IF($C54&lt;$F$8,$G$7+$H$7*($C54-$F$7),$G$8+$H$8*($C54-$F$8)))</f>
        <v/>
      </c>
      <c r="F54" s="111">
        <f>'Rate Engine'!$P54</f>
        <v/>
      </c>
      <c r="G54" s="111">
        <f>'Rate Engine'!$Q54</f>
        <v/>
      </c>
      <c r="H54" s="111">
        <f>'Rate Engine'!$R54</f>
        <v/>
      </c>
    </row>
    <row r="55">
      <c r="A55" s="107">
        <f>'Rate Engine'!$A55</f>
        <v/>
      </c>
      <c r="B55" s="108">
        <f>'Rate Engine'!$B55</f>
        <v/>
      </c>
      <c r="C55" s="109">
        <f>'Rate Engine'!$F55</f>
        <v/>
      </c>
      <c r="D55" s="110">
        <f>'Rate Engine'!$H55</f>
        <v/>
      </c>
      <c r="E55" s="96">
        <f>IF($C55&lt;$F$7,$G$6+$H$6*($C55-$F$6),IF($C55&lt;$F$8,$G$7+$H$7*($C55-$F$7),$G$8+$H$8*($C55-$F$8)))</f>
        <v/>
      </c>
      <c r="F55" s="111">
        <f>'Rate Engine'!$P55</f>
        <v/>
      </c>
      <c r="G55" s="111">
        <f>'Rate Engine'!$Q55</f>
        <v/>
      </c>
      <c r="H55" s="111">
        <f>'Rate Engine'!$R55</f>
        <v/>
      </c>
    </row>
    <row r="56">
      <c r="A56" s="107">
        <f>'Rate Engine'!$A56</f>
        <v/>
      </c>
      <c r="B56" s="108">
        <f>'Rate Engine'!$B56</f>
        <v/>
      </c>
      <c r="C56" s="109">
        <f>'Rate Engine'!$F56</f>
        <v/>
      </c>
      <c r="D56" s="110">
        <f>'Rate Engine'!$H56</f>
        <v/>
      </c>
      <c r="E56" s="96">
        <f>IF($C56&lt;$F$7,$G$6+$H$6*($C56-$F$6),IF($C56&lt;$F$8,$G$7+$H$7*($C56-$F$7),$G$8+$H$8*($C56-$F$8)))</f>
        <v/>
      </c>
      <c r="F56" s="111">
        <f>'Rate Engine'!$P56</f>
        <v/>
      </c>
      <c r="G56" s="111">
        <f>'Rate Engine'!$Q56</f>
        <v/>
      </c>
      <c r="H56" s="111">
        <f>'Rate Engine'!$R56</f>
        <v/>
      </c>
    </row>
    <row r="57">
      <c r="A57" s="107">
        <f>'Rate Engine'!$A57</f>
        <v/>
      </c>
      <c r="B57" s="108">
        <f>'Rate Engine'!$B57</f>
        <v/>
      </c>
      <c r="C57" s="109">
        <f>'Rate Engine'!$F57</f>
        <v/>
      </c>
      <c r="D57" s="110">
        <f>'Rate Engine'!$H57</f>
        <v/>
      </c>
      <c r="E57" s="96">
        <f>IF($C57&lt;$F$7,$G$6+$H$6*($C57-$F$6),IF($C57&lt;$F$8,$G$7+$H$7*($C57-$F$7),$G$8+$H$8*($C57-$F$8)))</f>
        <v/>
      </c>
      <c r="F57" s="111">
        <f>'Rate Engine'!$P57</f>
        <v/>
      </c>
      <c r="G57" s="111">
        <f>'Rate Engine'!$Q57</f>
        <v/>
      </c>
      <c r="H57" s="111">
        <f>'Rate Engine'!$R57</f>
        <v/>
      </c>
    </row>
    <row r="58">
      <c r="A58" s="107">
        <f>'Rate Engine'!$A58</f>
        <v/>
      </c>
      <c r="B58" s="108">
        <f>'Rate Engine'!$B58</f>
        <v/>
      </c>
      <c r="C58" s="109">
        <f>'Rate Engine'!$F58</f>
        <v/>
      </c>
      <c r="D58" s="110">
        <f>'Rate Engine'!$H58</f>
        <v/>
      </c>
      <c r="E58" s="96">
        <f>IF($C58&lt;$F$7,$G$6+$H$6*($C58-$F$6),IF($C58&lt;$F$8,$G$7+$H$7*($C58-$F$7),$G$8+$H$8*($C58-$F$8)))</f>
        <v/>
      </c>
      <c r="F58" s="111">
        <f>'Rate Engine'!$P58</f>
        <v/>
      </c>
      <c r="G58" s="111">
        <f>'Rate Engine'!$Q58</f>
        <v/>
      </c>
      <c r="H58" s="111">
        <f>'Rate Engine'!$R58</f>
        <v/>
      </c>
    </row>
    <row r="59">
      <c r="A59" s="107">
        <f>'Rate Engine'!$A59</f>
        <v/>
      </c>
      <c r="B59" s="108">
        <f>'Rate Engine'!$B59</f>
        <v/>
      </c>
      <c r="C59" s="109">
        <f>'Rate Engine'!$F59</f>
        <v/>
      </c>
      <c r="D59" s="110">
        <f>'Rate Engine'!$H59</f>
        <v/>
      </c>
      <c r="E59" s="96">
        <f>IF($C59&lt;$F$7,$G$6+$H$6*($C59-$F$6),IF($C59&lt;$F$8,$G$7+$H$7*($C59-$F$7),$G$8+$H$8*($C59-$F$8)))</f>
        <v/>
      </c>
      <c r="F59" s="111">
        <f>'Rate Engine'!$P59</f>
        <v/>
      </c>
      <c r="G59" s="111">
        <f>'Rate Engine'!$Q59</f>
        <v/>
      </c>
      <c r="H59" s="111">
        <f>'Rate Engine'!$R59</f>
        <v/>
      </c>
    </row>
    <row r="60">
      <c r="A60" s="107">
        <f>'Rate Engine'!$A60</f>
        <v/>
      </c>
      <c r="B60" s="108">
        <f>'Rate Engine'!$B60</f>
        <v/>
      </c>
      <c r="C60" s="109">
        <f>'Rate Engine'!$F60</f>
        <v/>
      </c>
      <c r="D60" s="110">
        <f>'Rate Engine'!$H60</f>
        <v/>
      </c>
      <c r="E60" s="96">
        <f>IF($C60&lt;$F$7,$G$6+$H$6*($C60-$F$6),IF($C60&lt;$F$8,$G$7+$H$7*($C60-$F$7),$G$8+$H$8*($C60-$F$8)))</f>
        <v/>
      </c>
      <c r="F60" s="111">
        <f>'Rate Engine'!$P60</f>
        <v/>
      </c>
      <c r="G60" s="111">
        <f>'Rate Engine'!$Q60</f>
        <v/>
      </c>
      <c r="H60" s="111">
        <f>'Rate Engine'!$R60</f>
        <v/>
      </c>
    </row>
    <row r="61">
      <c r="A61" s="107">
        <f>'Rate Engine'!$A61</f>
        <v/>
      </c>
      <c r="B61" s="108">
        <f>'Rate Engine'!$B61</f>
        <v/>
      </c>
      <c r="C61" s="109">
        <f>'Rate Engine'!$F61</f>
        <v/>
      </c>
      <c r="D61" s="110">
        <f>'Rate Engine'!$H61</f>
        <v/>
      </c>
      <c r="E61" s="96">
        <f>IF($C61&lt;$F$7,$G$6+$H$6*($C61-$F$6),IF($C61&lt;$F$8,$G$7+$H$7*($C61-$F$7),$G$8+$H$8*($C61-$F$8)))</f>
        <v/>
      </c>
      <c r="F61" s="111">
        <f>'Rate Engine'!$P61</f>
        <v/>
      </c>
      <c r="G61" s="111">
        <f>'Rate Engine'!$Q61</f>
        <v/>
      </c>
      <c r="H61" s="111">
        <f>'Rate Engine'!$R61</f>
        <v/>
      </c>
    </row>
    <row r="62">
      <c r="A62" s="107">
        <f>'Rate Engine'!$A62</f>
        <v/>
      </c>
      <c r="B62" s="108">
        <f>'Rate Engine'!$B62</f>
        <v/>
      </c>
      <c r="C62" s="109">
        <f>'Rate Engine'!$F62</f>
        <v/>
      </c>
      <c r="D62" s="110">
        <f>'Rate Engine'!$H62</f>
        <v/>
      </c>
      <c r="E62" s="96">
        <f>IF($C62&lt;$F$7,$G$6+$H$6*($C62-$F$6),IF($C62&lt;$F$8,$G$7+$H$7*($C62-$F$7),$G$8+$H$8*($C62-$F$8)))</f>
        <v/>
      </c>
      <c r="F62" s="111">
        <f>'Rate Engine'!$P62</f>
        <v/>
      </c>
      <c r="G62" s="111">
        <f>'Rate Engine'!$Q62</f>
        <v/>
      </c>
      <c r="H62" s="111">
        <f>'Rate Engine'!$R62</f>
        <v/>
      </c>
    </row>
    <row r="63">
      <c r="A63" s="107">
        <f>'Rate Engine'!$A63</f>
        <v/>
      </c>
      <c r="B63" s="108">
        <f>'Rate Engine'!$B63</f>
        <v/>
      </c>
      <c r="C63" s="109">
        <f>'Rate Engine'!$F63</f>
        <v/>
      </c>
      <c r="D63" s="110">
        <f>'Rate Engine'!$H63</f>
        <v/>
      </c>
      <c r="E63" s="96">
        <f>IF($C63&lt;$F$7,$G$6+$H$6*($C63-$F$6),IF($C63&lt;$F$8,$G$7+$H$7*($C63-$F$7),$G$8+$H$8*($C63-$F$8)))</f>
        <v/>
      </c>
      <c r="F63" s="111">
        <f>'Rate Engine'!$P63</f>
        <v/>
      </c>
      <c r="G63" s="111">
        <f>'Rate Engine'!$Q63</f>
        <v/>
      </c>
      <c r="H63" s="111">
        <f>'Rate Engine'!$R63</f>
        <v/>
      </c>
    </row>
    <row r="64">
      <c r="A64" s="107">
        <f>'Rate Engine'!$A64</f>
        <v/>
      </c>
      <c r="B64" s="108">
        <f>'Rate Engine'!$B64</f>
        <v/>
      </c>
      <c r="C64" s="109">
        <f>'Rate Engine'!$F64</f>
        <v/>
      </c>
      <c r="D64" s="110">
        <f>'Rate Engine'!$H64</f>
        <v/>
      </c>
      <c r="E64" s="96">
        <f>IF($C64&lt;$F$7,$G$6+$H$6*($C64-$F$6),IF($C64&lt;$F$8,$G$7+$H$7*($C64-$F$7),$G$8+$H$8*($C64-$F$8)))</f>
        <v/>
      </c>
      <c r="F64" s="111">
        <f>'Rate Engine'!$P64</f>
        <v/>
      </c>
      <c r="G64" s="111">
        <f>'Rate Engine'!$Q64</f>
        <v/>
      </c>
      <c r="H64" s="11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3">
        <f>($D10-$D9)*100</f>
        <v/>
      </c>
      <c r="F10" s="49">
        <f>IF(nr_Basis="proposed",1+nr_SelS,1)</f>
        <v/>
      </c>
      <c r="G10" s="45">
        <f>$G9*$F10</f>
        <v/>
      </c>
      <c r="H10" s="113">
        <f>($G10-$G9)*100</f>
        <v/>
      </c>
    </row>
    <row r="11">
      <c r="B11" s="20">
        <f>"Net trend (applies to "&amp;(nr_PlanYear+1)&amp;" only)"</f>
        <v/>
      </c>
      <c r="C11" s="49">
        <f>1</f>
        <v/>
      </c>
      <c r="D11" s="45">
        <f>$D10*$C11</f>
        <v/>
      </c>
      <c r="E11" s="113">
        <f>($D11-$D10)*100</f>
        <v/>
      </c>
      <c r="F11" s="49">
        <f>1+nr_Trend</f>
        <v/>
      </c>
      <c r="G11" s="45">
        <f>$G10*$F11</f>
        <v/>
      </c>
      <c r="H11" s="113">
        <f>($G11-$G10)*100</f>
        <v/>
      </c>
    </row>
    <row r="12">
      <c r="B12" s="20">
        <f>IF(nr_NetMode,"Rate + price earn-in (net)  A_net","Rate earn-in  A_rate")</f>
        <v/>
      </c>
      <c r="C12" s="49">
        <f>nr_Arate_P</f>
        <v/>
      </c>
      <c r="D12" s="45">
        <f>$D11*$C12</f>
        <v/>
      </c>
      <c r="E12" s="113">
        <f>($D12-$D11)*100</f>
        <v/>
      </c>
      <c r="F12" s="49">
        <f>nr_Arate_P1</f>
        <v/>
      </c>
      <c r="G12" s="45">
        <f>$G11*$F12</f>
        <v/>
      </c>
      <c r="H12" s="113">
        <f>($G12-$G11)*100</f>
        <v/>
      </c>
    </row>
    <row r="13">
      <c r="B13" s="20">
        <f>IF(nr_NetMode,"Mod drift (merged into A_net)","Schedule mod drift  A_mod")</f>
        <v/>
      </c>
      <c r="C13" s="49">
        <f>nr_Amod_P</f>
        <v/>
      </c>
      <c r="D13" s="45">
        <f>$D12*$C13</f>
        <v/>
      </c>
      <c r="E13" s="113">
        <f>($D13-$D12)*100</f>
        <v/>
      </c>
      <c r="F13" s="49">
        <f>nr_Amod_P1</f>
        <v/>
      </c>
      <c r="G13" s="45">
        <f>$G12*$F13</f>
        <v/>
      </c>
      <c r="H13" s="113">
        <f>($G13-$G12)*100</f>
        <v/>
      </c>
    </row>
    <row r="14">
      <c r="B14" s="20" t="inlineStr">
        <is>
          <t>Other  A_other</t>
        </is>
      </c>
      <c r="C14" s="49">
        <f>nr_AOther</f>
        <v/>
      </c>
      <c r="D14" s="45">
        <f>$D13*$C14</f>
        <v/>
      </c>
      <c r="E14" s="113">
        <f>($D14-$D13)*100</f>
        <v/>
      </c>
      <c r="F14" s="49">
        <f>nr_AOther</f>
        <v/>
      </c>
      <c r="G14" s="45">
        <f>$G13*$F14</f>
        <v/>
      </c>
      <c r="H14" s="113">
        <f>($G14-$G13)*100</f>
        <v/>
      </c>
    </row>
    <row r="15">
      <c r="B15" s="8" t="inlineStr">
        <is>
          <t>CY plan loss ratio</t>
        </is>
      </c>
      <c r="D15" s="114">
        <f>$D14</f>
        <v/>
      </c>
      <c r="E15" s="115">
        <f>($D15-$D9)*100</f>
        <v/>
      </c>
      <c r="G15" s="114">
        <f>$G14</f>
        <v/>
      </c>
      <c r="H15" s="115">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6">
        <f>nr_EChgVsInd</f>
        <v/>
      </c>
    </row>
    <row r="21">
      <c r="B21" s="20">
        <f>"Earned rate chg "&amp;(nr_PlanYear-1)&amp;" -&gt; "&amp;nr_PlanYear</f>
        <v/>
      </c>
      <c r="D21" s="116">
        <f>nr_YoY_P</f>
        <v/>
      </c>
    </row>
    <row r="22">
      <c r="B22" s="20">
        <f>"Earned rate chg "&amp;nr_PlanYear&amp;" -&gt; "&amp;(nr_PlanYear+1)&amp;" (carryover + new actions)"</f>
        <v/>
      </c>
      <c r="D22" s="116">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7">
        <f>IF(COUNTIFS(rl_key,nr_SelKey,rl_seq,1)=0,"",SUMIFS(rl_eff,rl_key,nr_SelKey,rl_seq,1))</f>
        <v/>
      </c>
      <c r="D26" s="45">
        <f>IF(COUNTIFS(rl_key,nr_SelKey,rl_seq,1)=0,"",SUMIFS(rl_filed,rl_key,nr_SelKey,rl_seq,1))</f>
        <v/>
      </c>
      <c r="E26" s="118">
        <f>IF(COUNTIFS(rl_key,nr_SelKey,rl_seq,1)=0,"",IF(COUNTIFS(rl_key,nr_SelKey,rl_seq,1,rl_status,"planned")&gt;0,"planned","taken"))</f>
        <v/>
      </c>
      <c r="F26" s="118">
        <f>IF(COUNTIFS(rl_key,nr_SelKey,rl_seq,1)=0,"",IF(COUNTIFS(rl_key,nr_SelKey,rl_seq,1,rl_cons,"Y")&gt;0,"Y","N"))</f>
        <v/>
      </c>
      <c r="G26" s="52">
        <f>IF(COUNTIFS(rl_key,nr_SelKey,rl_seq,1)=0,"",SUMIFS(rl_reff,rl_key,nr_SelKey,rl_seq,1))</f>
        <v/>
      </c>
    </row>
    <row r="27">
      <c r="B27" s="90" t="n">
        <v>2</v>
      </c>
      <c r="C27" s="117">
        <f>IF(COUNTIFS(rl_key,nr_SelKey,rl_seq,2)=0,"",SUMIFS(rl_eff,rl_key,nr_SelKey,rl_seq,2))</f>
        <v/>
      </c>
      <c r="D27" s="45">
        <f>IF(COUNTIFS(rl_key,nr_SelKey,rl_seq,2)=0,"",SUMIFS(rl_filed,rl_key,nr_SelKey,rl_seq,2))</f>
        <v/>
      </c>
      <c r="E27" s="118">
        <f>IF(COUNTIFS(rl_key,nr_SelKey,rl_seq,2)=0,"",IF(COUNTIFS(rl_key,nr_SelKey,rl_seq,2,rl_status,"planned")&gt;0,"planned","taken"))</f>
        <v/>
      </c>
      <c r="F27" s="118">
        <f>IF(COUNTIFS(rl_key,nr_SelKey,rl_seq,2)=0,"",IF(COUNTIFS(rl_key,nr_SelKey,rl_seq,2,rl_cons,"Y")&gt;0,"Y","N"))</f>
        <v/>
      </c>
      <c r="G27" s="52">
        <f>IF(COUNTIFS(rl_key,nr_SelKey,rl_seq,2)=0,"",SUMIFS(rl_reff,rl_key,nr_SelKey,rl_seq,2))</f>
        <v/>
      </c>
    </row>
    <row r="28">
      <c r="B28" s="90" t="n">
        <v>3</v>
      </c>
      <c r="C28" s="117">
        <f>IF(COUNTIFS(rl_key,nr_SelKey,rl_seq,3)=0,"",SUMIFS(rl_eff,rl_key,nr_SelKey,rl_seq,3))</f>
        <v/>
      </c>
      <c r="D28" s="45">
        <f>IF(COUNTIFS(rl_key,nr_SelKey,rl_seq,3)=0,"",SUMIFS(rl_filed,rl_key,nr_SelKey,rl_seq,3))</f>
        <v/>
      </c>
      <c r="E28" s="118">
        <f>IF(COUNTIFS(rl_key,nr_SelKey,rl_seq,3)=0,"",IF(COUNTIFS(rl_key,nr_SelKey,rl_seq,3,rl_status,"planned")&gt;0,"planned","taken"))</f>
        <v/>
      </c>
      <c r="F28" s="118">
        <f>IF(COUNTIFS(rl_key,nr_SelKey,rl_seq,3)=0,"",IF(COUNTIFS(rl_key,nr_SelKey,rl_seq,3,rl_cons,"Y")&gt;0,"Y","N"))</f>
        <v/>
      </c>
      <c r="G28" s="52">
        <f>IF(COUNTIFS(rl_key,nr_SelKey,rl_seq,3)=0,"",SUMIFS(rl_reff,rl_key,nr_SelKey,rl_seq,3))</f>
        <v/>
      </c>
    </row>
    <row r="29">
      <c r="B29" s="90" t="n">
        <v>4</v>
      </c>
      <c r="C29" s="117">
        <f>IF(COUNTIFS(rl_key,nr_SelKey,rl_seq,4)=0,"",SUMIFS(rl_eff,rl_key,nr_SelKey,rl_seq,4))</f>
        <v/>
      </c>
      <c r="D29" s="45">
        <f>IF(COUNTIFS(rl_key,nr_SelKey,rl_seq,4)=0,"",SUMIFS(rl_filed,rl_key,nr_SelKey,rl_seq,4))</f>
        <v/>
      </c>
      <c r="E29" s="118">
        <f>IF(COUNTIFS(rl_key,nr_SelKey,rl_seq,4)=0,"",IF(COUNTIFS(rl_key,nr_SelKey,rl_seq,4,rl_status,"planned")&gt;0,"planned","taken"))</f>
        <v/>
      </c>
      <c r="F29" s="118">
        <f>IF(COUNTIFS(rl_key,nr_SelKey,rl_seq,4)=0,"",IF(COUNTIFS(rl_key,nr_SelKey,rl_seq,4,rl_cons,"Y")&gt;0,"Y","N"))</f>
        <v/>
      </c>
      <c r="G29" s="52">
        <f>IF(COUNTIFS(rl_key,nr_SelKey,rl_seq,4)=0,"",SUMIFS(rl_reff,rl_key,nr_SelKey,rl_seq,4))</f>
        <v/>
      </c>
    </row>
    <row r="30">
      <c r="B30" s="90" t="n">
        <v>5</v>
      </c>
      <c r="C30" s="117">
        <f>IF(COUNTIFS(rl_key,nr_SelKey,rl_seq,5)=0,"",SUMIFS(rl_eff,rl_key,nr_SelKey,rl_seq,5))</f>
        <v/>
      </c>
      <c r="D30" s="45">
        <f>IF(COUNTIFS(rl_key,nr_SelKey,rl_seq,5)=0,"",SUMIFS(rl_filed,rl_key,nr_SelKey,rl_seq,5))</f>
        <v/>
      </c>
      <c r="E30" s="118">
        <f>IF(COUNTIFS(rl_key,nr_SelKey,rl_seq,5)=0,"",IF(COUNTIFS(rl_key,nr_SelKey,rl_seq,5,rl_status,"planned")&gt;0,"planned","taken"))</f>
        <v/>
      </c>
      <c r="F30" s="118">
        <f>IF(COUNTIFS(rl_key,nr_SelKey,rl_seq,5)=0,"",IF(COUNTIFS(rl_key,nr_SelKey,rl_seq,5,rl_cons,"Y")&gt;0,"Y","N"))</f>
        <v/>
      </c>
      <c r="G30" s="52">
        <f>IF(COUNTIFS(rl_key,nr_SelKey,rl_seq,5)=0,"",SUMIFS(rl_reff,rl_key,nr_SelKey,rl_seq,5))</f>
        <v/>
      </c>
    </row>
    <row r="31">
      <c r="B31" s="90" t="n">
        <v>6</v>
      </c>
      <c r="C31" s="117">
        <f>IF(COUNTIFS(rl_key,nr_SelKey,rl_seq,6)=0,"",SUMIFS(rl_eff,rl_key,nr_SelKey,rl_seq,6))</f>
        <v/>
      </c>
      <c r="D31" s="45">
        <f>IF(COUNTIFS(rl_key,nr_SelKey,rl_seq,6)=0,"",SUMIFS(rl_filed,rl_key,nr_SelKey,rl_seq,6))</f>
        <v/>
      </c>
      <c r="E31" s="118">
        <f>IF(COUNTIFS(rl_key,nr_SelKey,rl_seq,6)=0,"",IF(COUNTIFS(rl_key,nr_SelKey,rl_seq,6,rl_status,"planned")&gt;0,"planned","taken"))</f>
        <v/>
      </c>
      <c r="F31" s="118">
        <f>IF(COUNTIFS(rl_key,nr_SelKey,rl_seq,6)=0,"",IF(COUNTIFS(rl_key,nr_SelKey,rl_seq,6,rl_cons,"Y")&gt;0,"Y","N"))</f>
        <v/>
      </c>
      <c r="G31" s="52">
        <f>IF(COUNTIFS(rl_key,nr_SelKey,rl_seq,6)=0,"",SUMIFS(rl_reff,rl_key,nr_SelKey,rl_seq,6))</f>
        <v/>
      </c>
    </row>
    <row r="32">
      <c r="B32" s="90" t="n">
        <v>7</v>
      </c>
      <c r="C32" s="117">
        <f>IF(COUNTIFS(rl_key,nr_SelKey,rl_seq,7)=0,"",SUMIFS(rl_eff,rl_key,nr_SelKey,rl_seq,7))</f>
        <v/>
      </c>
      <c r="D32" s="45">
        <f>IF(COUNTIFS(rl_key,nr_SelKey,rl_seq,7)=0,"",SUMIFS(rl_filed,rl_key,nr_SelKey,rl_seq,7))</f>
        <v/>
      </c>
      <c r="E32" s="118">
        <f>IF(COUNTIFS(rl_key,nr_SelKey,rl_seq,7)=0,"",IF(COUNTIFS(rl_key,nr_SelKey,rl_seq,7,rl_status,"planned")&gt;0,"planned","taken"))</f>
        <v/>
      </c>
      <c r="F32" s="118">
        <f>IF(COUNTIFS(rl_key,nr_SelKey,rl_seq,7)=0,"",IF(COUNTIFS(rl_key,nr_SelKey,rl_seq,7,rl_cons,"Y")&gt;0,"Y","N"))</f>
        <v/>
      </c>
      <c r="G32" s="52">
        <f>IF(COUNTIFS(rl_key,nr_SelKey,rl_seq,7)=0,"",SUMIFS(rl_reff,rl_key,nr_SelKey,rl_seq,7))</f>
        <v/>
      </c>
    </row>
    <row r="33">
      <c r="B33" s="90" t="n">
        <v>8</v>
      </c>
      <c r="C33" s="117">
        <f>IF(COUNTIFS(rl_key,nr_SelKey,rl_seq,8)=0,"",SUMIFS(rl_eff,rl_key,nr_SelKey,rl_seq,8))</f>
        <v/>
      </c>
      <c r="D33" s="45">
        <f>IF(COUNTIFS(rl_key,nr_SelKey,rl_seq,8)=0,"",SUMIFS(rl_filed,rl_key,nr_SelKey,rl_seq,8))</f>
        <v/>
      </c>
      <c r="E33" s="118">
        <f>IF(COUNTIFS(rl_key,nr_SelKey,rl_seq,8)=0,"",IF(COUNTIFS(rl_key,nr_SelKey,rl_seq,8,rl_status,"planned")&gt;0,"planned","taken"))</f>
        <v/>
      </c>
      <c r="F33" s="118">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9">
        <f>nr_SelBU</f>
        <v/>
      </c>
    </row>
    <row r="39" hidden="1" outlineLevel="1">
      <c r="B39" s="20" t="inlineStr">
        <is>
          <t>State</t>
        </is>
      </c>
      <c r="C39" s="119">
        <f>nr_SelState</f>
        <v/>
      </c>
    </row>
    <row r="40" hidden="1" outlineLevel="1">
      <c r="B40" s="20" t="inlineStr">
        <is>
          <t>Projected LR (as input)</t>
        </is>
      </c>
      <c r="C40" s="120">
        <f>IF($F$36=0,0,N(INDEX(lr_lrproj,$F$36)))</f>
        <v/>
      </c>
    </row>
    <row r="41" hidden="1" outlineLevel="1">
      <c r="B41" s="20" t="inlineStr">
        <is>
          <t>LR basis</t>
        </is>
      </c>
      <c r="C41" s="119">
        <f>IF($F$36=0,"current",INDEX(lr_basis,$F$36)&amp;"")</f>
        <v/>
      </c>
    </row>
    <row r="42" hidden="1" outlineLevel="1">
      <c r="B42" s="20" t="inlineStr">
        <is>
          <t>Indication selected change (s)</t>
        </is>
      </c>
      <c r="C42" s="120">
        <f>IF($F$36=0,0,N(INDEX(lr_s,$F$36)))</f>
        <v/>
      </c>
    </row>
    <row r="43" hidden="1" outlineLevel="1">
      <c r="B43" s="20" t="inlineStr">
        <is>
          <t>LR at current rate level</t>
        </is>
      </c>
      <c r="C43" s="120">
        <f>IF(nr_Basis="proposed",nr_LRproj*(1+nr_SelS),nr_LRproj)</f>
        <v/>
      </c>
    </row>
    <row r="44" hidden="1" outlineLevel="1">
      <c r="B44" s="20" t="inlineStr">
        <is>
          <t>Mod assumed in indication (M_ind)</t>
        </is>
      </c>
      <c r="C44" s="121">
        <f>IF($F$36=0,1,IF(N(INDEX(lr_mind,$F$36))=0,1,INDEX(lr_mind,$F$36)))</f>
        <v/>
      </c>
    </row>
    <row r="45" hidden="1" outlineLevel="1">
      <c r="B45" s="20" t="inlineStr">
        <is>
          <t>Current avg written mod (M_0)</t>
        </is>
      </c>
      <c r="C45" s="121">
        <f>IF($F$36=0,1,IF(N(INDEX(lr_m0,$F$36))=0,1,INDEX(lr_m0,$F$36)))</f>
        <v/>
      </c>
    </row>
    <row r="46" hidden="1" outlineLevel="1">
      <c r="B46" s="20" t="inlineStr">
        <is>
          <t>Current mod as-of date (close of day)</t>
        </is>
      </c>
      <c r="C46" s="122">
        <f>IF($F$36=0,DATE(nr_PlanYear-1,10,1),IF(N(INDEX(lr_m0asof,$F$36))=0,DATE(nr_PlanYear-1,10,1),INDEX(lr_m0asof,$F$36)))</f>
        <v/>
      </c>
    </row>
    <row r="47" hidden="1" outlineLevel="1">
      <c r="B47" s="20" t="inlineStr">
        <is>
          <t>Projected mod, end of plan yr (M_1)</t>
        </is>
      </c>
      <c r="C47" s="121">
        <f>IF($F$36=0,1,IF(N(INDEX(lr_m1,$F$36))=0,1,INDEX(lr_m1,$F$36)))</f>
        <v/>
      </c>
    </row>
    <row r="48" hidden="1" outlineLevel="1">
      <c r="B48" s="20" t="inlineStr">
        <is>
          <t>Mod ~1 yr before as-of (M_prior; 0 = not given)</t>
        </is>
      </c>
      <c r="C48" s="121">
        <f>IF($F$36=0,0,N(INDEX(lr_mprior,$F$36)))</f>
        <v/>
      </c>
      <c r="D48" s="50">
        <f>IF(N($C48)=0,"blank -&gt; backward anchor sits on the M_0 -&gt; M_1 line","")</f>
        <v/>
      </c>
    </row>
    <row r="49" hidden="1" outlineLevel="1">
      <c r="B49" s="20" t="inlineStr">
        <is>
          <t>Projected mod, end plan yr+1 (M_2; 0 = use M_1)</t>
        </is>
      </c>
      <c r="C49" s="121">
        <f>IF($F$36=0,0,N(INDEX(lr_m2,$F$36)))</f>
        <v/>
      </c>
      <c r="D49" s="50">
        <f>IF(N($C49)=0,"blank -&gt; M_1 carried flat beyond the plan year","")</f>
        <v/>
      </c>
    </row>
    <row r="50" hidden="1" outlineLevel="1">
      <c r="B50" s="20" t="inlineStr">
        <is>
          <t>Net trend (P+1 view)</t>
        </is>
      </c>
      <c r="C50" s="120">
        <f>IF($F$36=0,N(nr_TrendDefault),IF(ISBLANK(INDEX(lr_trend,$F$36)),N(nr_TrendDefault),INDEX(lr_trend,$F$36)))</f>
        <v/>
      </c>
    </row>
    <row r="51" hidden="1" outlineLevel="1">
      <c r="B51" s="20" t="inlineStr">
        <is>
          <t>Other adjustment factor (A_other)</t>
        </is>
      </c>
      <c r="C51" s="123">
        <f>IF($F$36=0,1,IF(N(INDEX(lr_aother,$F$36))=0,1,INDEX(lr_aother,$F$36)))</f>
        <v/>
      </c>
      <c r="D51" s="77">
        <f>IF(AND(nr_AOther&lt;&gt;1,nr_AOtherLbl=""),"WARNING: A_other &lt;&gt; 1 requires a label","")</f>
        <v/>
      </c>
    </row>
    <row r="52" hidden="1" outlineLevel="1">
      <c r="B52" s="20" t="inlineStr">
        <is>
          <t>Reason for other adjustment</t>
        </is>
      </c>
      <c r="C52" s="119">
        <f>IF($F$36=0,"",INDEX(lr_aotherlbl,$F$36)&amp;"")</f>
        <v/>
      </c>
    </row>
    <row r="53" hidden="1" outlineLevel="1">
      <c r="B53" s="20" t="inlineStr">
        <is>
          <t>Mod adjustment (combo row)</t>
        </is>
      </c>
      <c r="C53" s="119">
        <f>IF($F$36=0,"ON",IF(INDEX(lr_modadj,$F$36)="OFF","OFF","ON"))</f>
        <v/>
      </c>
    </row>
    <row r="54" hidden="1" outlineLevel="1">
      <c r="B54" s="20" t="inlineStr">
        <is>
          <t>Mod adjustment effective</t>
        </is>
      </c>
      <c r="C54" s="119">
        <f>IF(AND(nr_ModAdjMaster="ON",nr_ModAdjRow="ON"),"ON","OFF")</f>
        <v/>
      </c>
    </row>
    <row r="55" hidden="1" outlineLevel="1">
      <c r="B55" s="20" t="inlineStr">
        <is>
          <t>Net rate selection active?</t>
        </is>
      </c>
      <c r="C55" s="119">
        <f>IF($F$36=0,FALSE,NOT(ISBLANK(INDEX(lr_netp,$F$36))))</f>
        <v/>
      </c>
      <c r="D55" s="50">
        <f>IF($C55,"NET SELECTION ACTIVE — supersedes planned rows from 1/1","explicit rate program")</f>
        <v/>
      </c>
    </row>
    <row r="56" hidden="1" outlineLevel="1">
      <c r="B56" s="20" t="inlineStr">
        <is>
          <t>Net selection x (P)</t>
        </is>
      </c>
      <c r="C56" s="120">
        <f>IF($F$36=0,0,N(INDEX(lr_netp,$F$36)))</f>
        <v/>
      </c>
    </row>
    <row r="57" hidden="1" outlineLevel="1">
      <c r="B57" s="20" t="inlineStr">
        <is>
          <t>Net selection x (P+1; blank = carry)</t>
        </is>
      </c>
      <c r="C57" s="120">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4">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5">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6" t="inlineStr">
        <is>
          <t>Each row links the live input; 'edit &gt;' opens the exact Inputs cell.</t>
        </is>
      </c>
    </row>
    <row r="9">
      <c r="B9" s="20" t="inlineStr">
        <is>
          <t>Projected loss ratio</t>
        </is>
      </c>
      <c r="C9" s="127">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8">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7">
        <f>nr_SelS</f>
        <v/>
      </c>
      <c r="I11" s="19">
        <f>IF(br_selrow=0,"",HYPERLINK("#Inputs!E"&amp;(br_selrow+11),"edit &gt;"))</f>
        <v/>
      </c>
      <c r="J11" s="27" t="inlineStr">
        <is>
          <t>Only used when the basis is 'proposed'.</t>
        </is>
      </c>
    </row>
    <row r="12" ht="19" customHeight="1">
      <c r="B12" s="20" t="inlineStr">
        <is>
          <t>Mod assumed in indication (M_ind)</t>
        </is>
      </c>
      <c r="C12" s="129">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9">
        <f>nr_M0</f>
        <v/>
      </c>
      <c r="I13" s="19">
        <f>IF(br_selrow=0,"",HYPERLINK("#Inputs!G"&amp;(br_selrow+11),"edit &gt;"))</f>
        <v/>
      </c>
      <c r="J13" s="27" t="inlineStr">
        <is>
          <t>Where the written mod stands at the as-of date.</t>
        </is>
      </c>
    </row>
    <row r="14" ht="19" customHeight="1">
      <c r="B14" s="20" t="inlineStr">
        <is>
          <t>M_0 as-of date</t>
        </is>
      </c>
      <c r="C14" s="130">
        <f>nr_M0Asof</f>
        <v/>
      </c>
      <c r="I14" s="19">
        <f>IF(br_selrow=0,"",HYPERLINK("#Inputs!H"&amp;(br_selrow+11),"edit &gt;"))</f>
        <v/>
      </c>
      <c r="J14" s="27" t="inlineStr">
        <is>
          <t>Anchored close-of-day: 'as of 9/30' means the 10/1 boundary.</t>
        </is>
      </c>
    </row>
    <row r="15" ht="19" customHeight="1">
      <c r="B15" s="20" t="inlineStr">
        <is>
          <t>Projected mod, plan-yr end (M_1)</t>
        </is>
      </c>
      <c r="C15" s="129">
        <f>nr_M1</f>
        <v/>
      </c>
      <c r="I15" s="19">
        <f>IF(br_selrow=0,"",HYPERLINK("#Inputs!I"&amp;(br_selrow+11),"edit &gt;"))</f>
        <v/>
      </c>
      <c r="J15" s="27" t="inlineStr">
        <is>
          <t>Where you project the written mod by 12/31 of the plan year.</t>
        </is>
      </c>
    </row>
    <row r="16">
      <c r="B16" s="20" t="inlineStr">
        <is>
          <t>Mod ~1 yr before as-of (M_prior)</t>
        </is>
      </c>
      <c r="C16" s="129">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9">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7">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1">
        <f>nr_AOther</f>
        <v/>
      </c>
      <c r="I19" s="19">
        <f>IF(br_selrow=0,"",HYPERLINK("#Inputs!N"&amp;(br_selrow+11),"edit &gt;"))</f>
        <v/>
      </c>
      <c r="J19" s="50">
        <f>IF(nr_AOtherLbl="","no manual adjustment","reason: "&amp;nr_AOtherLbl)</f>
        <v/>
      </c>
    </row>
    <row r="20" ht="19" customHeight="1">
      <c r="B20" s="20" t="inlineStr">
        <is>
          <t>Mod adjustment effective?</t>
        </is>
      </c>
      <c r="C20" s="128">
        <f>nr_ModAdjEff</f>
        <v/>
      </c>
      <c r="I20" s="19">
        <f>IF(br_selrow=0,"",HYPERLINK("#Inputs!P"&amp;(br_selrow+11),"edit &gt;"))</f>
        <v/>
      </c>
      <c r="J20" s="27" t="inlineStr">
        <is>
          <t>Master toggle (Control) AND the combo's own toggle must both be ON.</t>
        </is>
      </c>
    </row>
    <row r="21">
      <c r="B21" s="20" t="inlineStr">
        <is>
          <t>Net rate selection</t>
        </is>
      </c>
      <c r="C21" s="127">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6"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7">
        <f>IF(COUNTIFS(rl_key,nr_SelKey,rl_seq,1)=0,"",SUMIFS(rl_eff,rl_key,nr_SelKey,rl_seq,1))</f>
        <v/>
      </c>
      <c r="D25" s="45">
        <f>IF(COUNTIFS(rl_key,nr_SelKey,rl_seq,1)=0,"",SUMIFS(rl_filed,rl_key,nr_SelKey,rl_seq,1))</f>
        <v/>
      </c>
      <c r="E25" s="118">
        <f>IF(COUNTIFS(rl_key,nr_SelKey,rl_seq,1)=0,"",IF(COUNTIFS(rl_key,nr_SelKey,rl_seq,1,rl_status,"planned")&gt;0,"planned","taken"))</f>
        <v/>
      </c>
      <c r="F25" s="118">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7">
        <f>IF(COUNTIFS(rl_key,nr_SelKey,rl_seq,2)=0,"",SUMIFS(rl_eff,rl_key,nr_SelKey,rl_seq,2))</f>
        <v/>
      </c>
      <c r="D26" s="45">
        <f>IF(COUNTIFS(rl_key,nr_SelKey,rl_seq,2)=0,"",SUMIFS(rl_filed,rl_key,nr_SelKey,rl_seq,2))</f>
        <v/>
      </c>
      <c r="E26" s="118">
        <f>IF(COUNTIFS(rl_key,nr_SelKey,rl_seq,2)=0,"",IF(COUNTIFS(rl_key,nr_SelKey,rl_seq,2,rl_status,"planned")&gt;0,"planned","taken"))</f>
        <v/>
      </c>
      <c r="F26" s="118">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7">
        <f>IF(COUNTIFS(rl_key,nr_SelKey,rl_seq,3)=0,"",SUMIFS(rl_eff,rl_key,nr_SelKey,rl_seq,3))</f>
        <v/>
      </c>
      <c r="D27" s="45">
        <f>IF(COUNTIFS(rl_key,nr_SelKey,rl_seq,3)=0,"",SUMIFS(rl_filed,rl_key,nr_SelKey,rl_seq,3))</f>
        <v/>
      </c>
      <c r="E27" s="118">
        <f>IF(COUNTIFS(rl_key,nr_SelKey,rl_seq,3)=0,"",IF(COUNTIFS(rl_key,nr_SelKey,rl_seq,3,rl_status,"planned")&gt;0,"planned","taken"))</f>
        <v/>
      </c>
      <c r="F27" s="118">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7">
        <f>IF(COUNTIFS(rl_key,nr_SelKey,rl_seq,4)=0,"",SUMIFS(rl_eff,rl_key,nr_SelKey,rl_seq,4))</f>
        <v/>
      </c>
      <c r="D28" s="45">
        <f>IF(COUNTIFS(rl_key,nr_SelKey,rl_seq,4)=0,"",SUMIFS(rl_filed,rl_key,nr_SelKey,rl_seq,4))</f>
        <v/>
      </c>
      <c r="E28" s="118">
        <f>IF(COUNTIFS(rl_key,nr_SelKey,rl_seq,4)=0,"",IF(COUNTIFS(rl_key,nr_SelKey,rl_seq,4,rl_status,"planned")&gt;0,"planned","taken"))</f>
        <v/>
      </c>
      <c r="F28" s="118">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7">
        <f>IF(COUNTIFS(rl_key,nr_SelKey,rl_seq,5)=0,"",SUMIFS(rl_eff,rl_key,nr_SelKey,rl_seq,5))</f>
        <v/>
      </c>
      <c r="D29" s="45">
        <f>IF(COUNTIFS(rl_key,nr_SelKey,rl_seq,5)=0,"",SUMIFS(rl_filed,rl_key,nr_SelKey,rl_seq,5))</f>
        <v/>
      </c>
      <c r="E29" s="118">
        <f>IF(COUNTIFS(rl_key,nr_SelKey,rl_seq,5)=0,"",IF(COUNTIFS(rl_key,nr_SelKey,rl_seq,5,rl_status,"planned")&gt;0,"planned","taken"))</f>
        <v/>
      </c>
      <c r="F29" s="118">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7">
        <f>IF(COUNTIFS(rl_key,nr_SelKey,rl_seq,6)=0,"",SUMIFS(rl_eff,rl_key,nr_SelKey,rl_seq,6))</f>
        <v/>
      </c>
      <c r="D30" s="45">
        <f>IF(COUNTIFS(rl_key,nr_SelKey,rl_seq,6)=0,"",SUMIFS(rl_filed,rl_key,nr_SelKey,rl_seq,6))</f>
        <v/>
      </c>
      <c r="E30" s="118">
        <f>IF(COUNTIFS(rl_key,nr_SelKey,rl_seq,6)=0,"",IF(COUNTIFS(rl_key,nr_SelKey,rl_seq,6,rl_status,"planned")&gt;0,"planned","taken"))</f>
        <v/>
      </c>
      <c r="F30" s="118">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7">
        <f>IF(COUNTIFS(rl_key,nr_SelKey,rl_seq,7)=0,"",SUMIFS(rl_eff,rl_key,nr_SelKey,rl_seq,7))</f>
        <v/>
      </c>
      <c r="D31" s="45">
        <f>IF(COUNTIFS(rl_key,nr_SelKey,rl_seq,7)=0,"",SUMIFS(rl_filed,rl_key,nr_SelKey,rl_seq,7))</f>
        <v/>
      </c>
      <c r="E31" s="118">
        <f>IF(COUNTIFS(rl_key,nr_SelKey,rl_seq,7)=0,"",IF(COUNTIFS(rl_key,nr_SelKey,rl_seq,7,rl_status,"planned")&gt;0,"planned","taken"))</f>
        <v/>
      </c>
      <c r="F31" s="118">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7">
        <f>IF(COUNTIFS(rl_key,nr_SelKey,rl_seq,8)=0,"",SUMIFS(rl_eff,rl_key,nr_SelKey,rl_seq,8))</f>
        <v/>
      </c>
      <c r="D32" s="45">
        <f>IF(COUNTIFS(rl_key,nr_SelKey,rl_seq,8)=0,"",SUMIFS(rl_filed,rl_key,nr_SelKey,rl_seq,8))</f>
        <v/>
      </c>
      <c r="E32" s="118">
        <f>IF(COUNTIFS(rl_key,nr_SelKey,rl_seq,8)=0,"",IF(COUNTIFS(rl_key,nr_SelKey,rl_seq,8,rl_status,"planned")&gt;0,"planned","taken"))</f>
        <v/>
      </c>
      <c r="F32" s="118">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2">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6"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3">
        <f>INDEX('Rate Engine'!$B$17:$B$64,$I$37)</f>
        <v/>
      </c>
      <c r="D37" s="133">
        <f>INDEX('Rate Engine'!$B$17:$B$64,$I$38)</f>
        <v/>
      </c>
      <c r="E37" s="133">
        <f>INDEX('Rate Engine'!$B$17:$B$64,$I$39)</f>
        <v/>
      </c>
      <c r="H37" s="23" t="inlineStr">
        <is>
          <t>idx A</t>
        </is>
      </c>
      <c r="I37" s="42">
        <f>12+13-ROUND(nr_TermMonths/2,0)</f>
        <v/>
      </c>
      <c r="J37" s="27" t="inlineStr">
        <is>
          <t>When this cohort of policies goes on the books.</t>
        </is>
      </c>
    </row>
    <row r="38" ht="19" customHeight="1">
      <c r="B38" s="20" t="inlineStr">
        <is>
          <t>Weight w</t>
        </is>
      </c>
      <c r="C38" s="134">
        <f>INDEX('Rate Engine'!$H$17:$H$64,$I$37)</f>
        <v/>
      </c>
      <c r="D38" s="134">
        <f>INDEX('Rate Engine'!$H$17:$H$64,$I$38)</f>
        <v/>
      </c>
      <c r="E38" s="134">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5">
        <f>INDEX('Rate Engine'!$K$17:$K$64,$I$37)</f>
        <v/>
      </c>
      <c r="D41" s="135">
        <f>INDEX('Rate Engine'!$K$17:$K$64,$I$38)</f>
        <v/>
      </c>
      <c r="E41" s="135">
        <f>INDEX('Rate Engine'!$K$17:$K$64,$I$39)</f>
        <v/>
      </c>
      <c r="J41" s="27" t="inlineStr">
        <is>
          <t>Cohort B catches one mid-month — see the split below.</t>
        </is>
      </c>
    </row>
    <row r="42" ht="19" customHeight="1">
      <c r="B42" s="20" t="inlineStr">
        <is>
          <t>Days on/after the first change</t>
        </is>
      </c>
      <c r="C42" s="135">
        <f>INDEX('Rate Engine'!$L$17:$L$64,$I$37)</f>
        <v/>
      </c>
      <c r="D42" s="135">
        <f>INDEX('Rate Engine'!$L$17:$L$64,$I$38)</f>
        <v/>
      </c>
      <c r="E42" s="135">
        <f>INDEX('Rate Engine'!$L$17:$L$64,$I$39)</f>
        <v/>
      </c>
      <c r="J42" s="27" t="inlineStr">
        <is>
          <t>Of the days in the month, how many fall on/after the change date.</t>
        </is>
      </c>
    </row>
    <row r="43" ht="19" customHeight="1">
      <c r="B43" s="20" t="inlineStr">
        <is>
          <t>Split p = days after / days in month</t>
        </is>
      </c>
      <c r="C43" s="136">
        <f>INDEX('Rate Engine'!$M$17:$M$64,$I$37)</f>
        <v/>
      </c>
      <c r="D43" s="136">
        <f>INDEX('Rate Engine'!$M$17:$M$64,$I$38)</f>
        <v/>
      </c>
      <c r="E43" s="136">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7">
        <f>(1-INDEX('Rate Engine'!$M$17:$M$64,$I$37))*INDEX('Rate Engine'!$I$17:$I$64,$I$37)+INDEX('Rate Engine'!$M$17:$M$64,$I$37)*INDEX('Rate Engine'!$J$17:$J$64,$I$37)</f>
        <v/>
      </c>
      <c r="D48" s="137">
        <f>(1-INDEX('Rate Engine'!$M$17:$M$64,$I$38))*INDEX('Rate Engine'!$I$17:$I$64,$I$38)+INDEX('Rate Engine'!$M$17:$M$64,$I$38)*INDEX('Rate Engine'!$J$17:$J$64,$I$38)</f>
        <v/>
      </c>
      <c r="E48" s="137">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6"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8">
        <f>SUM('Rate Engine'!AH$66:AS$66)</f>
        <v/>
      </c>
      <c r="J51" s="27" t="inlineStr">
        <is>
          <t>Rate-weighted earned exposure across the plan year's 12 months.</t>
        </is>
      </c>
    </row>
    <row r="52" ht="19" customHeight="1">
      <c r="B52" s="20" t="inlineStr">
        <is>
          <t>Denominator: SUM of w x e</t>
        </is>
      </c>
      <c r="C52" s="138">
        <f>SUM('Rate Engine'!AH$67:AS$67)</f>
        <v/>
      </c>
      <c r="J52" s="27" t="inlineStr">
        <is>
          <t>Total earned exposure in the plan year.</t>
        </is>
      </c>
    </row>
    <row r="53">
      <c r="B53" s="20" t="inlineStr">
        <is>
          <t>Earned rate level  E_CY(P)</t>
        </is>
      </c>
      <c r="C53" s="131">
        <f>nr_ECY_P</f>
        <v/>
      </c>
      <c r="J53" s="50">
        <f>"Numerator / denominator — the level CY "&amp;nr_PlanYear&amp;" premium actually carries."</f>
        <v/>
      </c>
    </row>
    <row r="54">
      <c r="B54" s="20" t="inlineStr">
        <is>
          <t>Rate earn-in  A_rate = CRL_ind / E_CY</t>
        </is>
      </c>
      <c r="C54" s="139">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6"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0">
        <f>'Mod Engine'!$F$6-1</f>
        <v/>
      </c>
      <c r="D57" s="43">
        <f>'Mod Engine'!$G$6</f>
        <v/>
      </c>
    </row>
    <row r="58">
      <c r="B58" s="20" t="inlineStr">
        <is>
          <t>M_0 at the as-of date</t>
        </is>
      </c>
      <c r="C58" s="140">
        <f>'Mod Engine'!$F$7-1</f>
        <v/>
      </c>
      <c r="D58" s="43">
        <f>'Mod Engine'!$G$7</f>
        <v/>
      </c>
    </row>
    <row r="59">
      <c r="B59" s="20" t="inlineStr">
        <is>
          <t>M_1 at plan-year end</t>
        </is>
      </c>
      <c r="C59" s="140">
        <f>'Mod Engine'!$F$8-1</f>
        <v/>
      </c>
      <c r="D59" s="43">
        <f>'Mod Engine'!$G$8</f>
        <v/>
      </c>
    </row>
    <row r="60">
      <c r="B60" s="20" t="inlineStr">
        <is>
          <t>M_2 at next-year end</t>
        </is>
      </c>
      <c r="C60" s="140">
        <f>'Mod Engine'!$F$9-1</f>
        <v/>
      </c>
      <c r="D60" s="43">
        <f>'Mod Engine'!$G$9</f>
        <v/>
      </c>
    </row>
    <row r="61" ht="32" customHeight="1">
      <c r="B61" s="20" t="inlineStr">
        <is>
          <t>Path slope over the plan year (mod pts / month)</t>
        </is>
      </c>
      <c r="C61" s="141">
        <f>'Mod Engine'!$H$7*30.4375*100</f>
        <v/>
      </c>
      <c r="J61" s="27" t="inlineStr">
        <is>
          <t>How fast the written mod drifts; the identity below only holds for a globally straight path.</t>
        </is>
      </c>
    </row>
    <row r="62">
      <c r="B62" s="20" t="inlineStr">
        <is>
          <t>Earned mod, plan year</t>
        </is>
      </c>
      <c r="C62" s="129">
        <f>nr_MEarned_P</f>
        <v/>
      </c>
      <c r="J62" s="125">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9">
        <f>nr_Amod_P</f>
        <v/>
      </c>
      <c r="I63" s="19">
        <f>HYPERLINK("#'Mod Engine'!A1","mod engine &gt;")</f>
        <v/>
      </c>
      <c r="J63" s="125">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2">
        <f>$D69</f>
        <v/>
      </c>
      <c r="J70" s="125">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3">
        <f>"CY "&amp;nr_PlanYear&amp;" plan loss ratio for "&amp;nr_SelKey&amp;" is "&amp;TEXT(nr_CYLR_P,"0.0%")&amp;", versus "&amp;TEXT(nr_LRcur,"0.0%")&amp;" projected at current rate level ("&amp;TEXT((nr_CYLR_P-nr_LRcur)*100,"+0.0;-0.0;0.0")&amp;" pts)."</f>
        <v/>
      </c>
    </row>
    <row r="75">
      <c r="B75" s="143">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4">
        <f>IF(ABS(nr_WalkLR-nr_CYLR_P)&lt;0.000000001,"MATCHES","DIFFERS")</f>
        <v/>
      </c>
      <c r="J78" s="27" t="inlineStr">
        <is>
          <t>Same factors, same product.</t>
        </is>
      </c>
    </row>
    <row r="79" ht="19" customHeight="1">
      <c r="B79" s="20" t="inlineStr">
        <is>
          <t>Bridge vs the hidden all-combo engine</t>
        </is>
      </c>
      <c r="C79" s="144">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4">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8">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8">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8">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8">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8">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8">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8">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8">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7">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7">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7">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7">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7">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7">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7">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7">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5">
        <f>EXP(SUM($H$63:$H$70))-1</f>
        <v/>
      </c>
    </row>
    <row r="72">
      <c r="C72" s="20" t="inlineStr">
        <is>
          <t>Timing / compounding interaction (residual)</t>
        </is>
      </c>
      <c r="G72" s="52">
        <f>(1+nr_YoY_P1)/EXP(SUM($H$63:$H$70))-1</f>
        <v/>
      </c>
    </row>
    <row r="73">
      <c r="C73" s="18" t="inlineStr">
        <is>
          <t>Total carryover (earned rate chg into next year)</t>
        </is>
      </c>
      <c r="G73" s="146">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7">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48">
        <f>IF(OR($C81="",$D81=""),"",$C81/$D81-1)</f>
        <v/>
      </c>
    </row>
    <row r="82">
      <c r="B82" s="147">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48">
        <f>IF(OR($C82="",$D82=""),"",$C82/$D82-1)</f>
        <v/>
      </c>
    </row>
    <row r="83">
      <c r="B83" s="147">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48">
        <f>IF(OR($C83="",$D83=""),"",$C83/$D83-1)</f>
        <v/>
      </c>
    </row>
    <row r="84">
      <c r="B84" s="147">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48">
        <f>IF(OR($C84="",$D84=""),"",$C84/$D84-1)</f>
        <v/>
      </c>
    </row>
    <row r="85">
      <c r="B85" s="147">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48">
        <f>IF(OR($C85="",$D85=""),"",$C85/$D85-1)</f>
        <v/>
      </c>
    </row>
    <row r="86">
      <c r="B86" s="147">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48">
        <f>IF(OR($C86="",$D86=""),"",$C86/$D86-1)</f>
        <v/>
      </c>
    </row>
    <row r="87">
      <c r="B87" s="147">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48">
        <f>IF(OR($C87="",$D87=""),"",$C87/$D87-1)</f>
        <v/>
      </c>
    </row>
    <row r="88">
      <c r="B88" s="147">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48">
        <f>IF(OR($C88="",$D88=""),"",$C88/$D88-1)</f>
        <v/>
      </c>
    </row>
    <row r="89">
      <c r="B89" s="147">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48">
        <f>IF(OR($C89="",$D89=""),"",$C89/$D89-1)</f>
        <v/>
      </c>
    </row>
    <row r="90">
      <c r="B90" s="147">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48">
        <f>IF(OR($C90="",$D90=""),"",$C90/$D90-1)</f>
        <v/>
      </c>
    </row>
    <row r="91">
      <c r="B91" s="147">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48">
        <f>IF(OR($C91="",$D91=""),"",$C91/$D91-1)</f>
        <v/>
      </c>
    </row>
    <row r="92">
      <c r="B92" s="147">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48">
        <f>IF(OR($C92="",$D92=""),"",$C92/$D92-1)</f>
        <v/>
      </c>
    </row>
    <row r="93">
      <c r="B93" s="147">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48">
        <f>IF(OR($D93="",$D81=""),"",$D93/$D81-1)</f>
        <v/>
      </c>
      <c r="K93" s="148">
        <f>IF(OR($H93="",$H81=""),"",$H93/$H81-1)</f>
        <v/>
      </c>
      <c r="L93" s="148">
        <f>IF(OR($C93="",$D93=""),"",$C93/$D93-1)</f>
        <v/>
      </c>
    </row>
    <row r="94">
      <c r="B94" s="147">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48">
        <f>IF(OR($D94="",$D82=""),"",$D94/$D82-1)</f>
        <v/>
      </c>
      <c r="K94" s="148">
        <f>IF(OR($H94="",$H82=""),"",$H94/$H82-1)</f>
        <v/>
      </c>
      <c r="L94" s="148">
        <f>IF(OR($C94="",$D94=""),"",$C94/$D94-1)</f>
        <v/>
      </c>
    </row>
    <row r="95">
      <c r="B95" s="147">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48">
        <f>IF(OR($D95="",$D83=""),"",$D95/$D83-1)</f>
        <v/>
      </c>
      <c r="K95" s="148">
        <f>IF(OR($H95="",$H83=""),"",$H95/$H83-1)</f>
        <v/>
      </c>
      <c r="L95" s="148">
        <f>IF(OR($C95="",$D95=""),"",$C95/$D95-1)</f>
        <v/>
      </c>
    </row>
    <row r="96">
      <c r="B96" s="147">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48">
        <f>IF(OR($D96="",$D84=""),"",$D96/$D84-1)</f>
        <v/>
      </c>
      <c r="K96" s="148">
        <f>IF(OR($H96="",$H84=""),"",$H96/$H84-1)</f>
        <v/>
      </c>
      <c r="L96" s="148">
        <f>IF(OR($C96="",$D96=""),"",$C96/$D96-1)</f>
        <v/>
      </c>
    </row>
    <row r="97">
      <c r="B97" s="147">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48">
        <f>IF(OR($D97="",$D85=""),"",$D97/$D85-1)</f>
        <v/>
      </c>
      <c r="K97" s="148">
        <f>IF(OR($H97="",$H85=""),"",$H97/$H85-1)</f>
        <v/>
      </c>
      <c r="L97" s="148">
        <f>IF(OR($C97="",$D97=""),"",$C97/$D97-1)</f>
        <v/>
      </c>
    </row>
    <row r="98">
      <c r="B98" s="147">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48">
        <f>IF(OR($D98="",$D86=""),"",$D98/$D86-1)</f>
        <v/>
      </c>
      <c r="K98" s="148">
        <f>IF(OR($H98="",$H86=""),"",$H98/$H86-1)</f>
        <v/>
      </c>
      <c r="L98" s="148">
        <f>IF(OR($C98="",$D98=""),"",$C98/$D98-1)</f>
        <v/>
      </c>
    </row>
    <row r="99">
      <c r="B99" s="147">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48">
        <f>IF(OR($D99="",$D87=""),"",$D99/$D87-1)</f>
        <v/>
      </c>
      <c r="K99" s="148">
        <f>IF(OR($H99="",$H87=""),"",$H99/$H87-1)</f>
        <v/>
      </c>
      <c r="L99" s="148">
        <f>IF(OR($C99="",$D99=""),"",$C99/$D99-1)</f>
        <v/>
      </c>
    </row>
    <row r="100">
      <c r="B100" s="147">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48">
        <f>IF(OR($D100="",$D88=""),"",$D100/$D88-1)</f>
        <v/>
      </c>
      <c r="K100" s="148">
        <f>IF(OR($H100="",$H88=""),"",$H100/$H88-1)</f>
        <v/>
      </c>
      <c r="L100" s="148">
        <f>IF(OR($C100="",$D100=""),"",$C100/$D100-1)</f>
        <v/>
      </c>
    </row>
    <row r="101">
      <c r="B101" s="147">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48">
        <f>IF(OR($D101="",$D89=""),"",$D101/$D89-1)</f>
        <v/>
      </c>
      <c r="K101" s="148">
        <f>IF(OR($H101="",$H89=""),"",$H101/$H89-1)</f>
        <v/>
      </c>
      <c r="L101" s="148">
        <f>IF(OR($C101="",$D101=""),"",$C101/$D101-1)</f>
        <v/>
      </c>
    </row>
    <row r="102">
      <c r="B102" s="147">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48">
        <f>IF(OR($D102="",$D90=""),"",$D102/$D90-1)</f>
        <v/>
      </c>
      <c r="K102" s="148">
        <f>IF(OR($H102="",$H90=""),"",$H102/$H90-1)</f>
        <v/>
      </c>
      <c r="L102" s="148">
        <f>IF(OR($C102="",$D102=""),"",$C102/$D102-1)</f>
        <v/>
      </c>
    </row>
    <row r="103">
      <c r="B103" s="147">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48">
        <f>IF(OR($D103="",$D91=""),"",$D103/$D91-1)</f>
        <v/>
      </c>
      <c r="K103" s="148">
        <f>IF(OR($H103="",$H91=""),"",$H103/$H91-1)</f>
        <v/>
      </c>
      <c r="L103" s="148">
        <f>IF(OR($C103="",$D103=""),"",$C103/$D103-1)</f>
        <v/>
      </c>
    </row>
    <row r="104">
      <c r="B104" s="147">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48">
        <f>IF(OR($D104="",$D92=""),"",$D104/$D92-1)</f>
        <v/>
      </c>
      <c r="K104" s="148">
        <f>IF(OR($H104="",$H92=""),"",$H104/$H92-1)</f>
        <v/>
      </c>
      <c r="L104" s="148">
        <f>IF(OR($C104="",$D104=""),"",$C104/$D104-1)</f>
        <v/>
      </c>
    </row>
    <row r="105">
      <c r="B105" s="147">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48">
        <f>IF(OR($D105="",$D93=""),"",$D105/$D93-1)</f>
        <v/>
      </c>
      <c r="K105" s="148">
        <f>IF(OR($H105="",$H93=""),"",$H105/$H93-1)</f>
        <v/>
      </c>
      <c r="L105" s="148">
        <f>IF(OR($C105="",$D105=""),"",$C105/$D105-1)</f>
        <v/>
      </c>
    </row>
    <row r="106">
      <c r="B106" s="147">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48">
        <f>IF(OR($D106="",$D94=""),"",$D106/$D94-1)</f>
        <v/>
      </c>
      <c r="K106" s="148">
        <f>IF(OR($H106="",$H94=""),"",$H106/$H94-1)</f>
        <v/>
      </c>
      <c r="L106" s="148">
        <f>IF(OR($C106="",$D106=""),"",$C106/$D106-1)</f>
        <v/>
      </c>
    </row>
    <row r="107">
      <c r="B107" s="147">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48">
        <f>IF(OR($D107="",$D95=""),"",$D107/$D95-1)</f>
        <v/>
      </c>
      <c r="K107" s="148">
        <f>IF(OR($H107="",$H95=""),"",$H107/$H95-1)</f>
        <v/>
      </c>
      <c r="L107" s="148">
        <f>IF(OR($C107="",$D107=""),"",$C107/$D107-1)</f>
        <v/>
      </c>
    </row>
    <row r="108">
      <c r="B108" s="147">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48">
        <f>IF(OR($D108="",$D96=""),"",$D108/$D96-1)</f>
        <v/>
      </c>
      <c r="K108" s="148">
        <f>IF(OR($H108="",$H96=""),"",$H108/$H96-1)</f>
        <v/>
      </c>
      <c r="L108" s="148">
        <f>IF(OR($C108="",$D108=""),"",$C108/$D108-1)</f>
        <v/>
      </c>
    </row>
    <row r="109">
      <c r="B109" s="147">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48">
        <f>IF(OR($D109="",$D97=""),"",$D109/$D97-1)</f>
        <v/>
      </c>
      <c r="K109" s="148">
        <f>IF(OR($H109="",$H97=""),"",$H109/$H97-1)</f>
        <v/>
      </c>
      <c r="L109" s="148">
        <f>IF(OR($C109="",$D109=""),"",$C109/$D109-1)</f>
        <v/>
      </c>
    </row>
    <row r="110">
      <c r="B110" s="147">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48">
        <f>IF(OR($D110="",$D98=""),"",$D110/$D98-1)</f>
        <v/>
      </c>
      <c r="K110" s="148">
        <f>IF(OR($H110="",$H98=""),"",$H110/$H98-1)</f>
        <v/>
      </c>
      <c r="L110" s="148">
        <f>IF(OR($C110="",$D110=""),"",$C110/$D110-1)</f>
        <v/>
      </c>
    </row>
    <row r="111">
      <c r="B111" s="147">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48">
        <f>IF(OR($D111="",$D99=""),"",$D111/$D99-1)</f>
        <v/>
      </c>
      <c r="K111" s="148">
        <f>IF(OR($H111="",$H99=""),"",$H111/$H99-1)</f>
        <v/>
      </c>
      <c r="L111" s="148">
        <f>IF(OR($C111="",$D111=""),"",$C111/$D111-1)</f>
        <v/>
      </c>
    </row>
    <row r="112">
      <c r="B112" s="147">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48">
        <f>IF(OR($D112="",$D100=""),"",$D112/$D100-1)</f>
        <v/>
      </c>
      <c r="K112" s="148">
        <f>IF(OR($H112="",$H100=""),"",$H112/$H100-1)</f>
        <v/>
      </c>
      <c r="L112" s="148">
        <f>IF(OR($C112="",$D112=""),"",$C112/$D112-1)</f>
        <v/>
      </c>
    </row>
    <row r="113">
      <c r="B113" s="147">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48">
        <f>IF(OR($D113="",$D101=""),"",$D113/$D101-1)</f>
        <v/>
      </c>
      <c r="K113" s="148">
        <f>IF(OR($H113="",$H101=""),"",$H113/$H101-1)</f>
        <v/>
      </c>
      <c r="L113" s="148">
        <f>IF(OR($C113="",$D113=""),"",$C113/$D113-1)</f>
        <v/>
      </c>
    </row>
    <row r="114">
      <c r="B114" s="147">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48">
        <f>IF(OR($D114="",$D102=""),"",$D114/$D102-1)</f>
        <v/>
      </c>
      <c r="K114" s="148">
        <f>IF(OR($H114="",$H102=""),"",$H114/$H102-1)</f>
        <v/>
      </c>
      <c r="L114" s="148">
        <f>IF(OR($C114="",$D114=""),"",$C114/$D114-1)</f>
        <v/>
      </c>
    </row>
    <row r="115">
      <c r="B115" s="147">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48">
        <f>IF(OR($D115="",$D103=""),"",$D115/$D103-1)</f>
        <v/>
      </c>
      <c r="K115" s="148">
        <f>IF(OR($H115="",$H103=""),"",$H115/$H103-1)</f>
        <v/>
      </c>
      <c r="L115" s="148">
        <f>IF(OR($C115="",$D115=""),"",$C115/$D115-1)</f>
        <v/>
      </c>
    </row>
    <row r="116">
      <c r="B116" s="147">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48">
        <f>IF(OR($D116="",$D104=""),"",$D116/$D104-1)</f>
        <v/>
      </c>
      <c r="K116" s="148">
        <f>IF(OR($H116="",$H104=""),"",$H116/$H104-1)</f>
        <v/>
      </c>
      <c r="L116" s="14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9">
        <f>IF(INDEX(lr_key,1)="","",INDEX(lr_bu,1))</f>
        <v/>
      </c>
      <c r="B6" s="149">
        <f>IF(INDEX(lr_key,1)="","",INDEX(lr_state,1))</f>
        <v/>
      </c>
      <c r="C6" s="23">
        <f>INDEX(lr_key,1)</f>
        <v/>
      </c>
      <c r="D6" s="150">
        <f>IF($C6="","",N(INDEX(lr_lrproj,1)))</f>
        <v/>
      </c>
      <c r="E6" s="51">
        <f>IF($C6="","",INDEX(lr_basis,1)&amp;"")</f>
        <v/>
      </c>
      <c r="F6" s="150">
        <f>IF($C6="","",INDEX(calc_lrcur,1))</f>
        <v/>
      </c>
      <c r="G6" s="151">
        <f>IF($C6="","",INDEX(calc_cylr_p,1))</f>
        <v/>
      </c>
      <c r="H6" s="152">
        <f>IF($C6="","",(INDEX(calc_cylr_p,1)-INDEX(calc_lrcur,1))*100)</f>
        <v/>
      </c>
      <c r="I6" s="153">
        <f>IF($C6="","",INDEX(calc_arate_p,1))</f>
        <v/>
      </c>
      <c r="J6" s="153">
        <f>IF($C6="","",INDEX(calc_amod_p,1))</f>
        <v/>
      </c>
      <c r="K6" s="116">
        <f>IF($C6="","",INDEX(calc_echg,1))</f>
        <v/>
      </c>
      <c r="L6" s="116">
        <f>IF($C6="","",INDEX(calc_carry,1))</f>
        <v/>
      </c>
      <c r="M6" s="150">
        <f>IF($C6="","",INDEX(calc_cylr_p1,1))</f>
        <v/>
      </c>
      <c r="N6" s="154">
        <f>IF($C6="","",N(INDEX(lr_ep,1)))</f>
        <v/>
      </c>
      <c r="O6" s="155">
        <f>IF($C6="","",IF(SUM($N$6:$N$74)=0,0,N($N6)/SUM($N$6:$N$74)))</f>
        <v/>
      </c>
    </row>
    <row r="7">
      <c r="A7" s="149">
        <f>IF(INDEX(lr_key,2)="","",INDEX(lr_bu,2))</f>
        <v/>
      </c>
      <c r="B7" s="149">
        <f>IF(INDEX(lr_key,2)="","",INDEX(lr_state,2))</f>
        <v/>
      </c>
      <c r="C7" s="23">
        <f>INDEX(lr_key,2)</f>
        <v/>
      </c>
      <c r="D7" s="150">
        <f>IF($C7="","",N(INDEX(lr_lrproj,2)))</f>
        <v/>
      </c>
      <c r="E7" s="51">
        <f>IF($C7="","",INDEX(lr_basis,2)&amp;"")</f>
        <v/>
      </c>
      <c r="F7" s="150">
        <f>IF($C7="","",INDEX(calc_lrcur,2))</f>
        <v/>
      </c>
      <c r="G7" s="151">
        <f>IF($C7="","",INDEX(calc_cylr_p,2))</f>
        <v/>
      </c>
      <c r="H7" s="152">
        <f>IF($C7="","",(INDEX(calc_cylr_p,2)-INDEX(calc_lrcur,2))*100)</f>
        <v/>
      </c>
      <c r="I7" s="153">
        <f>IF($C7="","",INDEX(calc_arate_p,2))</f>
        <v/>
      </c>
      <c r="J7" s="153">
        <f>IF($C7="","",INDEX(calc_amod_p,2))</f>
        <v/>
      </c>
      <c r="K7" s="116">
        <f>IF($C7="","",INDEX(calc_echg,2))</f>
        <v/>
      </c>
      <c r="L7" s="116">
        <f>IF($C7="","",INDEX(calc_carry,2))</f>
        <v/>
      </c>
      <c r="M7" s="150">
        <f>IF($C7="","",INDEX(calc_cylr_p1,2))</f>
        <v/>
      </c>
      <c r="N7" s="154">
        <f>IF($C7="","",N(INDEX(lr_ep,2)))</f>
        <v/>
      </c>
      <c r="O7" s="155">
        <f>IF($C7="","",IF(SUM($N$6:$N$74)=0,0,N($N7)/SUM($N$6:$N$74)))</f>
        <v/>
      </c>
    </row>
    <row r="8">
      <c r="A8" s="149">
        <f>IF(INDEX(lr_key,3)="","",INDEX(lr_bu,3))</f>
        <v/>
      </c>
      <c r="B8" s="149">
        <f>IF(INDEX(lr_key,3)="","",INDEX(lr_state,3))</f>
        <v/>
      </c>
      <c r="C8" s="23">
        <f>INDEX(lr_key,3)</f>
        <v/>
      </c>
      <c r="D8" s="150">
        <f>IF($C8="","",N(INDEX(lr_lrproj,3)))</f>
        <v/>
      </c>
      <c r="E8" s="51">
        <f>IF($C8="","",INDEX(lr_basis,3)&amp;"")</f>
        <v/>
      </c>
      <c r="F8" s="150">
        <f>IF($C8="","",INDEX(calc_lrcur,3))</f>
        <v/>
      </c>
      <c r="G8" s="151">
        <f>IF($C8="","",INDEX(calc_cylr_p,3))</f>
        <v/>
      </c>
      <c r="H8" s="152">
        <f>IF($C8="","",(INDEX(calc_cylr_p,3)-INDEX(calc_lrcur,3))*100)</f>
        <v/>
      </c>
      <c r="I8" s="153">
        <f>IF($C8="","",INDEX(calc_arate_p,3))</f>
        <v/>
      </c>
      <c r="J8" s="153">
        <f>IF($C8="","",INDEX(calc_amod_p,3))</f>
        <v/>
      </c>
      <c r="K8" s="116">
        <f>IF($C8="","",INDEX(calc_echg,3))</f>
        <v/>
      </c>
      <c r="L8" s="116">
        <f>IF($C8="","",INDEX(calc_carry,3))</f>
        <v/>
      </c>
      <c r="M8" s="150">
        <f>IF($C8="","",INDEX(calc_cylr_p1,3))</f>
        <v/>
      </c>
      <c r="N8" s="154">
        <f>IF($C8="","",N(INDEX(lr_ep,3)))</f>
        <v/>
      </c>
      <c r="O8" s="155">
        <f>IF($C8="","",IF(SUM($N$6:$N$74)=0,0,N($N8)/SUM($N$6:$N$74)))</f>
        <v/>
      </c>
    </row>
    <row r="9">
      <c r="A9" s="149">
        <f>IF(INDEX(lr_key,4)="","",INDEX(lr_bu,4))</f>
        <v/>
      </c>
      <c r="B9" s="149">
        <f>IF(INDEX(lr_key,4)="","",INDEX(lr_state,4))</f>
        <v/>
      </c>
      <c r="C9" s="23">
        <f>INDEX(lr_key,4)</f>
        <v/>
      </c>
      <c r="D9" s="150">
        <f>IF($C9="","",N(INDEX(lr_lrproj,4)))</f>
        <v/>
      </c>
      <c r="E9" s="51">
        <f>IF($C9="","",INDEX(lr_basis,4)&amp;"")</f>
        <v/>
      </c>
      <c r="F9" s="150">
        <f>IF($C9="","",INDEX(calc_lrcur,4))</f>
        <v/>
      </c>
      <c r="G9" s="151">
        <f>IF($C9="","",INDEX(calc_cylr_p,4))</f>
        <v/>
      </c>
      <c r="H9" s="152">
        <f>IF($C9="","",(INDEX(calc_cylr_p,4)-INDEX(calc_lrcur,4))*100)</f>
        <v/>
      </c>
      <c r="I9" s="153">
        <f>IF($C9="","",INDEX(calc_arate_p,4))</f>
        <v/>
      </c>
      <c r="J9" s="153">
        <f>IF($C9="","",INDEX(calc_amod_p,4))</f>
        <v/>
      </c>
      <c r="K9" s="116">
        <f>IF($C9="","",INDEX(calc_echg,4))</f>
        <v/>
      </c>
      <c r="L9" s="116">
        <f>IF($C9="","",INDEX(calc_carry,4))</f>
        <v/>
      </c>
      <c r="M9" s="150">
        <f>IF($C9="","",INDEX(calc_cylr_p1,4))</f>
        <v/>
      </c>
      <c r="N9" s="154">
        <f>IF($C9="","",N(INDEX(lr_ep,4)))</f>
        <v/>
      </c>
      <c r="O9" s="155">
        <f>IF($C9="","",IF(SUM($N$6:$N$74)=0,0,N($N9)/SUM($N$6:$N$74)))</f>
        <v/>
      </c>
    </row>
    <row r="10">
      <c r="A10" s="149">
        <f>IF(INDEX(lr_key,5)="","",INDEX(lr_bu,5))</f>
        <v/>
      </c>
      <c r="B10" s="149">
        <f>IF(INDEX(lr_key,5)="","",INDEX(lr_state,5))</f>
        <v/>
      </c>
      <c r="C10" s="23">
        <f>INDEX(lr_key,5)</f>
        <v/>
      </c>
      <c r="D10" s="150">
        <f>IF($C10="","",N(INDEX(lr_lrproj,5)))</f>
        <v/>
      </c>
      <c r="E10" s="51">
        <f>IF($C10="","",INDEX(lr_basis,5)&amp;"")</f>
        <v/>
      </c>
      <c r="F10" s="150">
        <f>IF($C10="","",INDEX(calc_lrcur,5))</f>
        <v/>
      </c>
      <c r="G10" s="151">
        <f>IF($C10="","",INDEX(calc_cylr_p,5))</f>
        <v/>
      </c>
      <c r="H10" s="152">
        <f>IF($C10="","",(INDEX(calc_cylr_p,5)-INDEX(calc_lrcur,5))*100)</f>
        <v/>
      </c>
      <c r="I10" s="153">
        <f>IF($C10="","",INDEX(calc_arate_p,5))</f>
        <v/>
      </c>
      <c r="J10" s="153">
        <f>IF($C10="","",INDEX(calc_amod_p,5))</f>
        <v/>
      </c>
      <c r="K10" s="116">
        <f>IF($C10="","",INDEX(calc_echg,5))</f>
        <v/>
      </c>
      <c r="L10" s="116">
        <f>IF($C10="","",INDEX(calc_carry,5))</f>
        <v/>
      </c>
      <c r="M10" s="150">
        <f>IF($C10="","",INDEX(calc_cylr_p1,5))</f>
        <v/>
      </c>
      <c r="N10" s="154">
        <f>IF($C10="","",N(INDEX(lr_ep,5)))</f>
        <v/>
      </c>
      <c r="O10" s="155">
        <f>IF($C10="","",IF(SUM($N$6:$N$74)=0,0,N($N10)/SUM($N$6:$N$74)))</f>
        <v/>
      </c>
    </row>
    <row r="11">
      <c r="A11" s="149">
        <f>IF(INDEX(lr_key,6)="","",INDEX(lr_bu,6))</f>
        <v/>
      </c>
      <c r="B11" s="149">
        <f>IF(INDEX(lr_key,6)="","",INDEX(lr_state,6))</f>
        <v/>
      </c>
      <c r="C11" s="23">
        <f>INDEX(lr_key,6)</f>
        <v/>
      </c>
      <c r="D11" s="150">
        <f>IF($C11="","",N(INDEX(lr_lrproj,6)))</f>
        <v/>
      </c>
      <c r="E11" s="51">
        <f>IF($C11="","",INDEX(lr_basis,6)&amp;"")</f>
        <v/>
      </c>
      <c r="F11" s="150">
        <f>IF($C11="","",INDEX(calc_lrcur,6))</f>
        <v/>
      </c>
      <c r="G11" s="151">
        <f>IF($C11="","",INDEX(calc_cylr_p,6))</f>
        <v/>
      </c>
      <c r="H11" s="152">
        <f>IF($C11="","",(INDEX(calc_cylr_p,6)-INDEX(calc_lrcur,6))*100)</f>
        <v/>
      </c>
      <c r="I11" s="153">
        <f>IF($C11="","",INDEX(calc_arate_p,6))</f>
        <v/>
      </c>
      <c r="J11" s="153">
        <f>IF($C11="","",INDEX(calc_amod_p,6))</f>
        <v/>
      </c>
      <c r="K11" s="116">
        <f>IF($C11="","",INDEX(calc_echg,6))</f>
        <v/>
      </c>
      <c r="L11" s="116">
        <f>IF($C11="","",INDEX(calc_carry,6))</f>
        <v/>
      </c>
      <c r="M11" s="150">
        <f>IF($C11="","",INDEX(calc_cylr_p1,6))</f>
        <v/>
      </c>
      <c r="N11" s="154">
        <f>IF($C11="","",N(INDEX(lr_ep,6)))</f>
        <v/>
      </c>
      <c r="O11" s="155">
        <f>IF($C11="","",IF(SUM($N$6:$N$74)=0,0,N($N11)/SUM($N$6:$N$74)))</f>
        <v/>
      </c>
    </row>
    <row r="12">
      <c r="A12" s="149">
        <f>IF(INDEX(lr_key,7)="","",INDEX(lr_bu,7))</f>
        <v/>
      </c>
      <c r="B12" s="149">
        <f>IF(INDEX(lr_key,7)="","",INDEX(lr_state,7))</f>
        <v/>
      </c>
      <c r="C12" s="23">
        <f>INDEX(lr_key,7)</f>
        <v/>
      </c>
      <c r="D12" s="150">
        <f>IF($C12="","",N(INDEX(lr_lrproj,7)))</f>
        <v/>
      </c>
      <c r="E12" s="51">
        <f>IF($C12="","",INDEX(lr_basis,7)&amp;"")</f>
        <v/>
      </c>
      <c r="F12" s="150">
        <f>IF($C12="","",INDEX(calc_lrcur,7))</f>
        <v/>
      </c>
      <c r="G12" s="151">
        <f>IF($C12="","",INDEX(calc_cylr_p,7))</f>
        <v/>
      </c>
      <c r="H12" s="152">
        <f>IF($C12="","",(INDEX(calc_cylr_p,7)-INDEX(calc_lrcur,7))*100)</f>
        <v/>
      </c>
      <c r="I12" s="153">
        <f>IF($C12="","",INDEX(calc_arate_p,7))</f>
        <v/>
      </c>
      <c r="J12" s="153">
        <f>IF($C12="","",INDEX(calc_amod_p,7))</f>
        <v/>
      </c>
      <c r="K12" s="116">
        <f>IF($C12="","",INDEX(calc_echg,7))</f>
        <v/>
      </c>
      <c r="L12" s="116">
        <f>IF($C12="","",INDEX(calc_carry,7))</f>
        <v/>
      </c>
      <c r="M12" s="150">
        <f>IF($C12="","",INDEX(calc_cylr_p1,7))</f>
        <v/>
      </c>
      <c r="N12" s="154">
        <f>IF($C12="","",N(INDEX(lr_ep,7)))</f>
        <v/>
      </c>
      <c r="O12" s="155">
        <f>IF($C12="","",IF(SUM($N$6:$N$74)=0,0,N($N12)/SUM($N$6:$N$74)))</f>
        <v/>
      </c>
    </row>
    <row r="13">
      <c r="A13" s="149">
        <f>IF(INDEX(lr_key,8)="","",INDEX(lr_bu,8))</f>
        <v/>
      </c>
      <c r="B13" s="149">
        <f>IF(INDEX(lr_key,8)="","",INDEX(lr_state,8))</f>
        <v/>
      </c>
      <c r="C13" s="23">
        <f>INDEX(lr_key,8)</f>
        <v/>
      </c>
      <c r="D13" s="150">
        <f>IF($C13="","",N(INDEX(lr_lrproj,8)))</f>
        <v/>
      </c>
      <c r="E13" s="51">
        <f>IF($C13="","",INDEX(lr_basis,8)&amp;"")</f>
        <v/>
      </c>
      <c r="F13" s="150">
        <f>IF($C13="","",INDEX(calc_lrcur,8))</f>
        <v/>
      </c>
      <c r="G13" s="151">
        <f>IF($C13="","",INDEX(calc_cylr_p,8))</f>
        <v/>
      </c>
      <c r="H13" s="152">
        <f>IF($C13="","",(INDEX(calc_cylr_p,8)-INDEX(calc_lrcur,8))*100)</f>
        <v/>
      </c>
      <c r="I13" s="153">
        <f>IF($C13="","",INDEX(calc_arate_p,8))</f>
        <v/>
      </c>
      <c r="J13" s="153">
        <f>IF($C13="","",INDEX(calc_amod_p,8))</f>
        <v/>
      </c>
      <c r="K13" s="116">
        <f>IF($C13="","",INDEX(calc_echg,8))</f>
        <v/>
      </c>
      <c r="L13" s="116">
        <f>IF($C13="","",INDEX(calc_carry,8))</f>
        <v/>
      </c>
      <c r="M13" s="150">
        <f>IF($C13="","",INDEX(calc_cylr_p1,8))</f>
        <v/>
      </c>
      <c r="N13" s="154">
        <f>IF($C13="","",N(INDEX(lr_ep,8)))</f>
        <v/>
      </c>
      <c r="O13" s="155">
        <f>IF($C13="","",IF(SUM($N$6:$N$74)=0,0,N($N13)/SUM($N$6:$N$74)))</f>
        <v/>
      </c>
    </row>
    <row r="14">
      <c r="A14" s="149">
        <f>IF(INDEX(lr_key,9)="","",INDEX(lr_bu,9))</f>
        <v/>
      </c>
      <c r="B14" s="149">
        <f>IF(INDEX(lr_key,9)="","",INDEX(lr_state,9))</f>
        <v/>
      </c>
      <c r="C14" s="23">
        <f>INDEX(lr_key,9)</f>
        <v/>
      </c>
      <c r="D14" s="150">
        <f>IF($C14="","",N(INDEX(lr_lrproj,9)))</f>
        <v/>
      </c>
      <c r="E14" s="51">
        <f>IF($C14="","",INDEX(lr_basis,9)&amp;"")</f>
        <v/>
      </c>
      <c r="F14" s="150">
        <f>IF($C14="","",INDEX(calc_lrcur,9))</f>
        <v/>
      </c>
      <c r="G14" s="151">
        <f>IF($C14="","",INDEX(calc_cylr_p,9))</f>
        <v/>
      </c>
      <c r="H14" s="152">
        <f>IF($C14="","",(INDEX(calc_cylr_p,9)-INDEX(calc_lrcur,9))*100)</f>
        <v/>
      </c>
      <c r="I14" s="153">
        <f>IF($C14="","",INDEX(calc_arate_p,9))</f>
        <v/>
      </c>
      <c r="J14" s="153">
        <f>IF($C14="","",INDEX(calc_amod_p,9))</f>
        <v/>
      </c>
      <c r="K14" s="116">
        <f>IF($C14="","",INDEX(calc_echg,9))</f>
        <v/>
      </c>
      <c r="L14" s="116">
        <f>IF($C14="","",INDEX(calc_carry,9))</f>
        <v/>
      </c>
      <c r="M14" s="150">
        <f>IF($C14="","",INDEX(calc_cylr_p1,9))</f>
        <v/>
      </c>
      <c r="N14" s="154">
        <f>IF($C14="","",N(INDEX(lr_ep,9)))</f>
        <v/>
      </c>
      <c r="O14" s="155">
        <f>IF($C14="","",IF(SUM($N$6:$N$74)=0,0,N($N14)/SUM($N$6:$N$74)))</f>
        <v/>
      </c>
    </row>
    <row r="15">
      <c r="A15" s="149">
        <f>IF(INDEX(lr_key,10)="","",INDEX(lr_bu,10))</f>
        <v/>
      </c>
      <c r="B15" s="149">
        <f>IF(INDEX(lr_key,10)="","",INDEX(lr_state,10))</f>
        <v/>
      </c>
      <c r="C15" s="23">
        <f>INDEX(lr_key,10)</f>
        <v/>
      </c>
      <c r="D15" s="150">
        <f>IF($C15="","",N(INDEX(lr_lrproj,10)))</f>
        <v/>
      </c>
      <c r="E15" s="51">
        <f>IF($C15="","",INDEX(lr_basis,10)&amp;"")</f>
        <v/>
      </c>
      <c r="F15" s="150">
        <f>IF($C15="","",INDEX(calc_lrcur,10))</f>
        <v/>
      </c>
      <c r="G15" s="151">
        <f>IF($C15="","",INDEX(calc_cylr_p,10))</f>
        <v/>
      </c>
      <c r="H15" s="152">
        <f>IF($C15="","",(INDEX(calc_cylr_p,10)-INDEX(calc_lrcur,10))*100)</f>
        <v/>
      </c>
      <c r="I15" s="153">
        <f>IF($C15="","",INDEX(calc_arate_p,10))</f>
        <v/>
      </c>
      <c r="J15" s="153">
        <f>IF($C15="","",INDEX(calc_amod_p,10))</f>
        <v/>
      </c>
      <c r="K15" s="116">
        <f>IF($C15="","",INDEX(calc_echg,10))</f>
        <v/>
      </c>
      <c r="L15" s="116">
        <f>IF($C15="","",INDEX(calc_carry,10))</f>
        <v/>
      </c>
      <c r="M15" s="150">
        <f>IF($C15="","",INDEX(calc_cylr_p1,10))</f>
        <v/>
      </c>
      <c r="N15" s="154">
        <f>IF($C15="","",N(INDEX(lr_ep,10)))</f>
        <v/>
      </c>
      <c r="O15" s="155">
        <f>IF($C15="","",IF(SUM($N$6:$N$74)=0,0,N($N15)/SUM($N$6:$N$74)))</f>
        <v/>
      </c>
    </row>
    <row r="16">
      <c r="A16" s="149">
        <f>IF(INDEX(lr_key,11)="","",INDEX(lr_bu,11))</f>
        <v/>
      </c>
      <c r="B16" s="149">
        <f>IF(INDEX(lr_key,11)="","",INDEX(lr_state,11))</f>
        <v/>
      </c>
      <c r="C16" s="23">
        <f>INDEX(lr_key,11)</f>
        <v/>
      </c>
      <c r="D16" s="150">
        <f>IF($C16="","",N(INDEX(lr_lrproj,11)))</f>
        <v/>
      </c>
      <c r="E16" s="51">
        <f>IF($C16="","",INDEX(lr_basis,11)&amp;"")</f>
        <v/>
      </c>
      <c r="F16" s="150">
        <f>IF($C16="","",INDEX(calc_lrcur,11))</f>
        <v/>
      </c>
      <c r="G16" s="151">
        <f>IF($C16="","",INDEX(calc_cylr_p,11))</f>
        <v/>
      </c>
      <c r="H16" s="152">
        <f>IF($C16="","",(INDEX(calc_cylr_p,11)-INDEX(calc_lrcur,11))*100)</f>
        <v/>
      </c>
      <c r="I16" s="153">
        <f>IF($C16="","",INDEX(calc_arate_p,11))</f>
        <v/>
      </c>
      <c r="J16" s="153">
        <f>IF($C16="","",INDEX(calc_amod_p,11))</f>
        <v/>
      </c>
      <c r="K16" s="116">
        <f>IF($C16="","",INDEX(calc_echg,11))</f>
        <v/>
      </c>
      <c r="L16" s="116">
        <f>IF($C16="","",INDEX(calc_carry,11))</f>
        <v/>
      </c>
      <c r="M16" s="150">
        <f>IF($C16="","",INDEX(calc_cylr_p1,11))</f>
        <v/>
      </c>
      <c r="N16" s="154">
        <f>IF($C16="","",N(INDEX(lr_ep,11)))</f>
        <v/>
      </c>
      <c r="O16" s="155">
        <f>IF($C16="","",IF(SUM($N$6:$N$74)=0,0,N($N16)/SUM($N$6:$N$74)))</f>
        <v/>
      </c>
    </row>
    <row r="17">
      <c r="A17" s="149">
        <f>IF(INDEX(lr_key,12)="","",INDEX(lr_bu,12))</f>
        <v/>
      </c>
      <c r="B17" s="149">
        <f>IF(INDEX(lr_key,12)="","",INDEX(lr_state,12))</f>
        <v/>
      </c>
      <c r="C17" s="23">
        <f>INDEX(lr_key,12)</f>
        <v/>
      </c>
      <c r="D17" s="150">
        <f>IF($C17="","",N(INDEX(lr_lrproj,12)))</f>
        <v/>
      </c>
      <c r="E17" s="51">
        <f>IF($C17="","",INDEX(lr_basis,12)&amp;"")</f>
        <v/>
      </c>
      <c r="F17" s="150">
        <f>IF($C17="","",INDEX(calc_lrcur,12))</f>
        <v/>
      </c>
      <c r="G17" s="151">
        <f>IF($C17="","",INDEX(calc_cylr_p,12))</f>
        <v/>
      </c>
      <c r="H17" s="152">
        <f>IF($C17="","",(INDEX(calc_cylr_p,12)-INDEX(calc_lrcur,12))*100)</f>
        <v/>
      </c>
      <c r="I17" s="153">
        <f>IF($C17="","",INDEX(calc_arate_p,12))</f>
        <v/>
      </c>
      <c r="J17" s="153">
        <f>IF($C17="","",INDEX(calc_amod_p,12))</f>
        <v/>
      </c>
      <c r="K17" s="116">
        <f>IF($C17="","",INDEX(calc_echg,12))</f>
        <v/>
      </c>
      <c r="L17" s="116">
        <f>IF($C17="","",INDEX(calc_carry,12))</f>
        <v/>
      </c>
      <c r="M17" s="150">
        <f>IF($C17="","",INDEX(calc_cylr_p1,12))</f>
        <v/>
      </c>
      <c r="N17" s="154">
        <f>IF($C17="","",N(INDEX(lr_ep,12)))</f>
        <v/>
      </c>
      <c r="O17" s="155">
        <f>IF($C17="","",IF(SUM($N$6:$N$74)=0,0,N($N17)/SUM($N$6:$N$74)))</f>
        <v/>
      </c>
    </row>
    <row r="18">
      <c r="A18" s="149">
        <f>IF(INDEX(lr_key,13)="","",INDEX(lr_bu,13))</f>
        <v/>
      </c>
      <c r="B18" s="149">
        <f>IF(INDEX(lr_key,13)="","",INDEX(lr_state,13))</f>
        <v/>
      </c>
      <c r="C18" s="23">
        <f>INDEX(lr_key,13)</f>
        <v/>
      </c>
      <c r="D18" s="150">
        <f>IF($C18="","",N(INDEX(lr_lrproj,13)))</f>
        <v/>
      </c>
      <c r="E18" s="51">
        <f>IF($C18="","",INDEX(lr_basis,13)&amp;"")</f>
        <v/>
      </c>
      <c r="F18" s="150">
        <f>IF($C18="","",INDEX(calc_lrcur,13))</f>
        <v/>
      </c>
      <c r="G18" s="151">
        <f>IF($C18="","",INDEX(calc_cylr_p,13))</f>
        <v/>
      </c>
      <c r="H18" s="152">
        <f>IF($C18="","",(INDEX(calc_cylr_p,13)-INDEX(calc_lrcur,13))*100)</f>
        <v/>
      </c>
      <c r="I18" s="153">
        <f>IF($C18="","",INDEX(calc_arate_p,13))</f>
        <v/>
      </c>
      <c r="J18" s="153">
        <f>IF($C18="","",INDEX(calc_amod_p,13))</f>
        <v/>
      </c>
      <c r="K18" s="116">
        <f>IF($C18="","",INDEX(calc_echg,13))</f>
        <v/>
      </c>
      <c r="L18" s="116">
        <f>IF($C18="","",INDEX(calc_carry,13))</f>
        <v/>
      </c>
      <c r="M18" s="150">
        <f>IF($C18="","",INDEX(calc_cylr_p1,13))</f>
        <v/>
      </c>
      <c r="N18" s="154">
        <f>IF($C18="","",N(INDEX(lr_ep,13)))</f>
        <v/>
      </c>
      <c r="O18" s="155">
        <f>IF($C18="","",IF(SUM($N$6:$N$74)=0,0,N($N18)/SUM($N$6:$N$74)))</f>
        <v/>
      </c>
    </row>
    <row r="19">
      <c r="A19" s="149">
        <f>IF(INDEX(lr_key,14)="","",INDEX(lr_bu,14))</f>
        <v/>
      </c>
      <c r="B19" s="149">
        <f>IF(INDEX(lr_key,14)="","",INDEX(lr_state,14))</f>
        <v/>
      </c>
      <c r="C19" s="23">
        <f>INDEX(lr_key,14)</f>
        <v/>
      </c>
      <c r="D19" s="150">
        <f>IF($C19="","",N(INDEX(lr_lrproj,14)))</f>
        <v/>
      </c>
      <c r="E19" s="51">
        <f>IF($C19="","",INDEX(lr_basis,14)&amp;"")</f>
        <v/>
      </c>
      <c r="F19" s="150">
        <f>IF($C19="","",INDEX(calc_lrcur,14))</f>
        <v/>
      </c>
      <c r="G19" s="151">
        <f>IF($C19="","",INDEX(calc_cylr_p,14))</f>
        <v/>
      </c>
      <c r="H19" s="152">
        <f>IF($C19="","",(INDEX(calc_cylr_p,14)-INDEX(calc_lrcur,14))*100)</f>
        <v/>
      </c>
      <c r="I19" s="153">
        <f>IF($C19="","",INDEX(calc_arate_p,14))</f>
        <v/>
      </c>
      <c r="J19" s="153">
        <f>IF($C19="","",INDEX(calc_amod_p,14))</f>
        <v/>
      </c>
      <c r="K19" s="116">
        <f>IF($C19="","",INDEX(calc_echg,14))</f>
        <v/>
      </c>
      <c r="L19" s="116">
        <f>IF($C19="","",INDEX(calc_carry,14))</f>
        <v/>
      </c>
      <c r="M19" s="150">
        <f>IF($C19="","",INDEX(calc_cylr_p1,14))</f>
        <v/>
      </c>
      <c r="N19" s="154">
        <f>IF($C19="","",N(INDEX(lr_ep,14)))</f>
        <v/>
      </c>
      <c r="O19" s="155">
        <f>IF($C19="","",IF(SUM($N$6:$N$74)=0,0,N($N19)/SUM($N$6:$N$74)))</f>
        <v/>
      </c>
    </row>
    <row r="20">
      <c r="A20" s="149">
        <f>IF(INDEX(lr_key,15)="","",INDEX(lr_bu,15))</f>
        <v/>
      </c>
      <c r="B20" s="149">
        <f>IF(INDEX(lr_key,15)="","",INDEX(lr_state,15))</f>
        <v/>
      </c>
      <c r="C20" s="23">
        <f>INDEX(lr_key,15)</f>
        <v/>
      </c>
      <c r="D20" s="150">
        <f>IF($C20="","",N(INDEX(lr_lrproj,15)))</f>
        <v/>
      </c>
      <c r="E20" s="51">
        <f>IF($C20="","",INDEX(lr_basis,15)&amp;"")</f>
        <v/>
      </c>
      <c r="F20" s="150">
        <f>IF($C20="","",INDEX(calc_lrcur,15))</f>
        <v/>
      </c>
      <c r="G20" s="151">
        <f>IF($C20="","",INDEX(calc_cylr_p,15))</f>
        <v/>
      </c>
      <c r="H20" s="152">
        <f>IF($C20="","",(INDEX(calc_cylr_p,15)-INDEX(calc_lrcur,15))*100)</f>
        <v/>
      </c>
      <c r="I20" s="153">
        <f>IF($C20="","",INDEX(calc_arate_p,15))</f>
        <v/>
      </c>
      <c r="J20" s="153">
        <f>IF($C20="","",INDEX(calc_amod_p,15))</f>
        <v/>
      </c>
      <c r="K20" s="116">
        <f>IF($C20="","",INDEX(calc_echg,15))</f>
        <v/>
      </c>
      <c r="L20" s="116">
        <f>IF($C20="","",INDEX(calc_carry,15))</f>
        <v/>
      </c>
      <c r="M20" s="150">
        <f>IF($C20="","",INDEX(calc_cylr_p1,15))</f>
        <v/>
      </c>
      <c r="N20" s="154">
        <f>IF($C20="","",N(INDEX(lr_ep,15)))</f>
        <v/>
      </c>
      <c r="O20" s="155">
        <f>IF($C20="","",IF(SUM($N$6:$N$74)=0,0,N($N20)/SUM($N$6:$N$74)))</f>
        <v/>
      </c>
    </row>
    <row r="21">
      <c r="A21" s="149">
        <f>IF(INDEX(lr_key,16)="","",INDEX(lr_bu,16))</f>
        <v/>
      </c>
      <c r="B21" s="149">
        <f>IF(INDEX(lr_key,16)="","",INDEX(lr_state,16))</f>
        <v/>
      </c>
      <c r="C21" s="23">
        <f>INDEX(lr_key,16)</f>
        <v/>
      </c>
      <c r="D21" s="150">
        <f>IF($C21="","",N(INDEX(lr_lrproj,16)))</f>
        <v/>
      </c>
      <c r="E21" s="51">
        <f>IF($C21="","",INDEX(lr_basis,16)&amp;"")</f>
        <v/>
      </c>
      <c r="F21" s="150">
        <f>IF($C21="","",INDEX(calc_lrcur,16))</f>
        <v/>
      </c>
      <c r="G21" s="151">
        <f>IF($C21="","",INDEX(calc_cylr_p,16))</f>
        <v/>
      </c>
      <c r="H21" s="152">
        <f>IF($C21="","",(INDEX(calc_cylr_p,16)-INDEX(calc_lrcur,16))*100)</f>
        <v/>
      </c>
      <c r="I21" s="153">
        <f>IF($C21="","",INDEX(calc_arate_p,16))</f>
        <v/>
      </c>
      <c r="J21" s="153">
        <f>IF($C21="","",INDEX(calc_amod_p,16))</f>
        <v/>
      </c>
      <c r="K21" s="116">
        <f>IF($C21="","",INDEX(calc_echg,16))</f>
        <v/>
      </c>
      <c r="L21" s="116">
        <f>IF($C21="","",INDEX(calc_carry,16))</f>
        <v/>
      </c>
      <c r="M21" s="150">
        <f>IF($C21="","",INDEX(calc_cylr_p1,16))</f>
        <v/>
      </c>
      <c r="N21" s="154">
        <f>IF($C21="","",N(INDEX(lr_ep,16)))</f>
        <v/>
      </c>
      <c r="O21" s="155">
        <f>IF($C21="","",IF(SUM($N$6:$N$74)=0,0,N($N21)/SUM($N$6:$N$74)))</f>
        <v/>
      </c>
    </row>
    <row r="22">
      <c r="A22" s="149">
        <f>IF(INDEX(lr_key,17)="","",INDEX(lr_bu,17))</f>
        <v/>
      </c>
      <c r="B22" s="149">
        <f>IF(INDEX(lr_key,17)="","",INDEX(lr_state,17))</f>
        <v/>
      </c>
      <c r="C22" s="23">
        <f>INDEX(lr_key,17)</f>
        <v/>
      </c>
      <c r="D22" s="150">
        <f>IF($C22="","",N(INDEX(lr_lrproj,17)))</f>
        <v/>
      </c>
      <c r="E22" s="51">
        <f>IF($C22="","",INDEX(lr_basis,17)&amp;"")</f>
        <v/>
      </c>
      <c r="F22" s="150">
        <f>IF($C22="","",INDEX(calc_lrcur,17))</f>
        <v/>
      </c>
      <c r="G22" s="151">
        <f>IF($C22="","",INDEX(calc_cylr_p,17))</f>
        <v/>
      </c>
      <c r="H22" s="152">
        <f>IF($C22="","",(INDEX(calc_cylr_p,17)-INDEX(calc_lrcur,17))*100)</f>
        <v/>
      </c>
      <c r="I22" s="153">
        <f>IF($C22="","",INDEX(calc_arate_p,17))</f>
        <v/>
      </c>
      <c r="J22" s="153">
        <f>IF($C22="","",INDEX(calc_amod_p,17))</f>
        <v/>
      </c>
      <c r="K22" s="116">
        <f>IF($C22="","",INDEX(calc_echg,17))</f>
        <v/>
      </c>
      <c r="L22" s="116">
        <f>IF($C22="","",INDEX(calc_carry,17))</f>
        <v/>
      </c>
      <c r="M22" s="150">
        <f>IF($C22="","",INDEX(calc_cylr_p1,17))</f>
        <v/>
      </c>
      <c r="N22" s="154">
        <f>IF($C22="","",N(INDEX(lr_ep,17)))</f>
        <v/>
      </c>
      <c r="O22" s="155">
        <f>IF($C22="","",IF(SUM($N$6:$N$74)=0,0,N($N22)/SUM($N$6:$N$74)))</f>
        <v/>
      </c>
    </row>
    <row r="23">
      <c r="A23" s="149">
        <f>IF(INDEX(lr_key,18)="","",INDEX(lr_bu,18))</f>
        <v/>
      </c>
      <c r="B23" s="149">
        <f>IF(INDEX(lr_key,18)="","",INDEX(lr_state,18))</f>
        <v/>
      </c>
      <c r="C23" s="23">
        <f>INDEX(lr_key,18)</f>
        <v/>
      </c>
      <c r="D23" s="150">
        <f>IF($C23="","",N(INDEX(lr_lrproj,18)))</f>
        <v/>
      </c>
      <c r="E23" s="51">
        <f>IF($C23="","",INDEX(lr_basis,18)&amp;"")</f>
        <v/>
      </c>
      <c r="F23" s="150">
        <f>IF($C23="","",INDEX(calc_lrcur,18))</f>
        <v/>
      </c>
      <c r="G23" s="151">
        <f>IF($C23="","",INDEX(calc_cylr_p,18))</f>
        <v/>
      </c>
      <c r="H23" s="152">
        <f>IF($C23="","",(INDEX(calc_cylr_p,18)-INDEX(calc_lrcur,18))*100)</f>
        <v/>
      </c>
      <c r="I23" s="153">
        <f>IF($C23="","",INDEX(calc_arate_p,18))</f>
        <v/>
      </c>
      <c r="J23" s="153">
        <f>IF($C23="","",INDEX(calc_amod_p,18))</f>
        <v/>
      </c>
      <c r="K23" s="116">
        <f>IF($C23="","",INDEX(calc_echg,18))</f>
        <v/>
      </c>
      <c r="L23" s="116">
        <f>IF($C23="","",INDEX(calc_carry,18))</f>
        <v/>
      </c>
      <c r="M23" s="150">
        <f>IF($C23="","",INDEX(calc_cylr_p1,18))</f>
        <v/>
      </c>
      <c r="N23" s="154">
        <f>IF($C23="","",N(INDEX(lr_ep,18)))</f>
        <v/>
      </c>
      <c r="O23" s="155">
        <f>IF($C23="","",IF(SUM($N$6:$N$74)=0,0,N($N23)/SUM($N$6:$N$74)))</f>
        <v/>
      </c>
    </row>
    <row r="24">
      <c r="A24" s="149">
        <f>IF(INDEX(lr_key,19)="","",INDEX(lr_bu,19))</f>
        <v/>
      </c>
      <c r="B24" s="149">
        <f>IF(INDEX(lr_key,19)="","",INDEX(lr_state,19))</f>
        <v/>
      </c>
      <c r="C24" s="23">
        <f>INDEX(lr_key,19)</f>
        <v/>
      </c>
      <c r="D24" s="150">
        <f>IF($C24="","",N(INDEX(lr_lrproj,19)))</f>
        <v/>
      </c>
      <c r="E24" s="51">
        <f>IF($C24="","",INDEX(lr_basis,19)&amp;"")</f>
        <v/>
      </c>
      <c r="F24" s="150">
        <f>IF($C24="","",INDEX(calc_lrcur,19))</f>
        <v/>
      </c>
      <c r="G24" s="151">
        <f>IF($C24="","",INDEX(calc_cylr_p,19))</f>
        <v/>
      </c>
      <c r="H24" s="152">
        <f>IF($C24="","",(INDEX(calc_cylr_p,19)-INDEX(calc_lrcur,19))*100)</f>
        <v/>
      </c>
      <c r="I24" s="153">
        <f>IF($C24="","",INDEX(calc_arate_p,19))</f>
        <v/>
      </c>
      <c r="J24" s="153">
        <f>IF($C24="","",INDEX(calc_amod_p,19))</f>
        <v/>
      </c>
      <c r="K24" s="116">
        <f>IF($C24="","",INDEX(calc_echg,19))</f>
        <v/>
      </c>
      <c r="L24" s="116">
        <f>IF($C24="","",INDEX(calc_carry,19))</f>
        <v/>
      </c>
      <c r="M24" s="150">
        <f>IF($C24="","",INDEX(calc_cylr_p1,19))</f>
        <v/>
      </c>
      <c r="N24" s="154">
        <f>IF($C24="","",N(INDEX(lr_ep,19)))</f>
        <v/>
      </c>
      <c r="O24" s="155">
        <f>IF($C24="","",IF(SUM($N$6:$N$74)=0,0,N($N24)/SUM($N$6:$N$74)))</f>
        <v/>
      </c>
    </row>
    <row r="25">
      <c r="A25" s="149">
        <f>IF(INDEX(lr_key,20)="","",INDEX(lr_bu,20))</f>
        <v/>
      </c>
      <c r="B25" s="149">
        <f>IF(INDEX(lr_key,20)="","",INDEX(lr_state,20))</f>
        <v/>
      </c>
      <c r="C25" s="23">
        <f>INDEX(lr_key,20)</f>
        <v/>
      </c>
      <c r="D25" s="150">
        <f>IF($C25="","",N(INDEX(lr_lrproj,20)))</f>
        <v/>
      </c>
      <c r="E25" s="51">
        <f>IF($C25="","",INDEX(lr_basis,20)&amp;"")</f>
        <v/>
      </c>
      <c r="F25" s="150">
        <f>IF($C25="","",INDEX(calc_lrcur,20))</f>
        <v/>
      </c>
      <c r="G25" s="151">
        <f>IF($C25="","",INDEX(calc_cylr_p,20))</f>
        <v/>
      </c>
      <c r="H25" s="152">
        <f>IF($C25="","",(INDEX(calc_cylr_p,20)-INDEX(calc_lrcur,20))*100)</f>
        <v/>
      </c>
      <c r="I25" s="153">
        <f>IF($C25="","",INDEX(calc_arate_p,20))</f>
        <v/>
      </c>
      <c r="J25" s="153">
        <f>IF($C25="","",INDEX(calc_amod_p,20))</f>
        <v/>
      </c>
      <c r="K25" s="116">
        <f>IF($C25="","",INDEX(calc_echg,20))</f>
        <v/>
      </c>
      <c r="L25" s="116">
        <f>IF($C25="","",INDEX(calc_carry,20))</f>
        <v/>
      </c>
      <c r="M25" s="150">
        <f>IF($C25="","",INDEX(calc_cylr_p1,20))</f>
        <v/>
      </c>
      <c r="N25" s="154">
        <f>IF($C25="","",N(INDEX(lr_ep,20)))</f>
        <v/>
      </c>
      <c r="O25" s="155">
        <f>IF($C25="","",IF(SUM($N$6:$N$74)=0,0,N($N25)/SUM($N$6:$N$74)))</f>
        <v/>
      </c>
    </row>
    <row r="26">
      <c r="A26" s="149">
        <f>IF(INDEX(lr_key,21)="","",INDEX(lr_bu,21))</f>
        <v/>
      </c>
      <c r="B26" s="149">
        <f>IF(INDEX(lr_key,21)="","",INDEX(lr_state,21))</f>
        <v/>
      </c>
      <c r="C26" s="23">
        <f>INDEX(lr_key,21)</f>
        <v/>
      </c>
      <c r="D26" s="150">
        <f>IF($C26="","",N(INDEX(lr_lrproj,21)))</f>
        <v/>
      </c>
      <c r="E26" s="51">
        <f>IF($C26="","",INDEX(lr_basis,21)&amp;"")</f>
        <v/>
      </c>
      <c r="F26" s="150">
        <f>IF($C26="","",INDEX(calc_lrcur,21))</f>
        <v/>
      </c>
      <c r="G26" s="151">
        <f>IF($C26="","",INDEX(calc_cylr_p,21))</f>
        <v/>
      </c>
      <c r="H26" s="152">
        <f>IF($C26="","",(INDEX(calc_cylr_p,21)-INDEX(calc_lrcur,21))*100)</f>
        <v/>
      </c>
      <c r="I26" s="153">
        <f>IF($C26="","",INDEX(calc_arate_p,21))</f>
        <v/>
      </c>
      <c r="J26" s="153">
        <f>IF($C26="","",INDEX(calc_amod_p,21))</f>
        <v/>
      </c>
      <c r="K26" s="116">
        <f>IF($C26="","",INDEX(calc_echg,21))</f>
        <v/>
      </c>
      <c r="L26" s="116">
        <f>IF($C26="","",INDEX(calc_carry,21))</f>
        <v/>
      </c>
      <c r="M26" s="150">
        <f>IF($C26="","",INDEX(calc_cylr_p1,21))</f>
        <v/>
      </c>
      <c r="N26" s="154">
        <f>IF($C26="","",N(INDEX(lr_ep,21)))</f>
        <v/>
      </c>
      <c r="O26" s="155">
        <f>IF($C26="","",IF(SUM($N$6:$N$74)=0,0,N($N26)/SUM($N$6:$N$74)))</f>
        <v/>
      </c>
    </row>
    <row r="27">
      <c r="A27" s="149">
        <f>IF(INDEX(lr_key,22)="","",INDEX(lr_bu,22))</f>
        <v/>
      </c>
      <c r="B27" s="149">
        <f>IF(INDEX(lr_key,22)="","",INDEX(lr_state,22))</f>
        <v/>
      </c>
      <c r="C27" s="23">
        <f>INDEX(lr_key,22)</f>
        <v/>
      </c>
      <c r="D27" s="150">
        <f>IF($C27="","",N(INDEX(lr_lrproj,22)))</f>
        <v/>
      </c>
      <c r="E27" s="51">
        <f>IF($C27="","",INDEX(lr_basis,22)&amp;"")</f>
        <v/>
      </c>
      <c r="F27" s="150">
        <f>IF($C27="","",INDEX(calc_lrcur,22))</f>
        <v/>
      </c>
      <c r="G27" s="151">
        <f>IF($C27="","",INDEX(calc_cylr_p,22))</f>
        <v/>
      </c>
      <c r="H27" s="152">
        <f>IF($C27="","",(INDEX(calc_cylr_p,22)-INDEX(calc_lrcur,22))*100)</f>
        <v/>
      </c>
      <c r="I27" s="153">
        <f>IF($C27="","",INDEX(calc_arate_p,22))</f>
        <v/>
      </c>
      <c r="J27" s="153">
        <f>IF($C27="","",INDEX(calc_amod_p,22))</f>
        <v/>
      </c>
      <c r="K27" s="116">
        <f>IF($C27="","",INDEX(calc_echg,22))</f>
        <v/>
      </c>
      <c r="L27" s="116">
        <f>IF($C27="","",INDEX(calc_carry,22))</f>
        <v/>
      </c>
      <c r="M27" s="150">
        <f>IF($C27="","",INDEX(calc_cylr_p1,22))</f>
        <v/>
      </c>
      <c r="N27" s="154">
        <f>IF($C27="","",N(INDEX(lr_ep,22)))</f>
        <v/>
      </c>
      <c r="O27" s="155">
        <f>IF($C27="","",IF(SUM($N$6:$N$74)=0,0,N($N27)/SUM($N$6:$N$74)))</f>
        <v/>
      </c>
    </row>
    <row r="28">
      <c r="A28" s="149">
        <f>IF(INDEX(lr_key,23)="","",INDEX(lr_bu,23))</f>
        <v/>
      </c>
      <c r="B28" s="149">
        <f>IF(INDEX(lr_key,23)="","",INDEX(lr_state,23))</f>
        <v/>
      </c>
      <c r="C28" s="23">
        <f>INDEX(lr_key,23)</f>
        <v/>
      </c>
      <c r="D28" s="150">
        <f>IF($C28="","",N(INDEX(lr_lrproj,23)))</f>
        <v/>
      </c>
      <c r="E28" s="51">
        <f>IF($C28="","",INDEX(lr_basis,23)&amp;"")</f>
        <v/>
      </c>
      <c r="F28" s="150">
        <f>IF($C28="","",INDEX(calc_lrcur,23))</f>
        <v/>
      </c>
      <c r="G28" s="151">
        <f>IF($C28="","",INDEX(calc_cylr_p,23))</f>
        <v/>
      </c>
      <c r="H28" s="152">
        <f>IF($C28="","",(INDEX(calc_cylr_p,23)-INDEX(calc_lrcur,23))*100)</f>
        <v/>
      </c>
      <c r="I28" s="153">
        <f>IF($C28="","",INDEX(calc_arate_p,23))</f>
        <v/>
      </c>
      <c r="J28" s="153">
        <f>IF($C28="","",INDEX(calc_amod_p,23))</f>
        <v/>
      </c>
      <c r="K28" s="116">
        <f>IF($C28="","",INDEX(calc_echg,23))</f>
        <v/>
      </c>
      <c r="L28" s="116">
        <f>IF($C28="","",INDEX(calc_carry,23))</f>
        <v/>
      </c>
      <c r="M28" s="150">
        <f>IF($C28="","",INDEX(calc_cylr_p1,23))</f>
        <v/>
      </c>
      <c r="N28" s="154">
        <f>IF($C28="","",N(INDEX(lr_ep,23)))</f>
        <v/>
      </c>
      <c r="O28" s="155">
        <f>IF($C28="","",IF(SUM($N$6:$N$74)=0,0,N($N28)/SUM($N$6:$N$74)))</f>
        <v/>
      </c>
    </row>
    <row r="29">
      <c r="A29" s="149">
        <f>IF(INDEX(lr_key,24)="","",INDEX(lr_bu,24))</f>
        <v/>
      </c>
      <c r="B29" s="149">
        <f>IF(INDEX(lr_key,24)="","",INDEX(lr_state,24))</f>
        <v/>
      </c>
      <c r="C29" s="23">
        <f>INDEX(lr_key,24)</f>
        <v/>
      </c>
      <c r="D29" s="150">
        <f>IF($C29="","",N(INDEX(lr_lrproj,24)))</f>
        <v/>
      </c>
      <c r="E29" s="51">
        <f>IF($C29="","",INDEX(lr_basis,24)&amp;"")</f>
        <v/>
      </c>
      <c r="F29" s="150">
        <f>IF($C29="","",INDEX(calc_lrcur,24))</f>
        <v/>
      </c>
      <c r="G29" s="151">
        <f>IF($C29="","",INDEX(calc_cylr_p,24))</f>
        <v/>
      </c>
      <c r="H29" s="152">
        <f>IF($C29="","",(INDEX(calc_cylr_p,24)-INDEX(calc_lrcur,24))*100)</f>
        <v/>
      </c>
      <c r="I29" s="153">
        <f>IF($C29="","",INDEX(calc_arate_p,24))</f>
        <v/>
      </c>
      <c r="J29" s="153">
        <f>IF($C29="","",INDEX(calc_amod_p,24))</f>
        <v/>
      </c>
      <c r="K29" s="116">
        <f>IF($C29="","",INDEX(calc_echg,24))</f>
        <v/>
      </c>
      <c r="L29" s="116">
        <f>IF($C29="","",INDEX(calc_carry,24))</f>
        <v/>
      </c>
      <c r="M29" s="150">
        <f>IF($C29="","",INDEX(calc_cylr_p1,24))</f>
        <v/>
      </c>
      <c r="N29" s="154">
        <f>IF($C29="","",N(INDEX(lr_ep,24)))</f>
        <v/>
      </c>
      <c r="O29" s="155">
        <f>IF($C29="","",IF(SUM($N$6:$N$74)=0,0,N($N29)/SUM($N$6:$N$74)))</f>
        <v/>
      </c>
    </row>
    <row r="30">
      <c r="A30" s="149">
        <f>IF(INDEX(lr_key,25)="","",INDEX(lr_bu,25))</f>
        <v/>
      </c>
      <c r="B30" s="149">
        <f>IF(INDEX(lr_key,25)="","",INDEX(lr_state,25))</f>
        <v/>
      </c>
      <c r="C30" s="23">
        <f>INDEX(lr_key,25)</f>
        <v/>
      </c>
      <c r="D30" s="150">
        <f>IF($C30="","",N(INDEX(lr_lrproj,25)))</f>
        <v/>
      </c>
      <c r="E30" s="51">
        <f>IF($C30="","",INDEX(lr_basis,25)&amp;"")</f>
        <v/>
      </c>
      <c r="F30" s="150">
        <f>IF($C30="","",INDEX(calc_lrcur,25))</f>
        <v/>
      </c>
      <c r="G30" s="151">
        <f>IF($C30="","",INDEX(calc_cylr_p,25))</f>
        <v/>
      </c>
      <c r="H30" s="152">
        <f>IF($C30="","",(INDEX(calc_cylr_p,25)-INDEX(calc_lrcur,25))*100)</f>
        <v/>
      </c>
      <c r="I30" s="153">
        <f>IF($C30="","",INDEX(calc_arate_p,25))</f>
        <v/>
      </c>
      <c r="J30" s="153">
        <f>IF($C30="","",INDEX(calc_amod_p,25))</f>
        <v/>
      </c>
      <c r="K30" s="116">
        <f>IF($C30="","",INDEX(calc_echg,25))</f>
        <v/>
      </c>
      <c r="L30" s="116">
        <f>IF($C30="","",INDEX(calc_carry,25))</f>
        <v/>
      </c>
      <c r="M30" s="150">
        <f>IF($C30="","",INDEX(calc_cylr_p1,25))</f>
        <v/>
      </c>
      <c r="N30" s="154">
        <f>IF($C30="","",N(INDEX(lr_ep,25)))</f>
        <v/>
      </c>
      <c r="O30" s="155">
        <f>IF($C30="","",IF(SUM($N$6:$N$74)=0,0,N($N30)/SUM($N$6:$N$74)))</f>
        <v/>
      </c>
    </row>
    <row r="31">
      <c r="A31" s="149">
        <f>IF(INDEX(lr_key,26)="","",INDEX(lr_bu,26))</f>
        <v/>
      </c>
      <c r="B31" s="149">
        <f>IF(INDEX(lr_key,26)="","",INDEX(lr_state,26))</f>
        <v/>
      </c>
      <c r="C31" s="23">
        <f>INDEX(lr_key,26)</f>
        <v/>
      </c>
      <c r="D31" s="150">
        <f>IF($C31="","",N(INDEX(lr_lrproj,26)))</f>
        <v/>
      </c>
      <c r="E31" s="51">
        <f>IF($C31="","",INDEX(lr_basis,26)&amp;"")</f>
        <v/>
      </c>
      <c r="F31" s="150">
        <f>IF($C31="","",INDEX(calc_lrcur,26))</f>
        <v/>
      </c>
      <c r="G31" s="151">
        <f>IF($C31="","",INDEX(calc_cylr_p,26))</f>
        <v/>
      </c>
      <c r="H31" s="152">
        <f>IF($C31="","",(INDEX(calc_cylr_p,26)-INDEX(calc_lrcur,26))*100)</f>
        <v/>
      </c>
      <c r="I31" s="153">
        <f>IF($C31="","",INDEX(calc_arate_p,26))</f>
        <v/>
      </c>
      <c r="J31" s="153">
        <f>IF($C31="","",INDEX(calc_amod_p,26))</f>
        <v/>
      </c>
      <c r="K31" s="116">
        <f>IF($C31="","",INDEX(calc_echg,26))</f>
        <v/>
      </c>
      <c r="L31" s="116">
        <f>IF($C31="","",INDEX(calc_carry,26))</f>
        <v/>
      </c>
      <c r="M31" s="150">
        <f>IF($C31="","",INDEX(calc_cylr_p1,26))</f>
        <v/>
      </c>
      <c r="N31" s="154">
        <f>IF($C31="","",N(INDEX(lr_ep,26)))</f>
        <v/>
      </c>
      <c r="O31" s="155">
        <f>IF($C31="","",IF(SUM($N$6:$N$74)=0,0,N($N31)/SUM($N$6:$N$74)))</f>
        <v/>
      </c>
    </row>
    <row r="32">
      <c r="A32" s="149">
        <f>IF(INDEX(lr_key,27)="","",INDEX(lr_bu,27))</f>
        <v/>
      </c>
      <c r="B32" s="149">
        <f>IF(INDEX(lr_key,27)="","",INDEX(lr_state,27))</f>
        <v/>
      </c>
      <c r="C32" s="23">
        <f>INDEX(lr_key,27)</f>
        <v/>
      </c>
      <c r="D32" s="150">
        <f>IF($C32="","",N(INDEX(lr_lrproj,27)))</f>
        <v/>
      </c>
      <c r="E32" s="51">
        <f>IF($C32="","",INDEX(lr_basis,27)&amp;"")</f>
        <v/>
      </c>
      <c r="F32" s="150">
        <f>IF($C32="","",INDEX(calc_lrcur,27))</f>
        <v/>
      </c>
      <c r="G32" s="151">
        <f>IF($C32="","",INDEX(calc_cylr_p,27))</f>
        <v/>
      </c>
      <c r="H32" s="152">
        <f>IF($C32="","",(INDEX(calc_cylr_p,27)-INDEX(calc_lrcur,27))*100)</f>
        <v/>
      </c>
      <c r="I32" s="153">
        <f>IF($C32="","",INDEX(calc_arate_p,27))</f>
        <v/>
      </c>
      <c r="J32" s="153">
        <f>IF($C32="","",INDEX(calc_amod_p,27))</f>
        <v/>
      </c>
      <c r="K32" s="116">
        <f>IF($C32="","",INDEX(calc_echg,27))</f>
        <v/>
      </c>
      <c r="L32" s="116">
        <f>IF($C32="","",INDEX(calc_carry,27))</f>
        <v/>
      </c>
      <c r="M32" s="150">
        <f>IF($C32="","",INDEX(calc_cylr_p1,27))</f>
        <v/>
      </c>
      <c r="N32" s="154">
        <f>IF($C32="","",N(INDEX(lr_ep,27)))</f>
        <v/>
      </c>
      <c r="O32" s="155">
        <f>IF($C32="","",IF(SUM($N$6:$N$74)=0,0,N($N32)/SUM($N$6:$N$74)))</f>
        <v/>
      </c>
    </row>
    <row r="33">
      <c r="A33" s="149">
        <f>IF(INDEX(lr_key,28)="","",INDEX(lr_bu,28))</f>
        <v/>
      </c>
      <c r="B33" s="149">
        <f>IF(INDEX(lr_key,28)="","",INDEX(lr_state,28))</f>
        <v/>
      </c>
      <c r="C33" s="23">
        <f>INDEX(lr_key,28)</f>
        <v/>
      </c>
      <c r="D33" s="150">
        <f>IF($C33="","",N(INDEX(lr_lrproj,28)))</f>
        <v/>
      </c>
      <c r="E33" s="51">
        <f>IF($C33="","",INDEX(lr_basis,28)&amp;"")</f>
        <v/>
      </c>
      <c r="F33" s="150">
        <f>IF($C33="","",INDEX(calc_lrcur,28))</f>
        <v/>
      </c>
      <c r="G33" s="151">
        <f>IF($C33="","",INDEX(calc_cylr_p,28))</f>
        <v/>
      </c>
      <c r="H33" s="152">
        <f>IF($C33="","",(INDEX(calc_cylr_p,28)-INDEX(calc_lrcur,28))*100)</f>
        <v/>
      </c>
      <c r="I33" s="153">
        <f>IF($C33="","",INDEX(calc_arate_p,28))</f>
        <v/>
      </c>
      <c r="J33" s="153">
        <f>IF($C33="","",INDEX(calc_amod_p,28))</f>
        <v/>
      </c>
      <c r="K33" s="116">
        <f>IF($C33="","",INDEX(calc_echg,28))</f>
        <v/>
      </c>
      <c r="L33" s="116">
        <f>IF($C33="","",INDEX(calc_carry,28))</f>
        <v/>
      </c>
      <c r="M33" s="150">
        <f>IF($C33="","",INDEX(calc_cylr_p1,28))</f>
        <v/>
      </c>
      <c r="N33" s="154">
        <f>IF($C33="","",N(INDEX(lr_ep,28)))</f>
        <v/>
      </c>
      <c r="O33" s="155">
        <f>IF($C33="","",IF(SUM($N$6:$N$74)=0,0,N($N33)/SUM($N$6:$N$74)))</f>
        <v/>
      </c>
    </row>
    <row r="34">
      <c r="A34" s="149">
        <f>IF(INDEX(lr_key,29)="","",INDEX(lr_bu,29))</f>
        <v/>
      </c>
      <c r="B34" s="149">
        <f>IF(INDEX(lr_key,29)="","",INDEX(lr_state,29))</f>
        <v/>
      </c>
      <c r="C34" s="23">
        <f>INDEX(lr_key,29)</f>
        <v/>
      </c>
      <c r="D34" s="150">
        <f>IF($C34="","",N(INDEX(lr_lrproj,29)))</f>
        <v/>
      </c>
      <c r="E34" s="51">
        <f>IF($C34="","",INDEX(lr_basis,29)&amp;"")</f>
        <v/>
      </c>
      <c r="F34" s="150">
        <f>IF($C34="","",INDEX(calc_lrcur,29))</f>
        <v/>
      </c>
      <c r="G34" s="151">
        <f>IF($C34="","",INDEX(calc_cylr_p,29))</f>
        <v/>
      </c>
      <c r="H34" s="152">
        <f>IF($C34="","",(INDEX(calc_cylr_p,29)-INDEX(calc_lrcur,29))*100)</f>
        <v/>
      </c>
      <c r="I34" s="153">
        <f>IF($C34="","",INDEX(calc_arate_p,29))</f>
        <v/>
      </c>
      <c r="J34" s="153">
        <f>IF($C34="","",INDEX(calc_amod_p,29))</f>
        <v/>
      </c>
      <c r="K34" s="116">
        <f>IF($C34="","",INDEX(calc_echg,29))</f>
        <v/>
      </c>
      <c r="L34" s="116">
        <f>IF($C34="","",INDEX(calc_carry,29))</f>
        <v/>
      </c>
      <c r="M34" s="150">
        <f>IF($C34="","",INDEX(calc_cylr_p1,29))</f>
        <v/>
      </c>
      <c r="N34" s="154">
        <f>IF($C34="","",N(INDEX(lr_ep,29)))</f>
        <v/>
      </c>
      <c r="O34" s="155">
        <f>IF($C34="","",IF(SUM($N$6:$N$74)=0,0,N($N34)/SUM($N$6:$N$74)))</f>
        <v/>
      </c>
    </row>
    <row r="35">
      <c r="A35" s="149">
        <f>IF(INDEX(lr_key,30)="","",INDEX(lr_bu,30))</f>
        <v/>
      </c>
      <c r="B35" s="149">
        <f>IF(INDEX(lr_key,30)="","",INDEX(lr_state,30))</f>
        <v/>
      </c>
      <c r="C35" s="23">
        <f>INDEX(lr_key,30)</f>
        <v/>
      </c>
      <c r="D35" s="150">
        <f>IF($C35="","",N(INDEX(lr_lrproj,30)))</f>
        <v/>
      </c>
      <c r="E35" s="51">
        <f>IF($C35="","",INDEX(lr_basis,30)&amp;"")</f>
        <v/>
      </c>
      <c r="F35" s="150">
        <f>IF($C35="","",INDEX(calc_lrcur,30))</f>
        <v/>
      </c>
      <c r="G35" s="151">
        <f>IF($C35="","",INDEX(calc_cylr_p,30))</f>
        <v/>
      </c>
      <c r="H35" s="152">
        <f>IF($C35="","",(INDEX(calc_cylr_p,30)-INDEX(calc_lrcur,30))*100)</f>
        <v/>
      </c>
      <c r="I35" s="153">
        <f>IF($C35="","",INDEX(calc_arate_p,30))</f>
        <v/>
      </c>
      <c r="J35" s="153">
        <f>IF($C35="","",INDEX(calc_amod_p,30))</f>
        <v/>
      </c>
      <c r="K35" s="116">
        <f>IF($C35="","",INDEX(calc_echg,30))</f>
        <v/>
      </c>
      <c r="L35" s="116">
        <f>IF($C35="","",INDEX(calc_carry,30))</f>
        <v/>
      </c>
      <c r="M35" s="150">
        <f>IF($C35="","",INDEX(calc_cylr_p1,30))</f>
        <v/>
      </c>
      <c r="N35" s="154">
        <f>IF($C35="","",N(INDEX(lr_ep,30)))</f>
        <v/>
      </c>
      <c r="O35" s="155">
        <f>IF($C35="","",IF(SUM($N$6:$N$74)=0,0,N($N35)/SUM($N$6:$N$74)))</f>
        <v/>
      </c>
    </row>
    <row r="36">
      <c r="A36" s="149">
        <f>IF(INDEX(lr_key,31)="","",INDEX(lr_bu,31))</f>
        <v/>
      </c>
      <c r="B36" s="149">
        <f>IF(INDEX(lr_key,31)="","",INDEX(lr_state,31))</f>
        <v/>
      </c>
      <c r="C36" s="23">
        <f>INDEX(lr_key,31)</f>
        <v/>
      </c>
      <c r="D36" s="150">
        <f>IF($C36="","",N(INDEX(lr_lrproj,31)))</f>
        <v/>
      </c>
      <c r="E36" s="51">
        <f>IF($C36="","",INDEX(lr_basis,31)&amp;"")</f>
        <v/>
      </c>
      <c r="F36" s="150">
        <f>IF($C36="","",INDEX(calc_lrcur,31))</f>
        <v/>
      </c>
      <c r="G36" s="151">
        <f>IF($C36="","",INDEX(calc_cylr_p,31))</f>
        <v/>
      </c>
      <c r="H36" s="152">
        <f>IF($C36="","",(INDEX(calc_cylr_p,31)-INDEX(calc_lrcur,31))*100)</f>
        <v/>
      </c>
      <c r="I36" s="153">
        <f>IF($C36="","",INDEX(calc_arate_p,31))</f>
        <v/>
      </c>
      <c r="J36" s="153">
        <f>IF($C36="","",INDEX(calc_amod_p,31))</f>
        <v/>
      </c>
      <c r="K36" s="116">
        <f>IF($C36="","",INDEX(calc_echg,31))</f>
        <v/>
      </c>
      <c r="L36" s="116">
        <f>IF($C36="","",INDEX(calc_carry,31))</f>
        <v/>
      </c>
      <c r="M36" s="150">
        <f>IF($C36="","",INDEX(calc_cylr_p1,31))</f>
        <v/>
      </c>
      <c r="N36" s="154">
        <f>IF($C36="","",N(INDEX(lr_ep,31)))</f>
        <v/>
      </c>
      <c r="O36" s="155">
        <f>IF($C36="","",IF(SUM($N$6:$N$74)=0,0,N($N36)/SUM($N$6:$N$74)))</f>
        <v/>
      </c>
    </row>
    <row r="37">
      <c r="A37" s="149">
        <f>IF(INDEX(lr_key,32)="","",INDEX(lr_bu,32))</f>
        <v/>
      </c>
      <c r="B37" s="149">
        <f>IF(INDEX(lr_key,32)="","",INDEX(lr_state,32))</f>
        <v/>
      </c>
      <c r="C37" s="23">
        <f>INDEX(lr_key,32)</f>
        <v/>
      </c>
      <c r="D37" s="150">
        <f>IF($C37="","",N(INDEX(lr_lrproj,32)))</f>
        <v/>
      </c>
      <c r="E37" s="51">
        <f>IF($C37="","",INDEX(lr_basis,32)&amp;"")</f>
        <v/>
      </c>
      <c r="F37" s="150">
        <f>IF($C37="","",INDEX(calc_lrcur,32))</f>
        <v/>
      </c>
      <c r="G37" s="151">
        <f>IF($C37="","",INDEX(calc_cylr_p,32))</f>
        <v/>
      </c>
      <c r="H37" s="152">
        <f>IF($C37="","",(INDEX(calc_cylr_p,32)-INDEX(calc_lrcur,32))*100)</f>
        <v/>
      </c>
      <c r="I37" s="153">
        <f>IF($C37="","",INDEX(calc_arate_p,32))</f>
        <v/>
      </c>
      <c r="J37" s="153">
        <f>IF($C37="","",INDEX(calc_amod_p,32))</f>
        <v/>
      </c>
      <c r="K37" s="116">
        <f>IF($C37="","",INDEX(calc_echg,32))</f>
        <v/>
      </c>
      <c r="L37" s="116">
        <f>IF($C37="","",INDEX(calc_carry,32))</f>
        <v/>
      </c>
      <c r="M37" s="150">
        <f>IF($C37="","",INDEX(calc_cylr_p1,32))</f>
        <v/>
      </c>
      <c r="N37" s="154">
        <f>IF($C37="","",N(INDEX(lr_ep,32)))</f>
        <v/>
      </c>
      <c r="O37" s="155">
        <f>IF($C37="","",IF(SUM($N$6:$N$74)=0,0,N($N37)/SUM($N$6:$N$74)))</f>
        <v/>
      </c>
    </row>
    <row r="38">
      <c r="A38" s="149">
        <f>IF(INDEX(lr_key,33)="","",INDEX(lr_bu,33))</f>
        <v/>
      </c>
      <c r="B38" s="149">
        <f>IF(INDEX(lr_key,33)="","",INDEX(lr_state,33))</f>
        <v/>
      </c>
      <c r="C38" s="23">
        <f>INDEX(lr_key,33)</f>
        <v/>
      </c>
      <c r="D38" s="150">
        <f>IF($C38="","",N(INDEX(lr_lrproj,33)))</f>
        <v/>
      </c>
      <c r="E38" s="51">
        <f>IF($C38="","",INDEX(lr_basis,33)&amp;"")</f>
        <v/>
      </c>
      <c r="F38" s="150">
        <f>IF($C38="","",INDEX(calc_lrcur,33))</f>
        <v/>
      </c>
      <c r="G38" s="151">
        <f>IF($C38="","",INDEX(calc_cylr_p,33))</f>
        <v/>
      </c>
      <c r="H38" s="152">
        <f>IF($C38="","",(INDEX(calc_cylr_p,33)-INDEX(calc_lrcur,33))*100)</f>
        <v/>
      </c>
      <c r="I38" s="153">
        <f>IF($C38="","",INDEX(calc_arate_p,33))</f>
        <v/>
      </c>
      <c r="J38" s="153">
        <f>IF($C38="","",INDEX(calc_amod_p,33))</f>
        <v/>
      </c>
      <c r="K38" s="116">
        <f>IF($C38="","",INDEX(calc_echg,33))</f>
        <v/>
      </c>
      <c r="L38" s="116">
        <f>IF($C38="","",INDEX(calc_carry,33))</f>
        <v/>
      </c>
      <c r="M38" s="150">
        <f>IF($C38="","",INDEX(calc_cylr_p1,33))</f>
        <v/>
      </c>
      <c r="N38" s="154">
        <f>IF($C38="","",N(INDEX(lr_ep,33)))</f>
        <v/>
      </c>
      <c r="O38" s="155">
        <f>IF($C38="","",IF(SUM($N$6:$N$74)=0,0,N($N38)/SUM($N$6:$N$74)))</f>
        <v/>
      </c>
    </row>
    <row r="39">
      <c r="A39" s="149">
        <f>IF(INDEX(lr_key,34)="","",INDEX(lr_bu,34))</f>
        <v/>
      </c>
      <c r="B39" s="149">
        <f>IF(INDEX(lr_key,34)="","",INDEX(lr_state,34))</f>
        <v/>
      </c>
      <c r="C39" s="23">
        <f>INDEX(lr_key,34)</f>
        <v/>
      </c>
      <c r="D39" s="150">
        <f>IF($C39="","",N(INDEX(lr_lrproj,34)))</f>
        <v/>
      </c>
      <c r="E39" s="51">
        <f>IF($C39="","",INDEX(lr_basis,34)&amp;"")</f>
        <v/>
      </c>
      <c r="F39" s="150">
        <f>IF($C39="","",INDEX(calc_lrcur,34))</f>
        <v/>
      </c>
      <c r="G39" s="151">
        <f>IF($C39="","",INDEX(calc_cylr_p,34))</f>
        <v/>
      </c>
      <c r="H39" s="152">
        <f>IF($C39="","",(INDEX(calc_cylr_p,34)-INDEX(calc_lrcur,34))*100)</f>
        <v/>
      </c>
      <c r="I39" s="153">
        <f>IF($C39="","",INDEX(calc_arate_p,34))</f>
        <v/>
      </c>
      <c r="J39" s="153">
        <f>IF($C39="","",INDEX(calc_amod_p,34))</f>
        <v/>
      </c>
      <c r="K39" s="116">
        <f>IF($C39="","",INDEX(calc_echg,34))</f>
        <v/>
      </c>
      <c r="L39" s="116">
        <f>IF($C39="","",INDEX(calc_carry,34))</f>
        <v/>
      </c>
      <c r="M39" s="150">
        <f>IF($C39="","",INDEX(calc_cylr_p1,34))</f>
        <v/>
      </c>
      <c r="N39" s="154">
        <f>IF($C39="","",N(INDEX(lr_ep,34)))</f>
        <v/>
      </c>
      <c r="O39" s="155">
        <f>IF($C39="","",IF(SUM($N$6:$N$74)=0,0,N($N39)/SUM($N$6:$N$74)))</f>
        <v/>
      </c>
    </row>
    <row r="40">
      <c r="A40" s="149">
        <f>IF(INDEX(lr_key,35)="","",INDEX(lr_bu,35))</f>
        <v/>
      </c>
      <c r="B40" s="149">
        <f>IF(INDEX(lr_key,35)="","",INDEX(lr_state,35))</f>
        <v/>
      </c>
      <c r="C40" s="23">
        <f>INDEX(lr_key,35)</f>
        <v/>
      </c>
      <c r="D40" s="150">
        <f>IF($C40="","",N(INDEX(lr_lrproj,35)))</f>
        <v/>
      </c>
      <c r="E40" s="51">
        <f>IF($C40="","",INDEX(lr_basis,35)&amp;"")</f>
        <v/>
      </c>
      <c r="F40" s="150">
        <f>IF($C40="","",INDEX(calc_lrcur,35))</f>
        <v/>
      </c>
      <c r="G40" s="151">
        <f>IF($C40="","",INDEX(calc_cylr_p,35))</f>
        <v/>
      </c>
      <c r="H40" s="152">
        <f>IF($C40="","",(INDEX(calc_cylr_p,35)-INDEX(calc_lrcur,35))*100)</f>
        <v/>
      </c>
      <c r="I40" s="153">
        <f>IF($C40="","",INDEX(calc_arate_p,35))</f>
        <v/>
      </c>
      <c r="J40" s="153">
        <f>IF($C40="","",INDEX(calc_amod_p,35))</f>
        <v/>
      </c>
      <c r="K40" s="116">
        <f>IF($C40="","",INDEX(calc_echg,35))</f>
        <v/>
      </c>
      <c r="L40" s="116">
        <f>IF($C40="","",INDEX(calc_carry,35))</f>
        <v/>
      </c>
      <c r="M40" s="150">
        <f>IF($C40="","",INDEX(calc_cylr_p1,35))</f>
        <v/>
      </c>
      <c r="N40" s="154">
        <f>IF($C40="","",N(INDEX(lr_ep,35)))</f>
        <v/>
      </c>
      <c r="O40" s="155">
        <f>IF($C40="","",IF(SUM($N$6:$N$74)=0,0,N($N40)/SUM($N$6:$N$74)))</f>
        <v/>
      </c>
    </row>
    <row r="41">
      <c r="A41" s="149">
        <f>IF(INDEX(lr_key,36)="","",INDEX(lr_bu,36))</f>
        <v/>
      </c>
      <c r="B41" s="149">
        <f>IF(INDEX(lr_key,36)="","",INDEX(lr_state,36))</f>
        <v/>
      </c>
      <c r="C41" s="23">
        <f>INDEX(lr_key,36)</f>
        <v/>
      </c>
      <c r="D41" s="150">
        <f>IF($C41="","",N(INDEX(lr_lrproj,36)))</f>
        <v/>
      </c>
      <c r="E41" s="51">
        <f>IF($C41="","",INDEX(lr_basis,36)&amp;"")</f>
        <v/>
      </c>
      <c r="F41" s="150">
        <f>IF($C41="","",INDEX(calc_lrcur,36))</f>
        <v/>
      </c>
      <c r="G41" s="151">
        <f>IF($C41="","",INDEX(calc_cylr_p,36))</f>
        <v/>
      </c>
      <c r="H41" s="152">
        <f>IF($C41="","",(INDEX(calc_cylr_p,36)-INDEX(calc_lrcur,36))*100)</f>
        <v/>
      </c>
      <c r="I41" s="153">
        <f>IF($C41="","",INDEX(calc_arate_p,36))</f>
        <v/>
      </c>
      <c r="J41" s="153">
        <f>IF($C41="","",INDEX(calc_amod_p,36))</f>
        <v/>
      </c>
      <c r="K41" s="116">
        <f>IF($C41="","",INDEX(calc_echg,36))</f>
        <v/>
      </c>
      <c r="L41" s="116">
        <f>IF($C41="","",INDEX(calc_carry,36))</f>
        <v/>
      </c>
      <c r="M41" s="150">
        <f>IF($C41="","",INDEX(calc_cylr_p1,36))</f>
        <v/>
      </c>
      <c r="N41" s="154">
        <f>IF($C41="","",N(INDEX(lr_ep,36)))</f>
        <v/>
      </c>
      <c r="O41" s="155">
        <f>IF($C41="","",IF(SUM($N$6:$N$74)=0,0,N($N41)/SUM($N$6:$N$74)))</f>
        <v/>
      </c>
    </row>
    <row r="42">
      <c r="A42" s="149">
        <f>IF(INDEX(lr_key,37)="","",INDEX(lr_bu,37))</f>
        <v/>
      </c>
      <c r="B42" s="149">
        <f>IF(INDEX(lr_key,37)="","",INDEX(lr_state,37))</f>
        <v/>
      </c>
      <c r="C42" s="23">
        <f>INDEX(lr_key,37)</f>
        <v/>
      </c>
      <c r="D42" s="150">
        <f>IF($C42="","",N(INDEX(lr_lrproj,37)))</f>
        <v/>
      </c>
      <c r="E42" s="51">
        <f>IF($C42="","",INDEX(lr_basis,37)&amp;"")</f>
        <v/>
      </c>
      <c r="F42" s="150">
        <f>IF($C42="","",INDEX(calc_lrcur,37))</f>
        <v/>
      </c>
      <c r="G42" s="151">
        <f>IF($C42="","",INDEX(calc_cylr_p,37))</f>
        <v/>
      </c>
      <c r="H42" s="152">
        <f>IF($C42="","",(INDEX(calc_cylr_p,37)-INDEX(calc_lrcur,37))*100)</f>
        <v/>
      </c>
      <c r="I42" s="153">
        <f>IF($C42="","",INDEX(calc_arate_p,37))</f>
        <v/>
      </c>
      <c r="J42" s="153">
        <f>IF($C42="","",INDEX(calc_amod_p,37))</f>
        <v/>
      </c>
      <c r="K42" s="116">
        <f>IF($C42="","",INDEX(calc_echg,37))</f>
        <v/>
      </c>
      <c r="L42" s="116">
        <f>IF($C42="","",INDEX(calc_carry,37))</f>
        <v/>
      </c>
      <c r="M42" s="150">
        <f>IF($C42="","",INDEX(calc_cylr_p1,37))</f>
        <v/>
      </c>
      <c r="N42" s="154">
        <f>IF($C42="","",N(INDEX(lr_ep,37)))</f>
        <v/>
      </c>
      <c r="O42" s="155">
        <f>IF($C42="","",IF(SUM($N$6:$N$74)=0,0,N($N42)/SUM($N$6:$N$74)))</f>
        <v/>
      </c>
    </row>
    <row r="43">
      <c r="A43" s="149">
        <f>IF(INDEX(lr_key,38)="","",INDEX(lr_bu,38))</f>
        <v/>
      </c>
      <c r="B43" s="149">
        <f>IF(INDEX(lr_key,38)="","",INDEX(lr_state,38))</f>
        <v/>
      </c>
      <c r="C43" s="23">
        <f>INDEX(lr_key,38)</f>
        <v/>
      </c>
      <c r="D43" s="150">
        <f>IF($C43="","",N(INDEX(lr_lrproj,38)))</f>
        <v/>
      </c>
      <c r="E43" s="51">
        <f>IF($C43="","",INDEX(lr_basis,38)&amp;"")</f>
        <v/>
      </c>
      <c r="F43" s="150">
        <f>IF($C43="","",INDEX(calc_lrcur,38))</f>
        <v/>
      </c>
      <c r="G43" s="151">
        <f>IF($C43="","",INDEX(calc_cylr_p,38))</f>
        <v/>
      </c>
      <c r="H43" s="152">
        <f>IF($C43="","",(INDEX(calc_cylr_p,38)-INDEX(calc_lrcur,38))*100)</f>
        <v/>
      </c>
      <c r="I43" s="153">
        <f>IF($C43="","",INDEX(calc_arate_p,38))</f>
        <v/>
      </c>
      <c r="J43" s="153">
        <f>IF($C43="","",INDEX(calc_amod_p,38))</f>
        <v/>
      </c>
      <c r="K43" s="116">
        <f>IF($C43="","",INDEX(calc_echg,38))</f>
        <v/>
      </c>
      <c r="L43" s="116">
        <f>IF($C43="","",INDEX(calc_carry,38))</f>
        <v/>
      </c>
      <c r="M43" s="150">
        <f>IF($C43="","",INDEX(calc_cylr_p1,38))</f>
        <v/>
      </c>
      <c r="N43" s="154">
        <f>IF($C43="","",N(INDEX(lr_ep,38)))</f>
        <v/>
      </c>
      <c r="O43" s="155">
        <f>IF($C43="","",IF(SUM($N$6:$N$74)=0,0,N($N43)/SUM($N$6:$N$74)))</f>
        <v/>
      </c>
    </row>
    <row r="44">
      <c r="A44" s="149">
        <f>IF(INDEX(lr_key,39)="","",INDEX(lr_bu,39))</f>
        <v/>
      </c>
      <c r="B44" s="149">
        <f>IF(INDEX(lr_key,39)="","",INDEX(lr_state,39))</f>
        <v/>
      </c>
      <c r="C44" s="23">
        <f>INDEX(lr_key,39)</f>
        <v/>
      </c>
      <c r="D44" s="150">
        <f>IF($C44="","",N(INDEX(lr_lrproj,39)))</f>
        <v/>
      </c>
      <c r="E44" s="51">
        <f>IF($C44="","",INDEX(lr_basis,39)&amp;"")</f>
        <v/>
      </c>
      <c r="F44" s="150">
        <f>IF($C44="","",INDEX(calc_lrcur,39))</f>
        <v/>
      </c>
      <c r="G44" s="151">
        <f>IF($C44="","",INDEX(calc_cylr_p,39))</f>
        <v/>
      </c>
      <c r="H44" s="152">
        <f>IF($C44="","",(INDEX(calc_cylr_p,39)-INDEX(calc_lrcur,39))*100)</f>
        <v/>
      </c>
      <c r="I44" s="153">
        <f>IF($C44="","",INDEX(calc_arate_p,39))</f>
        <v/>
      </c>
      <c r="J44" s="153">
        <f>IF($C44="","",INDEX(calc_amod_p,39))</f>
        <v/>
      </c>
      <c r="K44" s="116">
        <f>IF($C44="","",INDEX(calc_echg,39))</f>
        <v/>
      </c>
      <c r="L44" s="116">
        <f>IF($C44="","",INDEX(calc_carry,39))</f>
        <v/>
      </c>
      <c r="M44" s="150">
        <f>IF($C44="","",INDEX(calc_cylr_p1,39))</f>
        <v/>
      </c>
      <c r="N44" s="154">
        <f>IF($C44="","",N(INDEX(lr_ep,39)))</f>
        <v/>
      </c>
      <c r="O44" s="155">
        <f>IF($C44="","",IF(SUM($N$6:$N$74)=0,0,N($N44)/SUM($N$6:$N$74)))</f>
        <v/>
      </c>
    </row>
    <row r="45">
      <c r="A45" s="149">
        <f>IF(INDEX(lr_key,40)="","",INDEX(lr_bu,40))</f>
        <v/>
      </c>
      <c r="B45" s="149">
        <f>IF(INDEX(lr_key,40)="","",INDEX(lr_state,40))</f>
        <v/>
      </c>
      <c r="C45" s="23">
        <f>INDEX(lr_key,40)</f>
        <v/>
      </c>
      <c r="D45" s="150">
        <f>IF($C45="","",N(INDEX(lr_lrproj,40)))</f>
        <v/>
      </c>
      <c r="E45" s="51">
        <f>IF($C45="","",INDEX(lr_basis,40)&amp;"")</f>
        <v/>
      </c>
      <c r="F45" s="150">
        <f>IF($C45="","",INDEX(calc_lrcur,40))</f>
        <v/>
      </c>
      <c r="G45" s="151">
        <f>IF($C45="","",INDEX(calc_cylr_p,40))</f>
        <v/>
      </c>
      <c r="H45" s="152">
        <f>IF($C45="","",(INDEX(calc_cylr_p,40)-INDEX(calc_lrcur,40))*100)</f>
        <v/>
      </c>
      <c r="I45" s="153">
        <f>IF($C45="","",INDEX(calc_arate_p,40))</f>
        <v/>
      </c>
      <c r="J45" s="153">
        <f>IF($C45="","",INDEX(calc_amod_p,40))</f>
        <v/>
      </c>
      <c r="K45" s="116">
        <f>IF($C45="","",INDEX(calc_echg,40))</f>
        <v/>
      </c>
      <c r="L45" s="116">
        <f>IF($C45="","",INDEX(calc_carry,40))</f>
        <v/>
      </c>
      <c r="M45" s="150">
        <f>IF($C45="","",INDEX(calc_cylr_p1,40))</f>
        <v/>
      </c>
      <c r="N45" s="154">
        <f>IF($C45="","",N(INDEX(lr_ep,40)))</f>
        <v/>
      </c>
      <c r="O45" s="155">
        <f>IF($C45="","",IF(SUM($N$6:$N$74)=0,0,N($N45)/SUM($N$6:$N$74)))</f>
        <v/>
      </c>
    </row>
    <row r="46">
      <c r="A46" s="149">
        <f>IF(INDEX(lr_key,41)="","",INDEX(lr_bu,41))</f>
        <v/>
      </c>
      <c r="B46" s="149">
        <f>IF(INDEX(lr_key,41)="","",INDEX(lr_state,41))</f>
        <v/>
      </c>
      <c r="C46" s="23">
        <f>INDEX(lr_key,41)</f>
        <v/>
      </c>
      <c r="D46" s="150">
        <f>IF($C46="","",N(INDEX(lr_lrproj,41)))</f>
        <v/>
      </c>
      <c r="E46" s="51">
        <f>IF($C46="","",INDEX(lr_basis,41)&amp;"")</f>
        <v/>
      </c>
      <c r="F46" s="150">
        <f>IF($C46="","",INDEX(calc_lrcur,41))</f>
        <v/>
      </c>
      <c r="G46" s="151">
        <f>IF($C46="","",INDEX(calc_cylr_p,41))</f>
        <v/>
      </c>
      <c r="H46" s="152">
        <f>IF($C46="","",(INDEX(calc_cylr_p,41)-INDEX(calc_lrcur,41))*100)</f>
        <v/>
      </c>
      <c r="I46" s="153">
        <f>IF($C46="","",INDEX(calc_arate_p,41))</f>
        <v/>
      </c>
      <c r="J46" s="153">
        <f>IF($C46="","",INDEX(calc_amod_p,41))</f>
        <v/>
      </c>
      <c r="K46" s="116">
        <f>IF($C46="","",INDEX(calc_echg,41))</f>
        <v/>
      </c>
      <c r="L46" s="116">
        <f>IF($C46="","",INDEX(calc_carry,41))</f>
        <v/>
      </c>
      <c r="M46" s="150">
        <f>IF($C46="","",INDEX(calc_cylr_p1,41))</f>
        <v/>
      </c>
      <c r="N46" s="154">
        <f>IF($C46="","",N(INDEX(lr_ep,41)))</f>
        <v/>
      </c>
      <c r="O46" s="155">
        <f>IF($C46="","",IF(SUM($N$6:$N$74)=0,0,N($N46)/SUM($N$6:$N$74)))</f>
        <v/>
      </c>
    </row>
    <row r="47">
      <c r="A47" s="149">
        <f>IF(INDEX(lr_key,42)="","",INDEX(lr_bu,42))</f>
        <v/>
      </c>
      <c r="B47" s="149">
        <f>IF(INDEX(lr_key,42)="","",INDEX(lr_state,42))</f>
        <v/>
      </c>
      <c r="C47" s="23">
        <f>INDEX(lr_key,42)</f>
        <v/>
      </c>
      <c r="D47" s="150">
        <f>IF($C47="","",N(INDEX(lr_lrproj,42)))</f>
        <v/>
      </c>
      <c r="E47" s="51">
        <f>IF($C47="","",INDEX(lr_basis,42)&amp;"")</f>
        <v/>
      </c>
      <c r="F47" s="150">
        <f>IF($C47="","",INDEX(calc_lrcur,42))</f>
        <v/>
      </c>
      <c r="G47" s="151">
        <f>IF($C47="","",INDEX(calc_cylr_p,42))</f>
        <v/>
      </c>
      <c r="H47" s="152">
        <f>IF($C47="","",(INDEX(calc_cylr_p,42)-INDEX(calc_lrcur,42))*100)</f>
        <v/>
      </c>
      <c r="I47" s="153">
        <f>IF($C47="","",INDEX(calc_arate_p,42))</f>
        <v/>
      </c>
      <c r="J47" s="153">
        <f>IF($C47="","",INDEX(calc_amod_p,42))</f>
        <v/>
      </c>
      <c r="K47" s="116">
        <f>IF($C47="","",INDEX(calc_echg,42))</f>
        <v/>
      </c>
      <c r="L47" s="116">
        <f>IF($C47="","",INDEX(calc_carry,42))</f>
        <v/>
      </c>
      <c r="M47" s="150">
        <f>IF($C47="","",INDEX(calc_cylr_p1,42))</f>
        <v/>
      </c>
      <c r="N47" s="154">
        <f>IF($C47="","",N(INDEX(lr_ep,42)))</f>
        <v/>
      </c>
      <c r="O47" s="155">
        <f>IF($C47="","",IF(SUM($N$6:$N$74)=0,0,N($N47)/SUM($N$6:$N$74)))</f>
        <v/>
      </c>
    </row>
    <row r="48">
      <c r="A48" s="149">
        <f>IF(INDEX(lr_key,43)="","",INDEX(lr_bu,43))</f>
        <v/>
      </c>
      <c r="B48" s="149">
        <f>IF(INDEX(lr_key,43)="","",INDEX(lr_state,43))</f>
        <v/>
      </c>
      <c r="C48" s="23">
        <f>INDEX(lr_key,43)</f>
        <v/>
      </c>
      <c r="D48" s="150">
        <f>IF($C48="","",N(INDEX(lr_lrproj,43)))</f>
        <v/>
      </c>
      <c r="E48" s="51">
        <f>IF($C48="","",INDEX(lr_basis,43)&amp;"")</f>
        <v/>
      </c>
      <c r="F48" s="150">
        <f>IF($C48="","",INDEX(calc_lrcur,43))</f>
        <v/>
      </c>
      <c r="G48" s="151">
        <f>IF($C48="","",INDEX(calc_cylr_p,43))</f>
        <v/>
      </c>
      <c r="H48" s="152">
        <f>IF($C48="","",(INDEX(calc_cylr_p,43)-INDEX(calc_lrcur,43))*100)</f>
        <v/>
      </c>
      <c r="I48" s="153">
        <f>IF($C48="","",INDEX(calc_arate_p,43))</f>
        <v/>
      </c>
      <c r="J48" s="153">
        <f>IF($C48="","",INDEX(calc_amod_p,43))</f>
        <v/>
      </c>
      <c r="K48" s="116">
        <f>IF($C48="","",INDEX(calc_echg,43))</f>
        <v/>
      </c>
      <c r="L48" s="116">
        <f>IF($C48="","",INDEX(calc_carry,43))</f>
        <v/>
      </c>
      <c r="M48" s="150">
        <f>IF($C48="","",INDEX(calc_cylr_p1,43))</f>
        <v/>
      </c>
      <c r="N48" s="154">
        <f>IF($C48="","",N(INDEX(lr_ep,43)))</f>
        <v/>
      </c>
      <c r="O48" s="155">
        <f>IF($C48="","",IF(SUM($N$6:$N$74)=0,0,N($N48)/SUM($N$6:$N$74)))</f>
        <v/>
      </c>
    </row>
    <row r="49">
      <c r="A49" s="149">
        <f>IF(INDEX(lr_key,44)="","",INDEX(lr_bu,44))</f>
        <v/>
      </c>
      <c r="B49" s="149">
        <f>IF(INDEX(lr_key,44)="","",INDEX(lr_state,44))</f>
        <v/>
      </c>
      <c r="C49" s="23">
        <f>INDEX(lr_key,44)</f>
        <v/>
      </c>
      <c r="D49" s="150">
        <f>IF($C49="","",N(INDEX(lr_lrproj,44)))</f>
        <v/>
      </c>
      <c r="E49" s="51">
        <f>IF($C49="","",INDEX(lr_basis,44)&amp;"")</f>
        <v/>
      </c>
      <c r="F49" s="150">
        <f>IF($C49="","",INDEX(calc_lrcur,44))</f>
        <v/>
      </c>
      <c r="G49" s="151">
        <f>IF($C49="","",INDEX(calc_cylr_p,44))</f>
        <v/>
      </c>
      <c r="H49" s="152">
        <f>IF($C49="","",(INDEX(calc_cylr_p,44)-INDEX(calc_lrcur,44))*100)</f>
        <v/>
      </c>
      <c r="I49" s="153">
        <f>IF($C49="","",INDEX(calc_arate_p,44))</f>
        <v/>
      </c>
      <c r="J49" s="153">
        <f>IF($C49="","",INDEX(calc_amod_p,44))</f>
        <v/>
      </c>
      <c r="K49" s="116">
        <f>IF($C49="","",INDEX(calc_echg,44))</f>
        <v/>
      </c>
      <c r="L49" s="116">
        <f>IF($C49="","",INDEX(calc_carry,44))</f>
        <v/>
      </c>
      <c r="M49" s="150">
        <f>IF($C49="","",INDEX(calc_cylr_p1,44))</f>
        <v/>
      </c>
      <c r="N49" s="154">
        <f>IF($C49="","",N(INDEX(lr_ep,44)))</f>
        <v/>
      </c>
      <c r="O49" s="155">
        <f>IF($C49="","",IF(SUM($N$6:$N$74)=0,0,N($N49)/SUM($N$6:$N$74)))</f>
        <v/>
      </c>
    </row>
    <row r="50">
      <c r="A50" s="149">
        <f>IF(INDEX(lr_key,45)="","",INDEX(lr_bu,45))</f>
        <v/>
      </c>
      <c r="B50" s="149">
        <f>IF(INDEX(lr_key,45)="","",INDEX(lr_state,45))</f>
        <v/>
      </c>
      <c r="C50" s="23">
        <f>INDEX(lr_key,45)</f>
        <v/>
      </c>
      <c r="D50" s="150">
        <f>IF($C50="","",N(INDEX(lr_lrproj,45)))</f>
        <v/>
      </c>
      <c r="E50" s="51">
        <f>IF($C50="","",INDEX(lr_basis,45)&amp;"")</f>
        <v/>
      </c>
      <c r="F50" s="150">
        <f>IF($C50="","",INDEX(calc_lrcur,45))</f>
        <v/>
      </c>
      <c r="G50" s="151">
        <f>IF($C50="","",INDEX(calc_cylr_p,45))</f>
        <v/>
      </c>
      <c r="H50" s="152">
        <f>IF($C50="","",(INDEX(calc_cylr_p,45)-INDEX(calc_lrcur,45))*100)</f>
        <v/>
      </c>
      <c r="I50" s="153">
        <f>IF($C50="","",INDEX(calc_arate_p,45))</f>
        <v/>
      </c>
      <c r="J50" s="153">
        <f>IF($C50="","",INDEX(calc_amod_p,45))</f>
        <v/>
      </c>
      <c r="K50" s="116">
        <f>IF($C50="","",INDEX(calc_echg,45))</f>
        <v/>
      </c>
      <c r="L50" s="116">
        <f>IF($C50="","",INDEX(calc_carry,45))</f>
        <v/>
      </c>
      <c r="M50" s="150">
        <f>IF($C50="","",INDEX(calc_cylr_p1,45))</f>
        <v/>
      </c>
      <c r="N50" s="154">
        <f>IF($C50="","",N(INDEX(lr_ep,45)))</f>
        <v/>
      </c>
      <c r="O50" s="155">
        <f>IF($C50="","",IF(SUM($N$6:$N$74)=0,0,N($N50)/SUM($N$6:$N$74)))</f>
        <v/>
      </c>
    </row>
    <row r="51">
      <c r="A51" s="149">
        <f>IF(INDEX(lr_key,46)="","",INDEX(lr_bu,46))</f>
        <v/>
      </c>
      <c r="B51" s="149">
        <f>IF(INDEX(lr_key,46)="","",INDEX(lr_state,46))</f>
        <v/>
      </c>
      <c r="C51" s="23">
        <f>INDEX(lr_key,46)</f>
        <v/>
      </c>
      <c r="D51" s="150">
        <f>IF($C51="","",N(INDEX(lr_lrproj,46)))</f>
        <v/>
      </c>
      <c r="E51" s="51">
        <f>IF($C51="","",INDEX(lr_basis,46)&amp;"")</f>
        <v/>
      </c>
      <c r="F51" s="150">
        <f>IF($C51="","",INDEX(calc_lrcur,46))</f>
        <v/>
      </c>
      <c r="G51" s="151">
        <f>IF($C51="","",INDEX(calc_cylr_p,46))</f>
        <v/>
      </c>
      <c r="H51" s="152">
        <f>IF($C51="","",(INDEX(calc_cylr_p,46)-INDEX(calc_lrcur,46))*100)</f>
        <v/>
      </c>
      <c r="I51" s="153">
        <f>IF($C51="","",INDEX(calc_arate_p,46))</f>
        <v/>
      </c>
      <c r="J51" s="153">
        <f>IF($C51="","",INDEX(calc_amod_p,46))</f>
        <v/>
      </c>
      <c r="K51" s="116">
        <f>IF($C51="","",INDEX(calc_echg,46))</f>
        <v/>
      </c>
      <c r="L51" s="116">
        <f>IF($C51="","",INDEX(calc_carry,46))</f>
        <v/>
      </c>
      <c r="M51" s="150">
        <f>IF($C51="","",INDEX(calc_cylr_p1,46))</f>
        <v/>
      </c>
      <c r="N51" s="154">
        <f>IF($C51="","",N(INDEX(lr_ep,46)))</f>
        <v/>
      </c>
      <c r="O51" s="155">
        <f>IF($C51="","",IF(SUM($N$6:$N$74)=0,0,N($N51)/SUM($N$6:$N$74)))</f>
        <v/>
      </c>
    </row>
    <row r="52">
      <c r="A52" s="149">
        <f>IF(INDEX(lr_key,47)="","",INDEX(lr_bu,47))</f>
        <v/>
      </c>
      <c r="B52" s="149">
        <f>IF(INDEX(lr_key,47)="","",INDEX(lr_state,47))</f>
        <v/>
      </c>
      <c r="C52" s="23">
        <f>INDEX(lr_key,47)</f>
        <v/>
      </c>
      <c r="D52" s="150">
        <f>IF($C52="","",N(INDEX(lr_lrproj,47)))</f>
        <v/>
      </c>
      <c r="E52" s="51">
        <f>IF($C52="","",INDEX(lr_basis,47)&amp;"")</f>
        <v/>
      </c>
      <c r="F52" s="150">
        <f>IF($C52="","",INDEX(calc_lrcur,47))</f>
        <v/>
      </c>
      <c r="G52" s="151">
        <f>IF($C52="","",INDEX(calc_cylr_p,47))</f>
        <v/>
      </c>
      <c r="H52" s="152">
        <f>IF($C52="","",(INDEX(calc_cylr_p,47)-INDEX(calc_lrcur,47))*100)</f>
        <v/>
      </c>
      <c r="I52" s="153">
        <f>IF($C52="","",INDEX(calc_arate_p,47))</f>
        <v/>
      </c>
      <c r="J52" s="153">
        <f>IF($C52="","",INDEX(calc_amod_p,47))</f>
        <v/>
      </c>
      <c r="K52" s="116">
        <f>IF($C52="","",INDEX(calc_echg,47))</f>
        <v/>
      </c>
      <c r="L52" s="116">
        <f>IF($C52="","",INDEX(calc_carry,47))</f>
        <v/>
      </c>
      <c r="M52" s="150">
        <f>IF($C52="","",INDEX(calc_cylr_p1,47))</f>
        <v/>
      </c>
      <c r="N52" s="154">
        <f>IF($C52="","",N(INDEX(lr_ep,47)))</f>
        <v/>
      </c>
      <c r="O52" s="155">
        <f>IF($C52="","",IF(SUM($N$6:$N$74)=0,0,N($N52)/SUM($N$6:$N$74)))</f>
        <v/>
      </c>
    </row>
    <row r="53">
      <c r="A53" s="149">
        <f>IF(INDEX(lr_key,48)="","",INDEX(lr_bu,48))</f>
        <v/>
      </c>
      <c r="B53" s="149">
        <f>IF(INDEX(lr_key,48)="","",INDEX(lr_state,48))</f>
        <v/>
      </c>
      <c r="C53" s="23">
        <f>INDEX(lr_key,48)</f>
        <v/>
      </c>
      <c r="D53" s="150">
        <f>IF($C53="","",N(INDEX(lr_lrproj,48)))</f>
        <v/>
      </c>
      <c r="E53" s="51">
        <f>IF($C53="","",INDEX(lr_basis,48)&amp;"")</f>
        <v/>
      </c>
      <c r="F53" s="150">
        <f>IF($C53="","",INDEX(calc_lrcur,48))</f>
        <v/>
      </c>
      <c r="G53" s="151">
        <f>IF($C53="","",INDEX(calc_cylr_p,48))</f>
        <v/>
      </c>
      <c r="H53" s="152">
        <f>IF($C53="","",(INDEX(calc_cylr_p,48)-INDEX(calc_lrcur,48))*100)</f>
        <v/>
      </c>
      <c r="I53" s="153">
        <f>IF($C53="","",INDEX(calc_arate_p,48))</f>
        <v/>
      </c>
      <c r="J53" s="153">
        <f>IF($C53="","",INDEX(calc_amod_p,48))</f>
        <v/>
      </c>
      <c r="K53" s="116">
        <f>IF($C53="","",INDEX(calc_echg,48))</f>
        <v/>
      </c>
      <c r="L53" s="116">
        <f>IF($C53="","",INDEX(calc_carry,48))</f>
        <v/>
      </c>
      <c r="M53" s="150">
        <f>IF($C53="","",INDEX(calc_cylr_p1,48))</f>
        <v/>
      </c>
      <c r="N53" s="154">
        <f>IF($C53="","",N(INDEX(lr_ep,48)))</f>
        <v/>
      </c>
      <c r="O53" s="155">
        <f>IF($C53="","",IF(SUM($N$6:$N$74)=0,0,N($N53)/SUM($N$6:$N$74)))</f>
        <v/>
      </c>
    </row>
    <row r="54">
      <c r="A54" s="149">
        <f>IF(INDEX(lr_key,49)="","",INDEX(lr_bu,49))</f>
        <v/>
      </c>
      <c r="B54" s="149">
        <f>IF(INDEX(lr_key,49)="","",INDEX(lr_state,49))</f>
        <v/>
      </c>
      <c r="C54" s="23">
        <f>INDEX(lr_key,49)</f>
        <v/>
      </c>
      <c r="D54" s="150">
        <f>IF($C54="","",N(INDEX(lr_lrproj,49)))</f>
        <v/>
      </c>
      <c r="E54" s="51">
        <f>IF($C54="","",INDEX(lr_basis,49)&amp;"")</f>
        <v/>
      </c>
      <c r="F54" s="150">
        <f>IF($C54="","",INDEX(calc_lrcur,49))</f>
        <v/>
      </c>
      <c r="G54" s="151">
        <f>IF($C54="","",INDEX(calc_cylr_p,49))</f>
        <v/>
      </c>
      <c r="H54" s="152">
        <f>IF($C54="","",(INDEX(calc_cylr_p,49)-INDEX(calc_lrcur,49))*100)</f>
        <v/>
      </c>
      <c r="I54" s="153">
        <f>IF($C54="","",INDEX(calc_arate_p,49))</f>
        <v/>
      </c>
      <c r="J54" s="153">
        <f>IF($C54="","",INDEX(calc_amod_p,49))</f>
        <v/>
      </c>
      <c r="K54" s="116">
        <f>IF($C54="","",INDEX(calc_echg,49))</f>
        <v/>
      </c>
      <c r="L54" s="116">
        <f>IF($C54="","",INDEX(calc_carry,49))</f>
        <v/>
      </c>
      <c r="M54" s="150">
        <f>IF($C54="","",INDEX(calc_cylr_p1,49))</f>
        <v/>
      </c>
      <c r="N54" s="154">
        <f>IF($C54="","",N(INDEX(lr_ep,49)))</f>
        <v/>
      </c>
      <c r="O54" s="155">
        <f>IF($C54="","",IF(SUM($N$6:$N$74)=0,0,N($N54)/SUM($N$6:$N$74)))</f>
        <v/>
      </c>
    </row>
    <row r="55">
      <c r="A55" s="149">
        <f>IF(INDEX(lr_key,50)="","",INDEX(lr_bu,50))</f>
        <v/>
      </c>
      <c r="B55" s="149">
        <f>IF(INDEX(lr_key,50)="","",INDEX(lr_state,50))</f>
        <v/>
      </c>
      <c r="C55" s="23">
        <f>INDEX(lr_key,50)</f>
        <v/>
      </c>
      <c r="D55" s="150">
        <f>IF($C55="","",N(INDEX(lr_lrproj,50)))</f>
        <v/>
      </c>
      <c r="E55" s="51">
        <f>IF($C55="","",INDEX(lr_basis,50)&amp;"")</f>
        <v/>
      </c>
      <c r="F55" s="150">
        <f>IF($C55="","",INDEX(calc_lrcur,50))</f>
        <v/>
      </c>
      <c r="G55" s="151">
        <f>IF($C55="","",INDEX(calc_cylr_p,50))</f>
        <v/>
      </c>
      <c r="H55" s="152">
        <f>IF($C55="","",(INDEX(calc_cylr_p,50)-INDEX(calc_lrcur,50))*100)</f>
        <v/>
      </c>
      <c r="I55" s="153">
        <f>IF($C55="","",INDEX(calc_arate_p,50))</f>
        <v/>
      </c>
      <c r="J55" s="153">
        <f>IF($C55="","",INDEX(calc_amod_p,50))</f>
        <v/>
      </c>
      <c r="K55" s="116">
        <f>IF($C55="","",INDEX(calc_echg,50))</f>
        <v/>
      </c>
      <c r="L55" s="116">
        <f>IF($C55="","",INDEX(calc_carry,50))</f>
        <v/>
      </c>
      <c r="M55" s="150">
        <f>IF($C55="","",INDEX(calc_cylr_p1,50))</f>
        <v/>
      </c>
      <c r="N55" s="154">
        <f>IF($C55="","",N(INDEX(lr_ep,50)))</f>
        <v/>
      </c>
      <c r="O55" s="155">
        <f>IF($C55="","",IF(SUM($N$6:$N$74)=0,0,N($N55)/SUM($N$6:$N$74)))</f>
        <v/>
      </c>
    </row>
    <row r="56">
      <c r="A56" s="149">
        <f>IF(INDEX(lr_key,51)="","",INDEX(lr_bu,51))</f>
        <v/>
      </c>
      <c r="B56" s="149">
        <f>IF(INDEX(lr_key,51)="","",INDEX(lr_state,51))</f>
        <v/>
      </c>
      <c r="C56" s="23">
        <f>INDEX(lr_key,51)</f>
        <v/>
      </c>
      <c r="D56" s="150">
        <f>IF($C56="","",N(INDEX(lr_lrproj,51)))</f>
        <v/>
      </c>
      <c r="E56" s="51">
        <f>IF($C56="","",INDEX(lr_basis,51)&amp;"")</f>
        <v/>
      </c>
      <c r="F56" s="150">
        <f>IF($C56="","",INDEX(calc_lrcur,51))</f>
        <v/>
      </c>
      <c r="G56" s="151">
        <f>IF($C56="","",INDEX(calc_cylr_p,51))</f>
        <v/>
      </c>
      <c r="H56" s="152">
        <f>IF($C56="","",(INDEX(calc_cylr_p,51)-INDEX(calc_lrcur,51))*100)</f>
        <v/>
      </c>
      <c r="I56" s="153">
        <f>IF($C56="","",INDEX(calc_arate_p,51))</f>
        <v/>
      </c>
      <c r="J56" s="153">
        <f>IF($C56="","",INDEX(calc_amod_p,51))</f>
        <v/>
      </c>
      <c r="K56" s="116">
        <f>IF($C56="","",INDEX(calc_echg,51))</f>
        <v/>
      </c>
      <c r="L56" s="116">
        <f>IF($C56="","",INDEX(calc_carry,51))</f>
        <v/>
      </c>
      <c r="M56" s="150">
        <f>IF($C56="","",INDEX(calc_cylr_p1,51))</f>
        <v/>
      </c>
      <c r="N56" s="154">
        <f>IF($C56="","",N(INDEX(lr_ep,51)))</f>
        <v/>
      </c>
      <c r="O56" s="155">
        <f>IF($C56="","",IF(SUM($N$6:$N$74)=0,0,N($N56)/SUM($N$6:$N$74)))</f>
        <v/>
      </c>
    </row>
    <row r="57">
      <c r="A57" s="149">
        <f>IF(INDEX(lr_key,52)="","",INDEX(lr_bu,52))</f>
        <v/>
      </c>
      <c r="B57" s="149">
        <f>IF(INDEX(lr_key,52)="","",INDEX(lr_state,52))</f>
        <v/>
      </c>
      <c r="C57" s="23">
        <f>INDEX(lr_key,52)</f>
        <v/>
      </c>
      <c r="D57" s="150">
        <f>IF($C57="","",N(INDEX(lr_lrproj,52)))</f>
        <v/>
      </c>
      <c r="E57" s="51">
        <f>IF($C57="","",INDEX(lr_basis,52)&amp;"")</f>
        <v/>
      </c>
      <c r="F57" s="150">
        <f>IF($C57="","",INDEX(calc_lrcur,52))</f>
        <v/>
      </c>
      <c r="G57" s="151">
        <f>IF($C57="","",INDEX(calc_cylr_p,52))</f>
        <v/>
      </c>
      <c r="H57" s="152">
        <f>IF($C57="","",(INDEX(calc_cylr_p,52)-INDEX(calc_lrcur,52))*100)</f>
        <v/>
      </c>
      <c r="I57" s="153">
        <f>IF($C57="","",INDEX(calc_arate_p,52))</f>
        <v/>
      </c>
      <c r="J57" s="153">
        <f>IF($C57="","",INDEX(calc_amod_p,52))</f>
        <v/>
      </c>
      <c r="K57" s="116">
        <f>IF($C57="","",INDEX(calc_echg,52))</f>
        <v/>
      </c>
      <c r="L57" s="116">
        <f>IF($C57="","",INDEX(calc_carry,52))</f>
        <v/>
      </c>
      <c r="M57" s="150">
        <f>IF($C57="","",INDEX(calc_cylr_p1,52))</f>
        <v/>
      </c>
      <c r="N57" s="154">
        <f>IF($C57="","",N(INDEX(lr_ep,52)))</f>
        <v/>
      </c>
      <c r="O57" s="155">
        <f>IF($C57="","",IF(SUM($N$6:$N$74)=0,0,N($N57)/SUM($N$6:$N$74)))</f>
        <v/>
      </c>
    </row>
    <row r="58">
      <c r="A58" s="149">
        <f>IF(INDEX(lr_key,53)="","",INDEX(lr_bu,53))</f>
        <v/>
      </c>
      <c r="B58" s="149">
        <f>IF(INDEX(lr_key,53)="","",INDEX(lr_state,53))</f>
        <v/>
      </c>
      <c r="C58" s="23">
        <f>INDEX(lr_key,53)</f>
        <v/>
      </c>
      <c r="D58" s="150">
        <f>IF($C58="","",N(INDEX(lr_lrproj,53)))</f>
        <v/>
      </c>
      <c r="E58" s="51">
        <f>IF($C58="","",INDEX(lr_basis,53)&amp;"")</f>
        <v/>
      </c>
      <c r="F58" s="150">
        <f>IF($C58="","",INDEX(calc_lrcur,53))</f>
        <v/>
      </c>
      <c r="G58" s="151">
        <f>IF($C58="","",INDEX(calc_cylr_p,53))</f>
        <v/>
      </c>
      <c r="H58" s="152">
        <f>IF($C58="","",(INDEX(calc_cylr_p,53)-INDEX(calc_lrcur,53))*100)</f>
        <v/>
      </c>
      <c r="I58" s="153">
        <f>IF($C58="","",INDEX(calc_arate_p,53))</f>
        <v/>
      </c>
      <c r="J58" s="153">
        <f>IF($C58="","",INDEX(calc_amod_p,53))</f>
        <v/>
      </c>
      <c r="K58" s="116">
        <f>IF($C58="","",INDEX(calc_echg,53))</f>
        <v/>
      </c>
      <c r="L58" s="116">
        <f>IF($C58="","",INDEX(calc_carry,53))</f>
        <v/>
      </c>
      <c r="M58" s="150">
        <f>IF($C58="","",INDEX(calc_cylr_p1,53))</f>
        <v/>
      </c>
      <c r="N58" s="154">
        <f>IF($C58="","",N(INDEX(lr_ep,53)))</f>
        <v/>
      </c>
      <c r="O58" s="155">
        <f>IF($C58="","",IF(SUM($N$6:$N$74)=0,0,N($N58)/SUM($N$6:$N$74)))</f>
        <v/>
      </c>
    </row>
    <row r="59">
      <c r="A59" s="149">
        <f>IF(INDEX(lr_key,54)="","",INDEX(lr_bu,54))</f>
        <v/>
      </c>
      <c r="B59" s="149">
        <f>IF(INDEX(lr_key,54)="","",INDEX(lr_state,54))</f>
        <v/>
      </c>
      <c r="C59" s="23">
        <f>INDEX(lr_key,54)</f>
        <v/>
      </c>
      <c r="D59" s="150">
        <f>IF($C59="","",N(INDEX(lr_lrproj,54)))</f>
        <v/>
      </c>
      <c r="E59" s="51">
        <f>IF($C59="","",INDEX(lr_basis,54)&amp;"")</f>
        <v/>
      </c>
      <c r="F59" s="150">
        <f>IF($C59="","",INDEX(calc_lrcur,54))</f>
        <v/>
      </c>
      <c r="G59" s="151">
        <f>IF($C59="","",INDEX(calc_cylr_p,54))</f>
        <v/>
      </c>
      <c r="H59" s="152">
        <f>IF($C59="","",(INDEX(calc_cylr_p,54)-INDEX(calc_lrcur,54))*100)</f>
        <v/>
      </c>
      <c r="I59" s="153">
        <f>IF($C59="","",INDEX(calc_arate_p,54))</f>
        <v/>
      </c>
      <c r="J59" s="153">
        <f>IF($C59="","",INDEX(calc_amod_p,54))</f>
        <v/>
      </c>
      <c r="K59" s="116">
        <f>IF($C59="","",INDEX(calc_echg,54))</f>
        <v/>
      </c>
      <c r="L59" s="116">
        <f>IF($C59="","",INDEX(calc_carry,54))</f>
        <v/>
      </c>
      <c r="M59" s="150">
        <f>IF($C59="","",INDEX(calc_cylr_p1,54))</f>
        <v/>
      </c>
      <c r="N59" s="154">
        <f>IF($C59="","",N(INDEX(lr_ep,54)))</f>
        <v/>
      </c>
      <c r="O59" s="155">
        <f>IF($C59="","",IF(SUM($N$6:$N$74)=0,0,N($N59)/SUM($N$6:$N$74)))</f>
        <v/>
      </c>
    </row>
    <row r="60">
      <c r="A60" s="149">
        <f>IF(INDEX(lr_key,55)="","",INDEX(lr_bu,55))</f>
        <v/>
      </c>
      <c r="B60" s="149">
        <f>IF(INDEX(lr_key,55)="","",INDEX(lr_state,55))</f>
        <v/>
      </c>
      <c r="C60" s="23">
        <f>INDEX(lr_key,55)</f>
        <v/>
      </c>
      <c r="D60" s="150">
        <f>IF($C60="","",N(INDEX(lr_lrproj,55)))</f>
        <v/>
      </c>
      <c r="E60" s="51">
        <f>IF($C60="","",INDEX(lr_basis,55)&amp;"")</f>
        <v/>
      </c>
      <c r="F60" s="150">
        <f>IF($C60="","",INDEX(calc_lrcur,55))</f>
        <v/>
      </c>
      <c r="G60" s="151">
        <f>IF($C60="","",INDEX(calc_cylr_p,55))</f>
        <v/>
      </c>
      <c r="H60" s="152">
        <f>IF($C60="","",(INDEX(calc_cylr_p,55)-INDEX(calc_lrcur,55))*100)</f>
        <v/>
      </c>
      <c r="I60" s="153">
        <f>IF($C60="","",INDEX(calc_arate_p,55))</f>
        <v/>
      </c>
      <c r="J60" s="153">
        <f>IF($C60="","",INDEX(calc_amod_p,55))</f>
        <v/>
      </c>
      <c r="K60" s="116">
        <f>IF($C60="","",INDEX(calc_echg,55))</f>
        <v/>
      </c>
      <c r="L60" s="116">
        <f>IF($C60="","",INDEX(calc_carry,55))</f>
        <v/>
      </c>
      <c r="M60" s="150">
        <f>IF($C60="","",INDEX(calc_cylr_p1,55))</f>
        <v/>
      </c>
      <c r="N60" s="154">
        <f>IF($C60="","",N(INDEX(lr_ep,55)))</f>
        <v/>
      </c>
      <c r="O60" s="155">
        <f>IF($C60="","",IF(SUM($N$6:$N$74)=0,0,N($N60)/SUM($N$6:$N$74)))</f>
        <v/>
      </c>
    </row>
    <row r="61">
      <c r="A61" s="149">
        <f>IF(INDEX(lr_key,56)="","",INDEX(lr_bu,56))</f>
        <v/>
      </c>
      <c r="B61" s="149">
        <f>IF(INDEX(lr_key,56)="","",INDEX(lr_state,56))</f>
        <v/>
      </c>
      <c r="C61" s="23">
        <f>INDEX(lr_key,56)</f>
        <v/>
      </c>
      <c r="D61" s="150">
        <f>IF($C61="","",N(INDEX(lr_lrproj,56)))</f>
        <v/>
      </c>
      <c r="E61" s="51">
        <f>IF($C61="","",INDEX(lr_basis,56)&amp;"")</f>
        <v/>
      </c>
      <c r="F61" s="150">
        <f>IF($C61="","",INDEX(calc_lrcur,56))</f>
        <v/>
      </c>
      <c r="G61" s="151">
        <f>IF($C61="","",INDEX(calc_cylr_p,56))</f>
        <v/>
      </c>
      <c r="H61" s="152">
        <f>IF($C61="","",(INDEX(calc_cylr_p,56)-INDEX(calc_lrcur,56))*100)</f>
        <v/>
      </c>
      <c r="I61" s="153">
        <f>IF($C61="","",INDEX(calc_arate_p,56))</f>
        <v/>
      </c>
      <c r="J61" s="153">
        <f>IF($C61="","",INDEX(calc_amod_p,56))</f>
        <v/>
      </c>
      <c r="K61" s="116">
        <f>IF($C61="","",INDEX(calc_echg,56))</f>
        <v/>
      </c>
      <c r="L61" s="116">
        <f>IF($C61="","",INDEX(calc_carry,56))</f>
        <v/>
      </c>
      <c r="M61" s="150">
        <f>IF($C61="","",INDEX(calc_cylr_p1,56))</f>
        <v/>
      </c>
      <c r="N61" s="154">
        <f>IF($C61="","",N(INDEX(lr_ep,56)))</f>
        <v/>
      </c>
      <c r="O61" s="155">
        <f>IF($C61="","",IF(SUM($N$6:$N$74)=0,0,N($N61)/SUM($N$6:$N$74)))</f>
        <v/>
      </c>
    </row>
    <row r="62">
      <c r="A62" s="149">
        <f>IF(INDEX(lr_key,57)="","",INDEX(lr_bu,57))</f>
        <v/>
      </c>
      <c r="B62" s="149">
        <f>IF(INDEX(lr_key,57)="","",INDEX(lr_state,57))</f>
        <v/>
      </c>
      <c r="C62" s="23">
        <f>INDEX(lr_key,57)</f>
        <v/>
      </c>
      <c r="D62" s="150">
        <f>IF($C62="","",N(INDEX(lr_lrproj,57)))</f>
        <v/>
      </c>
      <c r="E62" s="51">
        <f>IF($C62="","",INDEX(lr_basis,57)&amp;"")</f>
        <v/>
      </c>
      <c r="F62" s="150">
        <f>IF($C62="","",INDEX(calc_lrcur,57))</f>
        <v/>
      </c>
      <c r="G62" s="151">
        <f>IF($C62="","",INDEX(calc_cylr_p,57))</f>
        <v/>
      </c>
      <c r="H62" s="152">
        <f>IF($C62="","",(INDEX(calc_cylr_p,57)-INDEX(calc_lrcur,57))*100)</f>
        <v/>
      </c>
      <c r="I62" s="153">
        <f>IF($C62="","",INDEX(calc_arate_p,57))</f>
        <v/>
      </c>
      <c r="J62" s="153">
        <f>IF($C62="","",INDEX(calc_amod_p,57))</f>
        <v/>
      </c>
      <c r="K62" s="116">
        <f>IF($C62="","",INDEX(calc_echg,57))</f>
        <v/>
      </c>
      <c r="L62" s="116">
        <f>IF($C62="","",INDEX(calc_carry,57))</f>
        <v/>
      </c>
      <c r="M62" s="150">
        <f>IF($C62="","",INDEX(calc_cylr_p1,57))</f>
        <v/>
      </c>
      <c r="N62" s="154">
        <f>IF($C62="","",N(INDEX(lr_ep,57)))</f>
        <v/>
      </c>
      <c r="O62" s="155">
        <f>IF($C62="","",IF(SUM($N$6:$N$74)=0,0,N($N62)/SUM($N$6:$N$74)))</f>
        <v/>
      </c>
    </row>
    <row r="63">
      <c r="A63" s="149">
        <f>IF(INDEX(lr_key,58)="","",INDEX(lr_bu,58))</f>
        <v/>
      </c>
      <c r="B63" s="149">
        <f>IF(INDEX(lr_key,58)="","",INDEX(lr_state,58))</f>
        <v/>
      </c>
      <c r="C63" s="23">
        <f>INDEX(lr_key,58)</f>
        <v/>
      </c>
      <c r="D63" s="150">
        <f>IF($C63="","",N(INDEX(lr_lrproj,58)))</f>
        <v/>
      </c>
      <c r="E63" s="51">
        <f>IF($C63="","",INDEX(lr_basis,58)&amp;"")</f>
        <v/>
      </c>
      <c r="F63" s="150">
        <f>IF($C63="","",INDEX(calc_lrcur,58))</f>
        <v/>
      </c>
      <c r="G63" s="151">
        <f>IF($C63="","",INDEX(calc_cylr_p,58))</f>
        <v/>
      </c>
      <c r="H63" s="152">
        <f>IF($C63="","",(INDEX(calc_cylr_p,58)-INDEX(calc_lrcur,58))*100)</f>
        <v/>
      </c>
      <c r="I63" s="153">
        <f>IF($C63="","",INDEX(calc_arate_p,58))</f>
        <v/>
      </c>
      <c r="J63" s="153">
        <f>IF($C63="","",INDEX(calc_amod_p,58))</f>
        <v/>
      </c>
      <c r="K63" s="116">
        <f>IF($C63="","",INDEX(calc_echg,58))</f>
        <v/>
      </c>
      <c r="L63" s="116">
        <f>IF($C63="","",INDEX(calc_carry,58))</f>
        <v/>
      </c>
      <c r="M63" s="150">
        <f>IF($C63="","",INDEX(calc_cylr_p1,58))</f>
        <v/>
      </c>
      <c r="N63" s="154">
        <f>IF($C63="","",N(INDEX(lr_ep,58)))</f>
        <v/>
      </c>
      <c r="O63" s="155">
        <f>IF($C63="","",IF(SUM($N$6:$N$74)=0,0,N($N63)/SUM($N$6:$N$74)))</f>
        <v/>
      </c>
    </row>
    <row r="64">
      <c r="A64" s="149">
        <f>IF(INDEX(lr_key,59)="","",INDEX(lr_bu,59))</f>
        <v/>
      </c>
      <c r="B64" s="149">
        <f>IF(INDEX(lr_key,59)="","",INDEX(lr_state,59))</f>
        <v/>
      </c>
      <c r="C64" s="23">
        <f>INDEX(lr_key,59)</f>
        <v/>
      </c>
      <c r="D64" s="150">
        <f>IF($C64="","",N(INDEX(lr_lrproj,59)))</f>
        <v/>
      </c>
      <c r="E64" s="51">
        <f>IF($C64="","",INDEX(lr_basis,59)&amp;"")</f>
        <v/>
      </c>
      <c r="F64" s="150">
        <f>IF($C64="","",INDEX(calc_lrcur,59))</f>
        <v/>
      </c>
      <c r="G64" s="151">
        <f>IF($C64="","",INDEX(calc_cylr_p,59))</f>
        <v/>
      </c>
      <c r="H64" s="152">
        <f>IF($C64="","",(INDEX(calc_cylr_p,59)-INDEX(calc_lrcur,59))*100)</f>
        <v/>
      </c>
      <c r="I64" s="153">
        <f>IF($C64="","",INDEX(calc_arate_p,59))</f>
        <v/>
      </c>
      <c r="J64" s="153">
        <f>IF($C64="","",INDEX(calc_amod_p,59))</f>
        <v/>
      </c>
      <c r="K64" s="116">
        <f>IF($C64="","",INDEX(calc_echg,59))</f>
        <v/>
      </c>
      <c r="L64" s="116">
        <f>IF($C64="","",INDEX(calc_carry,59))</f>
        <v/>
      </c>
      <c r="M64" s="150">
        <f>IF($C64="","",INDEX(calc_cylr_p1,59))</f>
        <v/>
      </c>
      <c r="N64" s="154">
        <f>IF($C64="","",N(INDEX(lr_ep,59)))</f>
        <v/>
      </c>
      <c r="O64" s="155">
        <f>IF($C64="","",IF(SUM($N$6:$N$74)=0,0,N($N64)/SUM($N$6:$N$74)))</f>
        <v/>
      </c>
    </row>
    <row r="65">
      <c r="A65" s="149">
        <f>IF(INDEX(lr_key,60)="","",INDEX(lr_bu,60))</f>
        <v/>
      </c>
      <c r="B65" s="149">
        <f>IF(INDEX(lr_key,60)="","",INDEX(lr_state,60))</f>
        <v/>
      </c>
      <c r="C65" s="23">
        <f>INDEX(lr_key,60)</f>
        <v/>
      </c>
      <c r="D65" s="150">
        <f>IF($C65="","",N(INDEX(lr_lrproj,60)))</f>
        <v/>
      </c>
      <c r="E65" s="51">
        <f>IF($C65="","",INDEX(lr_basis,60)&amp;"")</f>
        <v/>
      </c>
      <c r="F65" s="150">
        <f>IF($C65="","",INDEX(calc_lrcur,60))</f>
        <v/>
      </c>
      <c r="G65" s="151">
        <f>IF($C65="","",INDEX(calc_cylr_p,60))</f>
        <v/>
      </c>
      <c r="H65" s="152">
        <f>IF($C65="","",(INDEX(calc_cylr_p,60)-INDEX(calc_lrcur,60))*100)</f>
        <v/>
      </c>
      <c r="I65" s="153">
        <f>IF($C65="","",INDEX(calc_arate_p,60))</f>
        <v/>
      </c>
      <c r="J65" s="153">
        <f>IF($C65="","",INDEX(calc_amod_p,60))</f>
        <v/>
      </c>
      <c r="K65" s="116">
        <f>IF($C65="","",INDEX(calc_echg,60))</f>
        <v/>
      </c>
      <c r="L65" s="116">
        <f>IF($C65="","",INDEX(calc_carry,60))</f>
        <v/>
      </c>
      <c r="M65" s="150">
        <f>IF($C65="","",INDEX(calc_cylr_p1,60))</f>
        <v/>
      </c>
      <c r="N65" s="154">
        <f>IF($C65="","",N(INDEX(lr_ep,60)))</f>
        <v/>
      </c>
      <c r="O65" s="155">
        <f>IF($C65="","",IF(SUM($N$6:$N$74)=0,0,N($N65)/SUM($N$6:$N$74)))</f>
        <v/>
      </c>
    </row>
    <row r="66">
      <c r="A66" s="149">
        <f>IF(INDEX(lr_key,61)="","",INDEX(lr_bu,61))</f>
        <v/>
      </c>
      <c r="B66" s="149">
        <f>IF(INDEX(lr_key,61)="","",INDEX(lr_state,61))</f>
        <v/>
      </c>
      <c r="C66" s="23">
        <f>INDEX(lr_key,61)</f>
        <v/>
      </c>
      <c r="D66" s="150">
        <f>IF($C66="","",N(INDEX(lr_lrproj,61)))</f>
        <v/>
      </c>
      <c r="E66" s="51">
        <f>IF($C66="","",INDEX(lr_basis,61)&amp;"")</f>
        <v/>
      </c>
      <c r="F66" s="150">
        <f>IF($C66="","",INDEX(calc_lrcur,61))</f>
        <v/>
      </c>
      <c r="G66" s="151">
        <f>IF($C66="","",INDEX(calc_cylr_p,61))</f>
        <v/>
      </c>
      <c r="H66" s="152">
        <f>IF($C66="","",(INDEX(calc_cylr_p,61)-INDEX(calc_lrcur,61))*100)</f>
        <v/>
      </c>
      <c r="I66" s="153">
        <f>IF($C66="","",INDEX(calc_arate_p,61))</f>
        <v/>
      </c>
      <c r="J66" s="153">
        <f>IF($C66="","",INDEX(calc_amod_p,61))</f>
        <v/>
      </c>
      <c r="K66" s="116">
        <f>IF($C66="","",INDEX(calc_echg,61))</f>
        <v/>
      </c>
      <c r="L66" s="116">
        <f>IF($C66="","",INDEX(calc_carry,61))</f>
        <v/>
      </c>
      <c r="M66" s="150">
        <f>IF($C66="","",INDEX(calc_cylr_p1,61))</f>
        <v/>
      </c>
      <c r="N66" s="154">
        <f>IF($C66="","",N(INDEX(lr_ep,61)))</f>
        <v/>
      </c>
      <c r="O66" s="155">
        <f>IF($C66="","",IF(SUM($N$6:$N$74)=0,0,N($N66)/SUM($N$6:$N$74)))</f>
        <v/>
      </c>
    </row>
    <row r="67">
      <c r="A67" s="149">
        <f>IF(INDEX(lr_key,62)="","",INDEX(lr_bu,62))</f>
        <v/>
      </c>
      <c r="B67" s="149">
        <f>IF(INDEX(lr_key,62)="","",INDEX(lr_state,62))</f>
        <v/>
      </c>
      <c r="C67" s="23">
        <f>INDEX(lr_key,62)</f>
        <v/>
      </c>
      <c r="D67" s="150">
        <f>IF($C67="","",N(INDEX(lr_lrproj,62)))</f>
        <v/>
      </c>
      <c r="E67" s="51">
        <f>IF($C67="","",INDEX(lr_basis,62)&amp;"")</f>
        <v/>
      </c>
      <c r="F67" s="150">
        <f>IF($C67="","",INDEX(calc_lrcur,62))</f>
        <v/>
      </c>
      <c r="G67" s="151">
        <f>IF($C67="","",INDEX(calc_cylr_p,62))</f>
        <v/>
      </c>
      <c r="H67" s="152">
        <f>IF($C67="","",(INDEX(calc_cylr_p,62)-INDEX(calc_lrcur,62))*100)</f>
        <v/>
      </c>
      <c r="I67" s="153">
        <f>IF($C67="","",INDEX(calc_arate_p,62))</f>
        <v/>
      </c>
      <c r="J67" s="153">
        <f>IF($C67="","",INDEX(calc_amod_p,62))</f>
        <v/>
      </c>
      <c r="K67" s="116">
        <f>IF($C67="","",INDEX(calc_echg,62))</f>
        <v/>
      </c>
      <c r="L67" s="116">
        <f>IF($C67="","",INDEX(calc_carry,62))</f>
        <v/>
      </c>
      <c r="M67" s="150">
        <f>IF($C67="","",INDEX(calc_cylr_p1,62))</f>
        <v/>
      </c>
      <c r="N67" s="154">
        <f>IF($C67="","",N(INDEX(lr_ep,62)))</f>
        <v/>
      </c>
      <c r="O67" s="155">
        <f>IF($C67="","",IF(SUM($N$6:$N$74)=0,0,N($N67)/SUM($N$6:$N$74)))</f>
        <v/>
      </c>
    </row>
    <row r="68">
      <c r="A68" s="149">
        <f>IF(INDEX(lr_key,63)="","",INDEX(lr_bu,63))</f>
        <v/>
      </c>
      <c r="B68" s="149">
        <f>IF(INDEX(lr_key,63)="","",INDEX(lr_state,63))</f>
        <v/>
      </c>
      <c r="C68" s="23">
        <f>INDEX(lr_key,63)</f>
        <v/>
      </c>
      <c r="D68" s="150">
        <f>IF($C68="","",N(INDEX(lr_lrproj,63)))</f>
        <v/>
      </c>
      <c r="E68" s="51">
        <f>IF($C68="","",INDEX(lr_basis,63)&amp;"")</f>
        <v/>
      </c>
      <c r="F68" s="150">
        <f>IF($C68="","",INDEX(calc_lrcur,63))</f>
        <v/>
      </c>
      <c r="G68" s="151">
        <f>IF($C68="","",INDEX(calc_cylr_p,63))</f>
        <v/>
      </c>
      <c r="H68" s="152">
        <f>IF($C68="","",(INDEX(calc_cylr_p,63)-INDEX(calc_lrcur,63))*100)</f>
        <v/>
      </c>
      <c r="I68" s="153">
        <f>IF($C68="","",INDEX(calc_arate_p,63))</f>
        <v/>
      </c>
      <c r="J68" s="153">
        <f>IF($C68="","",INDEX(calc_amod_p,63))</f>
        <v/>
      </c>
      <c r="K68" s="116">
        <f>IF($C68="","",INDEX(calc_echg,63))</f>
        <v/>
      </c>
      <c r="L68" s="116">
        <f>IF($C68="","",INDEX(calc_carry,63))</f>
        <v/>
      </c>
      <c r="M68" s="150">
        <f>IF($C68="","",INDEX(calc_cylr_p1,63))</f>
        <v/>
      </c>
      <c r="N68" s="154">
        <f>IF($C68="","",N(INDEX(lr_ep,63)))</f>
        <v/>
      </c>
      <c r="O68" s="155">
        <f>IF($C68="","",IF(SUM($N$6:$N$74)=0,0,N($N68)/SUM($N$6:$N$74)))</f>
        <v/>
      </c>
    </row>
    <row r="69">
      <c r="A69" s="149">
        <f>IF(INDEX(lr_key,64)="","",INDEX(lr_bu,64))</f>
        <v/>
      </c>
      <c r="B69" s="149">
        <f>IF(INDEX(lr_key,64)="","",INDEX(lr_state,64))</f>
        <v/>
      </c>
      <c r="C69" s="23">
        <f>INDEX(lr_key,64)</f>
        <v/>
      </c>
      <c r="D69" s="150">
        <f>IF($C69="","",N(INDEX(lr_lrproj,64)))</f>
        <v/>
      </c>
      <c r="E69" s="51">
        <f>IF($C69="","",INDEX(lr_basis,64)&amp;"")</f>
        <v/>
      </c>
      <c r="F69" s="150">
        <f>IF($C69="","",INDEX(calc_lrcur,64))</f>
        <v/>
      </c>
      <c r="G69" s="151">
        <f>IF($C69="","",INDEX(calc_cylr_p,64))</f>
        <v/>
      </c>
      <c r="H69" s="152">
        <f>IF($C69="","",(INDEX(calc_cylr_p,64)-INDEX(calc_lrcur,64))*100)</f>
        <v/>
      </c>
      <c r="I69" s="153">
        <f>IF($C69="","",INDEX(calc_arate_p,64))</f>
        <v/>
      </c>
      <c r="J69" s="153">
        <f>IF($C69="","",INDEX(calc_amod_p,64))</f>
        <v/>
      </c>
      <c r="K69" s="116">
        <f>IF($C69="","",INDEX(calc_echg,64))</f>
        <v/>
      </c>
      <c r="L69" s="116">
        <f>IF($C69="","",INDEX(calc_carry,64))</f>
        <v/>
      </c>
      <c r="M69" s="150">
        <f>IF($C69="","",INDEX(calc_cylr_p1,64))</f>
        <v/>
      </c>
      <c r="N69" s="154">
        <f>IF($C69="","",N(INDEX(lr_ep,64)))</f>
        <v/>
      </c>
      <c r="O69" s="155">
        <f>IF($C69="","",IF(SUM($N$6:$N$74)=0,0,N($N69)/SUM($N$6:$N$74)))</f>
        <v/>
      </c>
    </row>
    <row r="70">
      <c r="A70" s="149">
        <f>IF(INDEX(lr_key,65)="","",INDEX(lr_bu,65))</f>
        <v/>
      </c>
      <c r="B70" s="149">
        <f>IF(INDEX(lr_key,65)="","",INDEX(lr_state,65))</f>
        <v/>
      </c>
      <c r="C70" s="23">
        <f>INDEX(lr_key,65)</f>
        <v/>
      </c>
      <c r="D70" s="150">
        <f>IF($C70="","",N(INDEX(lr_lrproj,65)))</f>
        <v/>
      </c>
      <c r="E70" s="51">
        <f>IF($C70="","",INDEX(lr_basis,65)&amp;"")</f>
        <v/>
      </c>
      <c r="F70" s="150">
        <f>IF($C70="","",INDEX(calc_lrcur,65))</f>
        <v/>
      </c>
      <c r="G70" s="151">
        <f>IF($C70="","",INDEX(calc_cylr_p,65))</f>
        <v/>
      </c>
      <c r="H70" s="152">
        <f>IF($C70="","",(INDEX(calc_cylr_p,65)-INDEX(calc_lrcur,65))*100)</f>
        <v/>
      </c>
      <c r="I70" s="153">
        <f>IF($C70="","",INDEX(calc_arate_p,65))</f>
        <v/>
      </c>
      <c r="J70" s="153">
        <f>IF($C70="","",INDEX(calc_amod_p,65))</f>
        <v/>
      </c>
      <c r="K70" s="116">
        <f>IF($C70="","",INDEX(calc_echg,65))</f>
        <v/>
      </c>
      <c r="L70" s="116">
        <f>IF($C70="","",INDEX(calc_carry,65))</f>
        <v/>
      </c>
      <c r="M70" s="150">
        <f>IF($C70="","",INDEX(calc_cylr_p1,65))</f>
        <v/>
      </c>
      <c r="N70" s="154">
        <f>IF($C70="","",N(INDEX(lr_ep,65)))</f>
        <v/>
      </c>
      <c r="O70" s="155">
        <f>IF($C70="","",IF(SUM($N$6:$N$74)=0,0,N($N70)/SUM($N$6:$N$74)))</f>
        <v/>
      </c>
    </row>
    <row r="71">
      <c r="A71" s="149">
        <f>IF(INDEX(lr_key,66)="","",INDEX(lr_bu,66))</f>
        <v/>
      </c>
      <c r="B71" s="149">
        <f>IF(INDEX(lr_key,66)="","",INDEX(lr_state,66))</f>
        <v/>
      </c>
      <c r="C71" s="23">
        <f>INDEX(lr_key,66)</f>
        <v/>
      </c>
      <c r="D71" s="150">
        <f>IF($C71="","",N(INDEX(lr_lrproj,66)))</f>
        <v/>
      </c>
      <c r="E71" s="51">
        <f>IF($C71="","",INDEX(lr_basis,66)&amp;"")</f>
        <v/>
      </c>
      <c r="F71" s="150">
        <f>IF($C71="","",INDEX(calc_lrcur,66))</f>
        <v/>
      </c>
      <c r="G71" s="151">
        <f>IF($C71="","",INDEX(calc_cylr_p,66))</f>
        <v/>
      </c>
      <c r="H71" s="152">
        <f>IF($C71="","",(INDEX(calc_cylr_p,66)-INDEX(calc_lrcur,66))*100)</f>
        <v/>
      </c>
      <c r="I71" s="153">
        <f>IF($C71="","",INDEX(calc_arate_p,66))</f>
        <v/>
      </c>
      <c r="J71" s="153">
        <f>IF($C71="","",INDEX(calc_amod_p,66))</f>
        <v/>
      </c>
      <c r="K71" s="116">
        <f>IF($C71="","",INDEX(calc_echg,66))</f>
        <v/>
      </c>
      <c r="L71" s="116">
        <f>IF($C71="","",INDEX(calc_carry,66))</f>
        <v/>
      </c>
      <c r="M71" s="150">
        <f>IF($C71="","",INDEX(calc_cylr_p1,66))</f>
        <v/>
      </c>
      <c r="N71" s="154">
        <f>IF($C71="","",N(INDEX(lr_ep,66)))</f>
        <v/>
      </c>
      <c r="O71" s="155">
        <f>IF($C71="","",IF(SUM($N$6:$N$74)=0,0,N($N71)/SUM($N$6:$N$74)))</f>
        <v/>
      </c>
    </row>
    <row r="72">
      <c r="A72" s="149">
        <f>IF(INDEX(lr_key,67)="","",INDEX(lr_bu,67))</f>
        <v/>
      </c>
      <c r="B72" s="149">
        <f>IF(INDEX(lr_key,67)="","",INDEX(lr_state,67))</f>
        <v/>
      </c>
      <c r="C72" s="23">
        <f>INDEX(lr_key,67)</f>
        <v/>
      </c>
      <c r="D72" s="150">
        <f>IF($C72="","",N(INDEX(lr_lrproj,67)))</f>
        <v/>
      </c>
      <c r="E72" s="51">
        <f>IF($C72="","",INDEX(lr_basis,67)&amp;"")</f>
        <v/>
      </c>
      <c r="F72" s="150">
        <f>IF($C72="","",INDEX(calc_lrcur,67))</f>
        <v/>
      </c>
      <c r="G72" s="151">
        <f>IF($C72="","",INDEX(calc_cylr_p,67))</f>
        <v/>
      </c>
      <c r="H72" s="152">
        <f>IF($C72="","",(INDEX(calc_cylr_p,67)-INDEX(calc_lrcur,67))*100)</f>
        <v/>
      </c>
      <c r="I72" s="153">
        <f>IF($C72="","",INDEX(calc_arate_p,67))</f>
        <v/>
      </c>
      <c r="J72" s="153">
        <f>IF($C72="","",INDEX(calc_amod_p,67))</f>
        <v/>
      </c>
      <c r="K72" s="116">
        <f>IF($C72="","",INDEX(calc_echg,67))</f>
        <v/>
      </c>
      <c r="L72" s="116">
        <f>IF($C72="","",INDEX(calc_carry,67))</f>
        <v/>
      </c>
      <c r="M72" s="150">
        <f>IF($C72="","",INDEX(calc_cylr_p1,67))</f>
        <v/>
      </c>
      <c r="N72" s="154">
        <f>IF($C72="","",N(INDEX(lr_ep,67)))</f>
        <v/>
      </c>
      <c r="O72" s="155">
        <f>IF($C72="","",IF(SUM($N$6:$N$74)=0,0,N($N72)/SUM($N$6:$N$74)))</f>
        <v/>
      </c>
    </row>
    <row r="73">
      <c r="A73" s="149">
        <f>IF(INDEX(lr_key,68)="","",INDEX(lr_bu,68))</f>
        <v/>
      </c>
      <c r="B73" s="149">
        <f>IF(INDEX(lr_key,68)="","",INDEX(lr_state,68))</f>
        <v/>
      </c>
      <c r="C73" s="23">
        <f>INDEX(lr_key,68)</f>
        <v/>
      </c>
      <c r="D73" s="150">
        <f>IF($C73="","",N(INDEX(lr_lrproj,68)))</f>
        <v/>
      </c>
      <c r="E73" s="51">
        <f>IF($C73="","",INDEX(lr_basis,68)&amp;"")</f>
        <v/>
      </c>
      <c r="F73" s="150">
        <f>IF($C73="","",INDEX(calc_lrcur,68))</f>
        <v/>
      </c>
      <c r="G73" s="151">
        <f>IF($C73="","",INDEX(calc_cylr_p,68))</f>
        <v/>
      </c>
      <c r="H73" s="152">
        <f>IF($C73="","",(INDEX(calc_cylr_p,68)-INDEX(calc_lrcur,68))*100)</f>
        <v/>
      </c>
      <c r="I73" s="153">
        <f>IF($C73="","",INDEX(calc_arate_p,68))</f>
        <v/>
      </c>
      <c r="J73" s="153">
        <f>IF($C73="","",INDEX(calc_amod_p,68))</f>
        <v/>
      </c>
      <c r="K73" s="116">
        <f>IF($C73="","",INDEX(calc_echg,68))</f>
        <v/>
      </c>
      <c r="L73" s="116">
        <f>IF($C73="","",INDEX(calc_carry,68))</f>
        <v/>
      </c>
      <c r="M73" s="150">
        <f>IF($C73="","",INDEX(calc_cylr_p1,68))</f>
        <v/>
      </c>
      <c r="N73" s="154">
        <f>IF($C73="","",N(INDEX(lr_ep,68)))</f>
        <v/>
      </c>
      <c r="O73" s="155">
        <f>IF($C73="","",IF(SUM($N$6:$N$74)=0,0,N($N73)/SUM($N$6:$N$74)))</f>
        <v/>
      </c>
    </row>
    <row r="74">
      <c r="A74" s="149">
        <f>IF(INDEX(lr_key,69)="","",INDEX(lr_bu,69))</f>
        <v/>
      </c>
      <c r="B74" s="149">
        <f>IF(INDEX(lr_key,69)="","",INDEX(lr_state,69))</f>
        <v/>
      </c>
      <c r="C74" s="23">
        <f>INDEX(lr_key,69)</f>
        <v/>
      </c>
      <c r="D74" s="150">
        <f>IF($C74="","",N(INDEX(lr_lrproj,69)))</f>
        <v/>
      </c>
      <c r="E74" s="51">
        <f>IF($C74="","",INDEX(lr_basis,69)&amp;"")</f>
        <v/>
      </c>
      <c r="F74" s="150">
        <f>IF($C74="","",INDEX(calc_lrcur,69))</f>
        <v/>
      </c>
      <c r="G74" s="151">
        <f>IF($C74="","",INDEX(calc_cylr_p,69))</f>
        <v/>
      </c>
      <c r="H74" s="152">
        <f>IF($C74="","",(INDEX(calc_cylr_p,69)-INDEX(calc_lrcur,69))*100)</f>
        <v/>
      </c>
      <c r="I74" s="153">
        <f>IF($C74="","",INDEX(calc_arate_p,69))</f>
        <v/>
      </c>
      <c r="J74" s="153">
        <f>IF($C74="","",INDEX(calc_amod_p,69))</f>
        <v/>
      </c>
      <c r="K74" s="116">
        <f>IF($C74="","",INDEX(calc_echg,69))</f>
        <v/>
      </c>
      <c r="L74" s="116">
        <f>IF($C74="","",INDEX(calc_carry,69))</f>
        <v/>
      </c>
      <c r="M74" s="150">
        <f>IF($C74="","",INDEX(calc_cylr_p1,69))</f>
        <v/>
      </c>
      <c r="N74" s="154">
        <f>IF($C74="","",N(INDEX(lr_ep,69)))</f>
        <v/>
      </c>
      <c r="O74" s="155">
        <f>IF($C74="","",IF(SUM($N$6:$N$74)=0,0,N($N74)/SUM($N$6:$N$74)))</f>
        <v/>
      </c>
    </row>
    <row r="76">
      <c r="B76" s="8" t="inlineStr">
        <is>
          <t>EP-weighted total *</t>
        </is>
      </c>
      <c r="F76" s="156">
        <f>IF(SUM($N$6:$N$74)=0,"n/a",SUMPRODUCT(F$6:F$74,$N$6:$N$74)/SUM($N$6:$N$74))</f>
        <v/>
      </c>
      <c r="G76" s="114">
        <f>IF(SUM($N$6:$N$74)=0,"n/a",SUMPRODUCT(G$6:G$74,$N$6:$N$74)/SUM($N$6:$N$74))</f>
        <v/>
      </c>
      <c r="H76" s="115">
        <f>IF(ISNUMBER($G$76),($G$76-$F$76)*100,"")</f>
        <v/>
      </c>
      <c r="K76" s="157">
        <f>IF(SUM($N$6:$N$74)=0,"n/a",SUMPRODUCT(K$6:K$74,$N$6:$N$74)/SUM($N$6:$N$74))</f>
        <v/>
      </c>
      <c r="L76" s="157">
        <f>IF(SUM($N$6:$N$74)=0,"n/a",SUMPRODUCT(L$6:L$74,$N$6:$N$74)/SUM($N$6:$N$74))</f>
        <v/>
      </c>
      <c r="M76" s="156">
        <f>IF(SUM($N$6:$N$74)=0,"n/a",SUMPRODUCT(M$6:M$74,$N$6:$N$74)/SUM($N$6:$N$74))</f>
        <v/>
      </c>
      <c r="N76" s="158">
        <f>SUM($N$6:$N$74)</f>
        <v/>
      </c>
    </row>
    <row r="77">
      <c r="B77" s="18" t="inlineStr">
        <is>
          <t>Simple average</t>
        </is>
      </c>
      <c r="F77" s="45">
        <f>IF(SUMPRODUCT(($C$6:$C$74&lt;&gt;"")*1)=0,"n/a",SUM(F$6:F$74)/SUMPRODUCT(($C$6:$C$74&lt;&gt;"")*1))</f>
        <v/>
      </c>
      <c r="G77" s="45">
        <f>IF(SUMPRODUCT(($C$6:$C$74&lt;&gt;"")*1)=0,"n/a",SUM(G$6:G$74)/SUMPRODUCT(($C$6:$C$74&lt;&gt;"")*1))</f>
        <v/>
      </c>
      <c r="K77" s="159">
        <f>IF(SUMPRODUCT(($C$6:$C$74&lt;&gt;"")*1)=0,"n/a",SUM(K$6:K$74)/SUMPRODUCT(($C$6:$C$74&lt;&gt;"")*1))</f>
        <v/>
      </c>
      <c r="L77" s="159">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0" t="inlineStr">
        <is>
          <t>All</t>
        </is>
      </c>
      <c r="C4" s="161">
        <f>"Showing: "&amp;IF($B$4="All","all business units combined (adj-EP weighted)",$B$4)</f>
        <v/>
      </c>
      <c r="AA4" s="23">
        <f>IF($B$4="All","*",$B$4)</f>
        <v/>
      </c>
    </row>
    <row r="6">
      <c r="A6" s="162" t="inlineStr"/>
      <c r="B6" s="162" t="inlineStr">
        <is>
          <t>Volume</t>
        </is>
      </c>
      <c r="C6" s="163" t="inlineStr">
        <is>
          <t>Schedule mods</t>
        </is>
      </c>
      <c r="D6" s="162" t="n"/>
      <c r="E6" s="162" t="n"/>
      <c r="F6" s="163" t="inlineStr">
        <is>
          <t>Rate change history — chronological (single-BU view)</t>
        </is>
      </c>
      <c r="G6" s="162" t="n"/>
      <c r="H6" s="162" t="n"/>
      <c r="I6" s="162" t="n"/>
      <c r="J6" s="162" t="n"/>
      <c r="K6" s="162" t="n"/>
      <c r="L6" s="162" t="n"/>
      <c r="M6" s="162" t="n"/>
      <c r="N6" s="162" t="n"/>
      <c r="O6" s="163" t="inlineStr">
        <is>
          <t>Engine results</t>
        </is>
      </c>
      <c r="P6" s="162" t="n"/>
      <c r="Q6" s="162" t="n"/>
      <c r="R6" s="162" t="n"/>
      <c r="S6" s="162" t="n"/>
      <c r="T6" s="163">
        <f>"CY "&amp;nr_PlanYear&amp;" plan"</f>
        <v/>
      </c>
      <c r="U6" s="162" t="n"/>
      <c r="V6" s="163">
        <f>"CY "&amp;(nr_PlanYear+1)&amp;" indicative"</f>
        <v/>
      </c>
      <c r="W6" s="162" t="n"/>
      <c r="X6" s="162" t="n"/>
      <c r="Y6" s="162" t="n"/>
      <c r="Z6" s="163" t="inlineStr">
        <is>
          <t>Net</t>
        </is>
      </c>
    </row>
    <row r="7" ht="42" customHeight="1">
      <c r="A7" s="55" t="inlineStr">
        <is>
          <t>State</t>
        </is>
      </c>
      <c r="B7" s="55" t="inlineStr">
        <is>
          <t>Adj plan EP (000s)</t>
        </is>
      </c>
      <c r="C7" s="164" t="inlineStr">
        <is>
          <t>Mod in indication</t>
        </is>
      </c>
      <c r="D7" s="55" t="inlineStr">
        <is>
          <t>Current mod</t>
        </is>
      </c>
      <c r="E7" s="55" t="inlineStr">
        <is>
          <t>Proj. mod, plan-yr end</t>
        </is>
      </c>
      <c r="F7" s="164"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4" t="inlineStr">
        <is>
          <t>Indication rate level</t>
        </is>
      </c>
      <c r="P7" s="55">
        <f>nr_PlanYear&amp;" earned rate level"</f>
        <v/>
      </c>
      <c r="Q7" s="55" t="inlineStr">
        <is>
          <t>Rate earn-in (A_rate)</t>
        </is>
      </c>
      <c r="R7" s="55">
        <f>nr_PlanYear&amp;" earned mod"</f>
        <v/>
      </c>
      <c r="S7" s="55" t="inlineStr">
        <is>
          <t>Mod drift (A_mod)</t>
        </is>
      </c>
      <c r="T7" s="164" t="inlineStr">
        <is>
          <t>Projected LR (current level)</t>
        </is>
      </c>
      <c r="U7" s="55">
        <f>"CY "&amp;nr_PlanYear&amp;" plan LR"</f>
        <v/>
      </c>
      <c r="V7" s="164">
        <f>"Net trend ("&amp;(nr_PlanYear+1)&amp;")"</f>
        <v/>
      </c>
      <c r="W7" s="55">
        <f>(nr_PlanYear+1)&amp;" rate earn-in"</f>
        <v/>
      </c>
      <c r="X7" s="55">
        <f>(nr_PlanYear+1)&amp;" mod drift"</f>
        <v/>
      </c>
      <c r="Y7" s="55">
        <f>"CY "&amp;(nr_PlanYear+1)&amp;" plan LR"</f>
        <v/>
      </c>
      <c r="Z7" s="164" t="inlineStr">
        <is>
          <t>Net rate sel</t>
        </is>
      </c>
    </row>
    <row r="8">
      <c r="A8" s="165">
        <f>_lists!$B$3</f>
        <v/>
      </c>
      <c r="B8" s="166">
        <f>IF($AA8=0,"",SUMIFS(calc_ep,calc_state,$A8,calc_bu,$AA$4))</f>
        <v/>
      </c>
      <c r="C8" s="167">
        <f>IF($AA8=0,"",IF($B8&gt;0,SUMIFS(calc_w_mind,calc_state,$A8,calc_bu,$AA$4)/$B8,SUMIFS(lr_mind,lr_state,$A8,lr_bu,$AA$4)/$AA8))</f>
        <v/>
      </c>
      <c r="D8" s="168">
        <f>IF($AA8=0,"",IF($B8&gt;0,SUMIFS(calc_w_m0,calc_state,$A8,calc_bu,$AA$4)/$B8,SUMIFS(lr_m0,lr_state,$A8,lr_bu,$AA$4)/$AA8))</f>
        <v/>
      </c>
      <c r="E8" s="168">
        <f>IF($AA8=0,"",IF($B8&gt;0,SUMIFS(calc_w_m1,calc_state,$A8,calc_bu,$AA$4)/$B8,SUMIFS(lr_m1,lr_state,$A8,lr_bu,$AA$4)/$AA8))</f>
        <v/>
      </c>
      <c r="F8" s="169">
        <f>IF($AB8="","",IF(COUNTIFS(rl_key,$AB8,rl_seq,1)=0,"",SUMIFS(rl_eff,rl_key,$AB8,rl_seq,1)))</f>
        <v/>
      </c>
      <c r="G8" s="170">
        <f>IF($AB8="","",IF(COUNTIFS(rl_key,$AB8,rl_seq,1)=0,"",SUMIFS(rl_reff,rl_key,$AB8,rl_seq,1)))</f>
        <v/>
      </c>
      <c r="H8" s="171">
        <f>IF($AB8="","",IF(COUNTIFS(rl_key,$AB8,rl_seq,2)=0,"",SUMIFS(rl_eff,rl_key,$AB8,rl_seq,2)))</f>
        <v/>
      </c>
      <c r="I8" s="170">
        <f>IF($AB8="","",IF(COUNTIFS(rl_key,$AB8,rl_seq,2)=0,"",SUMIFS(rl_reff,rl_key,$AB8,rl_seq,2)))</f>
        <v/>
      </c>
      <c r="J8" s="171">
        <f>IF($AB8="","",IF(COUNTIFS(rl_key,$AB8,rl_seq,3)=0,"",SUMIFS(rl_eff,rl_key,$AB8,rl_seq,3)))</f>
        <v/>
      </c>
      <c r="K8" s="170">
        <f>IF($AB8="","",IF(COUNTIFS(rl_key,$AB8,rl_seq,3)=0,"",SUMIFS(rl_reff,rl_key,$AB8,rl_seq,3)))</f>
        <v/>
      </c>
      <c r="L8" s="171">
        <f>IF($AB8="","",IF(COUNTIFS(rl_key,$AB8,rl_seq,4)=0,"",SUMIFS(rl_eff,rl_key,$AB8,rl_seq,4)))</f>
        <v/>
      </c>
      <c r="M8" s="170">
        <f>IF($AB8="","",IF(COUNTIFS(rl_key,$AB8,rl_seq,4)=0,"",SUMIFS(rl_reff,rl_key,$AB8,rl_seq,4)))</f>
        <v/>
      </c>
      <c r="N8" s="172">
        <f>IF($AA8=0,"",IF($AB8="",COUNTIFS(rl_state,$A8,rl_eff,"&lt;&gt;"),COUNTIFS(rl_key,$AB8,rl_eff,"&lt;&gt;")))</f>
        <v/>
      </c>
      <c r="O8" s="173">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68">
        <f>IF($AA8=0,"",IF($B8&gt;0,SUMIFS(calc_w_mbar,calc_state,$A8,calc_bu,$AA$4)/$B8,SUMIFS(calc_mbar_p,calc_state,$A8,calc_bu,$AA$4)/$AA8))</f>
        <v/>
      </c>
      <c r="S8" s="138">
        <f>IF($AA8=0,"",IF($B8&gt;0,SUMIFS(calc_w_amod,calc_state,$A8,calc_bu,$AA$4)/$B8,SUMIFS(calc_amod_p,calc_state,$A8,calc_bu,$AA$4)/$AA8))</f>
        <v/>
      </c>
      <c r="T8" s="174">
        <f>IF($AA8=0,"",IF($B8&gt;0,SUMIFS(calc_w_lrcur,calc_state,$A8,calc_bu,$AA$4)/$B8,SUMIFS(calc_lrcur,calc_state,$A8,calc_bu,$AA$4)/$AA8))</f>
        <v/>
      </c>
      <c r="U8" s="175">
        <f>IF($AA8=0,"",IF($B8&gt;0,SUMIFS(calc_w_cylr,calc_state,$A8,calc_bu,$AA$4)/$B8,SUMIFS(calc_cylr_p,calc_state,$A8,calc_bu,$AA$4)/$AA8))</f>
        <v/>
      </c>
      <c r="V8" s="176">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75">
        <f>IF($AA8=0,"",IF($B8&gt;0,SUMIFS(calc_w_cylr1,calc_state,$A8,calc_bu,$AA$4)/$B8,SUMIFS(calc_cylr_p1,calc_state,$A8,calc_bu,$AA$4)/$AA8))</f>
        <v/>
      </c>
      <c r="Z8" s="176">
        <f>IF($AA8=0,"",IF($AC8=0,"—",SUMIFS(calc_netx,calc_state,$A8,calc_bu,$AA$4)/$AC8))</f>
        <v/>
      </c>
      <c r="AA8" s="42">
        <f>COUNTIFS(calc_state,$A8,calc_bu,$AA$4)</f>
        <v/>
      </c>
      <c r="AB8" s="23">
        <f>IF($B$4="All","",$B$4&amp;"|"&amp;$A8)</f>
        <v/>
      </c>
      <c r="AC8" s="42">
        <f>SUMIFS(calc_netmode,calc_state,$A8,calc_bu,$AA$4)</f>
        <v/>
      </c>
    </row>
    <row r="9">
      <c r="A9" s="177">
        <f>_lists!$B$4</f>
        <v/>
      </c>
      <c r="B9" s="178">
        <f>IF($AA9=0,"",SUMIFS(calc_ep,calc_state,$A9,calc_bu,$AA$4))</f>
        <v/>
      </c>
      <c r="C9" s="179">
        <f>IF($AA9=0,"",IF($B9&gt;0,SUMIFS(calc_w_mind,calc_state,$A9,calc_bu,$AA$4)/$B9,SUMIFS(lr_mind,lr_state,$A9,lr_bu,$AA$4)/$AA9))</f>
        <v/>
      </c>
      <c r="D9" s="180">
        <f>IF($AA9=0,"",IF($B9&gt;0,SUMIFS(calc_w_m0,calc_state,$A9,calc_bu,$AA$4)/$B9,SUMIFS(lr_m0,lr_state,$A9,lr_bu,$AA$4)/$AA9))</f>
        <v/>
      </c>
      <c r="E9" s="180">
        <f>IF($AA9=0,"",IF($B9&gt;0,SUMIFS(calc_w_m1,calc_state,$A9,calc_bu,$AA$4)/$B9,SUMIFS(lr_m1,lr_state,$A9,lr_bu,$AA$4)/$AA9))</f>
        <v/>
      </c>
      <c r="F9" s="181">
        <f>IF($AB9="","",IF(COUNTIFS(rl_key,$AB9,rl_seq,1)=0,"",SUMIFS(rl_eff,rl_key,$AB9,rl_seq,1)))</f>
        <v/>
      </c>
      <c r="G9" s="182">
        <f>IF($AB9="","",IF(COUNTIFS(rl_key,$AB9,rl_seq,1)=0,"",SUMIFS(rl_reff,rl_key,$AB9,rl_seq,1)))</f>
        <v/>
      </c>
      <c r="H9" s="183">
        <f>IF($AB9="","",IF(COUNTIFS(rl_key,$AB9,rl_seq,2)=0,"",SUMIFS(rl_eff,rl_key,$AB9,rl_seq,2)))</f>
        <v/>
      </c>
      <c r="I9" s="182">
        <f>IF($AB9="","",IF(COUNTIFS(rl_key,$AB9,rl_seq,2)=0,"",SUMIFS(rl_reff,rl_key,$AB9,rl_seq,2)))</f>
        <v/>
      </c>
      <c r="J9" s="183">
        <f>IF($AB9="","",IF(COUNTIFS(rl_key,$AB9,rl_seq,3)=0,"",SUMIFS(rl_eff,rl_key,$AB9,rl_seq,3)))</f>
        <v/>
      </c>
      <c r="K9" s="182">
        <f>IF($AB9="","",IF(COUNTIFS(rl_key,$AB9,rl_seq,3)=0,"",SUMIFS(rl_reff,rl_key,$AB9,rl_seq,3)))</f>
        <v/>
      </c>
      <c r="L9" s="183">
        <f>IF($AB9="","",IF(COUNTIFS(rl_key,$AB9,rl_seq,4)=0,"",SUMIFS(rl_eff,rl_key,$AB9,rl_seq,4)))</f>
        <v/>
      </c>
      <c r="M9" s="182">
        <f>IF($AB9="","",IF(COUNTIFS(rl_key,$AB9,rl_seq,4)=0,"",SUMIFS(rl_reff,rl_key,$AB9,rl_seq,4)))</f>
        <v/>
      </c>
      <c r="N9" s="184">
        <f>IF($AA9=0,"",IF($AB9="",COUNTIFS(rl_state,$A9,rl_eff,"&lt;&gt;"),COUNTIFS(rl_key,$AB9,rl_eff,"&lt;&gt;")))</f>
        <v/>
      </c>
      <c r="O9" s="185">
        <f>IF($AA9=0,"",IF($B9&gt;0,SUMIFS(calc_w_crl,calc_state,$A9,calc_bu,$AA$4)/$B9,SUMIFS(calc_crl,calc_state,$A9,calc_bu,$AA$4)/$AA9))</f>
        <v/>
      </c>
      <c r="P9" s="186">
        <f>IF($AA9=0,"",IF($B9&gt;0,SUMIFS(calc_w_ecy,calc_state,$A9,calc_bu,$AA$4)/$B9,SUMIFS(calc_ecy_p,calc_state,$A9,calc_bu,$AA$4)/$AA9))</f>
        <v/>
      </c>
      <c r="Q9" s="186">
        <f>IF($AA9=0,"",IF($B9&gt;0,SUMIFS(calc_w_arate,calc_state,$A9,calc_bu,$AA$4)/$B9,SUMIFS(calc_arate_p,calc_state,$A9,calc_bu,$AA$4)/$AA9))</f>
        <v/>
      </c>
      <c r="R9" s="180">
        <f>IF($AA9=0,"",IF($B9&gt;0,SUMIFS(calc_w_mbar,calc_state,$A9,calc_bu,$AA$4)/$B9,SUMIFS(calc_mbar_p,calc_state,$A9,calc_bu,$AA$4)/$AA9))</f>
        <v/>
      </c>
      <c r="S9" s="186">
        <f>IF($AA9=0,"",IF($B9&gt;0,SUMIFS(calc_w_amod,calc_state,$A9,calc_bu,$AA$4)/$B9,SUMIFS(calc_amod_p,calc_state,$A9,calc_bu,$AA$4)/$AA9))</f>
        <v/>
      </c>
      <c r="T9" s="187">
        <f>IF($AA9=0,"",IF($B9&gt;0,SUMIFS(calc_w_lrcur,calc_state,$A9,calc_bu,$AA$4)/$B9,SUMIFS(calc_lrcur,calc_state,$A9,calc_bu,$AA$4)/$AA9))</f>
        <v/>
      </c>
      <c r="U9" s="142">
        <f>IF($AA9=0,"",IF($B9&gt;0,SUMIFS(calc_w_cylr,calc_state,$A9,calc_bu,$AA$4)/$B9,SUMIFS(calc_cylr_p,calc_state,$A9,calc_bu,$AA$4)/$AA9))</f>
        <v/>
      </c>
      <c r="V9" s="188">
        <f>IF($AA9=0,"",IF($B9&gt;0,SUMIFS(calc_w_trend,calc_state,$A9,calc_bu,$AA$4)/$B9,SUMIFS(calc_trend,calc_state,$A9,calc_bu,$AA$4)/$AA9))</f>
        <v/>
      </c>
      <c r="W9" s="186">
        <f>IF($AA9=0,"",IF($B9&gt;0,SUMIFS(calc_w_arate1,calc_state,$A9,calc_bu,$AA$4)/$B9,SUMIFS(calc_arate_p1,calc_state,$A9,calc_bu,$AA$4)/$AA9))</f>
        <v/>
      </c>
      <c r="X9" s="186">
        <f>IF($AA9=0,"",IF($B9&gt;0,SUMIFS(calc_w_amod1,calc_state,$A9,calc_bu,$AA$4)/$B9,SUMIFS(calc_amod_p1,calc_state,$A9,calc_bu,$AA$4)/$AA9))</f>
        <v/>
      </c>
      <c r="Y9" s="142">
        <f>IF($AA9=0,"",IF($B9&gt;0,SUMIFS(calc_w_cylr1,calc_state,$A9,calc_bu,$AA$4)/$B9,SUMIFS(calc_cylr_p1,calc_state,$A9,calc_bu,$AA$4)/$AA9))</f>
        <v/>
      </c>
      <c r="Z9" s="188">
        <f>IF($AA9=0,"",IF($AC9=0,"—",SUMIFS(calc_netx,calc_state,$A9,calc_bu,$AA$4)/$AC9))</f>
        <v/>
      </c>
      <c r="AA9" s="42">
        <f>COUNTIFS(calc_state,$A9,calc_bu,$AA$4)</f>
        <v/>
      </c>
      <c r="AB9" s="23">
        <f>IF($B$4="All","",$B$4&amp;"|"&amp;$A9)</f>
        <v/>
      </c>
      <c r="AC9" s="42">
        <f>SUMIFS(calc_netmode,calc_state,$A9,calc_bu,$AA$4)</f>
        <v/>
      </c>
    </row>
    <row r="10">
      <c r="A10" s="165">
        <f>_lists!$B$5</f>
        <v/>
      </c>
      <c r="B10" s="166">
        <f>IF($AA10=0,"",SUMIFS(calc_ep,calc_state,$A10,calc_bu,$AA$4))</f>
        <v/>
      </c>
      <c r="C10" s="167">
        <f>IF($AA10=0,"",IF($B10&gt;0,SUMIFS(calc_w_mind,calc_state,$A10,calc_bu,$AA$4)/$B10,SUMIFS(lr_mind,lr_state,$A10,lr_bu,$AA$4)/$AA10))</f>
        <v/>
      </c>
      <c r="D10" s="168">
        <f>IF($AA10=0,"",IF($B10&gt;0,SUMIFS(calc_w_m0,calc_state,$A10,calc_bu,$AA$4)/$B10,SUMIFS(lr_m0,lr_state,$A10,lr_bu,$AA$4)/$AA10))</f>
        <v/>
      </c>
      <c r="E10" s="168">
        <f>IF($AA10=0,"",IF($B10&gt;0,SUMIFS(calc_w_m1,calc_state,$A10,calc_bu,$AA$4)/$B10,SUMIFS(lr_m1,lr_state,$A10,lr_bu,$AA$4)/$AA10))</f>
        <v/>
      </c>
      <c r="F10" s="169">
        <f>IF($AB10="","",IF(COUNTIFS(rl_key,$AB10,rl_seq,1)=0,"",SUMIFS(rl_eff,rl_key,$AB10,rl_seq,1)))</f>
        <v/>
      </c>
      <c r="G10" s="170">
        <f>IF($AB10="","",IF(COUNTIFS(rl_key,$AB10,rl_seq,1)=0,"",SUMIFS(rl_reff,rl_key,$AB10,rl_seq,1)))</f>
        <v/>
      </c>
      <c r="H10" s="171">
        <f>IF($AB10="","",IF(COUNTIFS(rl_key,$AB10,rl_seq,2)=0,"",SUMIFS(rl_eff,rl_key,$AB10,rl_seq,2)))</f>
        <v/>
      </c>
      <c r="I10" s="170">
        <f>IF($AB10="","",IF(COUNTIFS(rl_key,$AB10,rl_seq,2)=0,"",SUMIFS(rl_reff,rl_key,$AB10,rl_seq,2)))</f>
        <v/>
      </c>
      <c r="J10" s="171">
        <f>IF($AB10="","",IF(COUNTIFS(rl_key,$AB10,rl_seq,3)=0,"",SUMIFS(rl_eff,rl_key,$AB10,rl_seq,3)))</f>
        <v/>
      </c>
      <c r="K10" s="170">
        <f>IF($AB10="","",IF(COUNTIFS(rl_key,$AB10,rl_seq,3)=0,"",SUMIFS(rl_reff,rl_key,$AB10,rl_seq,3)))</f>
        <v/>
      </c>
      <c r="L10" s="171">
        <f>IF($AB10="","",IF(COUNTIFS(rl_key,$AB10,rl_seq,4)=0,"",SUMIFS(rl_eff,rl_key,$AB10,rl_seq,4)))</f>
        <v/>
      </c>
      <c r="M10" s="170">
        <f>IF($AB10="","",IF(COUNTIFS(rl_key,$AB10,rl_seq,4)=0,"",SUMIFS(rl_reff,rl_key,$AB10,rl_seq,4)))</f>
        <v/>
      </c>
      <c r="N10" s="172">
        <f>IF($AA10=0,"",IF($AB10="",COUNTIFS(rl_state,$A10,rl_eff,"&lt;&gt;"),COUNTIFS(rl_key,$AB10,rl_eff,"&lt;&gt;")))</f>
        <v/>
      </c>
      <c r="O10" s="173">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68">
        <f>IF($AA10=0,"",IF($B10&gt;0,SUMIFS(calc_w_mbar,calc_state,$A10,calc_bu,$AA$4)/$B10,SUMIFS(calc_mbar_p,calc_state,$A10,calc_bu,$AA$4)/$AA10))</f>
        <v/>
      </c>
      <c r="S10" s="138">
        <f>IF($AA10=0,"",IF($B10&gt;0,SUMIFS(calc_w_amod,calc_state,$A10,calc_bu,$AA$4)/$B10,SUMIFS(calc_amod_p,calc_state,$A10,calc_bu,$AA$4)/$AA10))</f>
        <v/>
      </c>
      <c r="T10" s="174">
        <f>IF($AA10=0,"",IF($B10&gt;0,SUMIFS(calc_w_lrcur,calc_state,$A10,calc_bu,$AA$4)/$B10,SUMIFS(calc_lrcur,calc_state,$A10,calc_bu,$AA$4)/$AA10))</f>
        <v/>
      </c>
      <c r="U10" s="175">
        <f>IF($AA10=0,"",IF($B10&gt;0,SUMIFS(calc_w_cylr,calc_state,$A10,calc_bu,$AA$4)/$B10,SUMIFS(calc_cylr_p,calc_state,$A10,calc_bu,$AA$4)/$AA10))</f>
        <v/>
      </c>
      <c r="V10" s="176">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75">
        <f>IF($AA10=0,"",IF($B10&gt;0,SUMIFS(calc_w_cylr1,calc_state,$A10,calc_bu,$AA$4)/$B10,SUMIFS(calc_cylr_p1,calc_state,$A10,calc_bu,$AA$4)/$AA10))</f>
        <v/>
      </c>
      <c r="Z10" s="176">
        <f>IF($AA10=0,"",IF($AC10=0,"—",SUMIFS(calc_netx,calc_state,$A10,calc_bu,$AA$4)/$AC10))</f>
        <v/>
      </c>
      <c r="AA10" s="42">
        <f>COUNTIFS(calc_state,$A10,calc_bu,$AA$4)</f>
        <v/>
      </c>
      <c r="AB10" s="23">
        <f>IF($B$4="All","",$B$4&amp;"|"&amp;$A10)</f>
        <v/>
      </c>
      <c r="AC10" s="42">
        <f>SUMIFS(calc_netmode,calc_state,$A10,calc_bu,$AA$4)</f>
        <v/>
      </c>
    </row>
    <row r="11">
      <c r="A11" s="177">
        <f>_lists!$B$6</f>
        <v/>
      </c>
      <c r="B11" s="178">
        <f>IF($AA11=0,"",SUMIFS(calc_ep,calc_state,$A11,calc_bu,$AA$4))</f>
        <v/>
      </c>
      <c r="C11" s="179">
        <f>IF($AA11=0,"",IF($B11&gt;0,SUMIFS(calc_w_mind,calc_state,$A11,calc_bu,$AA$4)/$B11,SUMIFS(lr_mind,lr_state,$A11,lr_bu,$AA$4)/$AA11))</f>
        <v/>
      </c>
      <c r="D11" s="180">
        <f>IF($AA11=0,"",IF($B11&gt;0,SUMIFS(calc_w_m0,calc_state,$A11,calc_bu,$AA$4)/$B11,SUMIFS(lr_m0,lr_state,$A11,lr_bu,$AA$4)/$AA11))</f>
        <v/>
      </c>
      <c r="E11" s="180">
        <f>IF($AA11=0,"",IF($B11&gt;0,SUMIFS(calc_w_m1,calc_state,$A11,calc_bu,$AA$4)/$B11,SUMIFS(lr_m1,lr_state,$A11,lr_bu,$AA$4)/$AA11))</f>
        <v/>
      </c>
      <c r="F11" s="181">
        <f>IF($AB11="","",IF(COUNTIFS(rl_key,$AB11,rl_seq,1)=0,"",SUMIFS(rl_eff,rl_key,$AB11,rl_seq,1)))</f>
        <v/>
      </c>
      <c r="G11" s="182">
        <f>IF($AB11="","",IF(COUNTIFS(rl_key,$AB11,rl_seq,1)=0,"",SUMIFS(rl_reff,rl_key,$AB11,rl_seq,1)))</f>
        <v/>
      </c>
      <c r="H11" s="183">
        <f>IF($AB11="","",IF(COUNTIFS(rl_key,$AB11,rl_seq,2)=0,"",SUMIFS(rl_eff,rl_key,$AB11,rl_seq,2)))</f>
        <v/>
      </c>
      <c r="I11" s="182">
        <f>IF($AB11="","",IF(COUNTIFS(rl_key,$AB11,rl_seq,2)=0,"",SUMIFS(rl_reff,rl_key,$AB11,rl_seq,2)))</f>
        <v/>
      </c>
      <c r="J11" s="183">
        <f>IF($AB11="","",IF(COUNTIFS(rl_key,$AB11,rl_seq,3)=0,"",SUMIFS(rl_eff,rl_key,$AB11,rl_seq,3)))</f>
        <v/>
      </c>
      <c r="K11" s="182">
        <f>IF($AB11="","",IF(COUNTIFS(rl_key,$AB11,rl_seq,3)=0,"",SUMIFS(rl_reff,rl_key,$AB11,rl_seq,3)))</f>
        <v/>
      </c>
      <c r="L11" s="183">
        <f>IF($AB11="","",IF(COUNTIFS(rl_key,$AB11,rl_seq,4)=0,"",SUMIFS(rl_eff,rl_key,$AB11,rl_seq,4)))</f>
        <v/>
      </c>
      <c r="M11" s="182">
        <f>IF($AB11="","",IF(COUNTIFS(rl_key,$AB11,rl_seq,4)=0,"",SUMIFS(rl_reff,rl_key,$AB11,rl_seq,4)))</f>
        <v/>
      </c>
      <c r="N11" s="184">
        <f>IF($AA11=0,"",IF($AB11="",COUNTIFS(rl_state,$A11,rl_eff,"&lt;&gt;"),COUNTIFS(rl_key,$AB11,rl_eff,"&lt;&gt;")))</f>
        <v/>
      </c>
      <c r="O11" s="185">
        <f>IF($AA11=0,"",IF($B11&gt;0,SUMIFS(calc_w_crl,calc_state,$A11,calc_bu,$AA$4)/$B11,SUMIFS(calc_crl,calc_state,$A11,calc_bu,$AA$4)/$AA11))</f>
        <v/>
      </c>
      <c r="P11" s="186">
        <f>IF($AA11=0,"",IF($B11&gt;0,SUMIFS(calc_w_ecy,calc_state,$A11,calc_bu,$AA$4)/$B11,SUMIFS(calc_ecy_p,calc_state,$A11,calc_bu,$AA$4)/$AA11))</f>
        <v/>
      </c>
      <c r="Q11" s="186">
        <f>IF($AA11=0,"",IF($B11&gt;0,SUMIFS(calc_w_arate,calc_state,$A11,calc_bu,$AA$4)/$B11,SUMIFS(calc_arate_p,calc_state,$A11,calc_bu,$AA$4)/$AA11))</f>
        <v/>
      </c>
      <c r="R11" s="180">
        <f>IF($AA11=0,"",IF($B11&gt;0,SUMIFS(calc_w_mbar,calc_state,$A11,calc_bu,$AA$4)/$B11,SUMIFS(calc_mbar_p,calc_state,$A11,calc_bu,$AA$4)/$AA11))</f>
        <v/>
      </c>
      <c r="S11" s="186">
        <f>IF($AA11=0,"",IF($B11&gt;0,SUMIFS(calc_w_amod,calc_state,$A11,calc_bu,$AA$4)/$B11,SUMIFS(calc_amod_p,calc_state,$A11,calc_bu,$AA$4)/$AA11))</f>
        <v/>
      </c>
      <c r="T11" s="187">
        <f>IF($AA11=0,"",IF($B11&gt;0,SUMIFS(calc_w_lrcur,calc_state,$A11,calc_bu,$AA$4)/$B11,SUMIFS(calc_lrcur,calc_state,$A11,calc_bu,$AA$4)/$AA11))</f>
        <v/>
      </c>
      <c r="U11" s="142">
        <f>IF($AA11=0,"",IF($B11&gt;0,SUMIFS(calc_w_cylr,calc_state,$A11,calc_bu,$AA$4)/$B11,SUMIFS(calc_cylr_p,calc_state,$A11,calc_bu,$AA$4)/$AA11))</f>
        <v/>
      </c>
      <c r="V11" s="188">
        <f>IF($AA11=0,"",IF($B11&gt;0,SUMIFS(calc_w_trend,calc_state,$A11,calc_bu,$AA$4)/$B11,SUMIFS(calc_trend,calc_state,$A11,calc_bu,$AA$4)/$AA11))</f>
        <v/>
      </c>
      <c r="W11" s="186">
        <f>IF($AA11=0,"",IF($B11&gt;0,SUMIFS(calc_w_arate1,calc_state,$A11,calc_bu,$AA$4)/$B11,SUMIFS(calc_arate_p1,calc_state,$A11,calc_bu,$AA$4)/$AA11))</f>
        <v/>
      </c>
      <c r="X11" s="186">
        <f>IF($AA11=0,"",IF($B11&gt;0,SUMIFS(calc_w_amod1,calc_state,$A11,calc_bu,$AA$4)/$B11,SUMIFS(calc_amod_p1,calc_state,$A11,calc_bu,$AA$4)/$AA11))</f>
        <v/>
      </c>
      <c r="Y11" s="142">
        <f>IF($AA11=0,"",IF($B11&gt;0,SUMIFS(calc_w_cylr1,calc_state,$A11,calc_bu,$AA$4)/$B11,SUMIFS(calc_cylr_p1,calc_state,$A11,calc_bu,$AA$4)/$AA11))</f>
        <v/>
      </c>
      <c r="Z11" s="188">
        <f>IF($AA11=0,"",IF($AC11=0,"—",SUMIFS(calc_netx,calc_state,$A11,calc_bu,$AA$4)/$AC11))</f>
        <v/>
      </c>
      <c r="AA11" s="42">
        <f>COUNTIFS(calc_state,$A11,calc_bu,$AA$4)</f>
        <v/>
      </c>
      <c r="AB11" s="23">
        <f>IF($B$4="All","",$B$4&amp;"|"&amp;$A11)</f>
        <v/>
      </c>
      <c r="AC11" s="42">
        <f>SUMIFS(calc_netmode,calc_state,$A11,calc_bu,$AA$4)</f>
        <v/>
      </c>
    </row>
    <row r="12">
      <c r="A12" s="165">
        <f>_lists!$B$7</f>
        <v/>
      </c>
      <c r="B12" s="166">
        <f>IF($AA12=0,"",SUMIFS(calc_ep,calc_state,$A12,calc_bu,$AA$4))</f>
        <v/>
      </c>
      <c r="C12" s="167">
        <f>IF($AA12=0,"",IF($B12&gt;0,SUMIFS(calc_w_mind,calc_state,$A12,calc_bu,$AA$4)/$B12,SUMIFS(lr_mind,lr_state,$A12,lr_bu,$AA$4)/$AA12))</f>
        <v/>
      </c>
      <c r="D12" s="168">
        <f>IF($AA12=0,"",IF($B12&gt;0,SUMIFS(calc_w_m0,calc_state,$A12,calc_bu,$AA$4)/$B12,SUMIFS(lr_m0,lr_state,$A12,lr_bu,$AA$4)/$AA12))</f>
        <v/>
      </c>
      <c r="E12" s="168">
        <f>IF($AA12=0,"",IF($B12&gt;0,SUMIFS(calc_w_m1,calc_state,$A12,calc_bu,$AA$4)/$B12,SUMIFS(lr_m1,lr_state,$A12,lr_bu,$AA$4)/$AA12))</f>
        <v/>
      </c>
      <c r="F12" s="169">
        <f>IF($AB12="","",IF(COUNTIFS(rl_key,$AB12,rl_seq,1)=0,"",SUMIFS(rl_eff,rl_key,$AB12,rl_seq,1)))</f>
        <v/>
      </c>
      <c r="G12" s="170">
        <f>IF($AB12="","",IF(COUNTIFS(rl_key,$AB12,rl_seq,1)=0,"",SUMIFS(rl_reff,rl_key,$AB12,rl_seq,1)))</f>
        <v/>
      </c>
      <c r="H12" s="171">
        <f>IF($AB12="","",IF(COUNTIFS(rl_key,$AB12,rl_seq,2)=0,"",SUMIFS(rl_eff,rl_key,$AB12,rl_seq,2)))</f>
        <v/>
      </c>
      <c r="I12" s="170">
        <f>IF($AB12="","",IF(COUNTIFS(rl_key,$AB12,rl_seq,2)=0,"",SUMIFS(rl_reff,rl_key,$AB12,rl_seq,2)))</f>
        <v/>
      </c>
      <c r="J12" s="171">
        <f>IF($AB12="","",IF(COUNTIFS(rl_key,$AB12,rl_seq,3)=0,"",SUMIFS(rl_eff,rl_key,$AB12,rl_seq,3)))</f>
        <v/>
      </c>
      <c r="K12" s="170">
        <f>IF($AB12="","",IF(COUNTIFS(rl_key,$AB12,rl_seq,3)=0,"",SUMIFS(rl_reff,rl_key,$AB12,rl_seq,3)))</f>
        <v/>
      </c>
      <c r="L12" s="171">
        <f>IF($AB12="","",IF(COUNTIFS(rl_key,$AB12,rl_seq,4)=0,"",SUMIFS(rl_eff,rl_key,$AB12,rl_seq,4)))</f>
        <v/>
      </c>
      <c r="M12" s="170">
        <f>IF($AB12="","",IF(COUNTIFS(rl_key,$AB12,rl_seq,4)=0,"",SUMIFS(rl_reff,rl_key,$AB12,rl_seq,4)))</f>
        <v/>
      </c>
      <c r="N12" s="172">
        <f>IF($AA12=0,"",IF($AB12="",COUNTIFS(rl_state,$A12,rl_eff,"&lt;&gt;"),COUNTIFS(rl_key,$AB12,rl_eff,"&lt;&gt;")))</f>
        <v/>
      </c>
      <c r="O12" s="173">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68">
        <f>IF($AA12=0,"",IF($B12&gt;0,SUMIFS(calc_w_mbar,calc_state,$A12,calc_bu,$AA$4)/$B12,SUMIFS(calc_mbar_p,calc_state,$A12,calc_bu,$AA$4)/$AA12))</f>
        <v/>
      </c>
      <c r="S12" s="138">
        <f>IF($AA12=0,"",IF($B12&gt;0,SUMIFS(calc_w_amod,calc_state,$A12,calc_bu,$AA$4)/$B12,SUMIFS(calc_amod_p,calc_state,$A12,calc_bu,$AA$4)/$AA12))</f>
        <v/>
      </c>
      <c r="T12" s="174">
        <f>IF($AA12=0,"",IF($B12&gt;0,SUMIFS(calc_w_lrcur,calc_state,$A12,calc_bu,$AA$4)/$B12,SUMIFS(calc_lrcur,calc_state,$A12,calc_bu,$AA$4)/$AA12))</f>
        <v/>
      </c>
      <c r="U12" s="175">
        <f>IF($AA12=0,"",IF($B12&gt;0,SUMIFS(calc_w_cylr,calc_state,$A12,calc_bu,$AA$4)/$B12,SUMIFS(calc_cylr_p,calc_state,$A12,calc_bu,$AA$4)/$AA12))</f>
        <v/>
      </c>
      <c r="V12" s="176">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75">
        <f>IF($AA12=0,"",IF($B12&gt;0,SUMIFS(calc_w_cylr1,calc_state,$A12,calc_bu,$AA$4)/$B12,SUMIFS(calc_cylr_p1,calc_state,$A12,calc_bu,$AA$4)/$AA12))</f>
        <v/>
      </c>
      <c r="Z12" s="176">
        <f>IF($AA12=0,"",IF($AC12=0,"—",SUMIFS(calc_netx,calc_state,$A12,calc_bu,$AA$4)/$AC12))</f>
        <v/>
      </c>
      <c r="AA12" s="42">
        <f>COUNTIFS(calc_state,$A12,calc_bu,$AA$4)</f>
        <v/>
      </c>
      <c r="AB12" s="23">
        <f>IF($B$4="All","",$B$4&amp;"|"&amp;$A12)</f>
        <v/>
      </c>
      <c r="AC12" s="42">
        <f>SUMIFS(calc_netmode,calc_state,$A12,calc_bu,$AA$4)</f>
        <v/>
      </c>
    </row>
    <row r="13">
      <c r="A13" s="177">
        <f>_lists!$B$8</f>
        <v/>
      </c>
      <c r="B13" s="178">
        <f>IF($AA13=0,"",SUMIFS(calc_ep,calc_state,$A13,calc_bu,$AA$4))</f>
        <v/>
      </c>
      <c r="C13" s="179">
        <f>IF($AA13=0,"",IF($B13&gt;0,SUMIFS(calc_w_mind,calc_state,$A13,calc_bu,$AA$4)/$B13,SUMIFS(lr_mind,lr_state,$A13,lr_bu,$AA$4)/$AA13))</f>
        <v/>
      </c>
      <c r="D13" s="180">
        <f>IF($AA13=0,"",IF($B13&gt;0,SUMIFS(calc_w_m0,calc_state,$A13,calc_bu,$AA$4)/$B13,SUMIFS(lr_m0,lr_state,$A13,lr_bu,$AA$4)/$AA13))</f>
        <v/>
      </c>
      <c r="E13" s="180">
        <f>IF($AA13=0,"",IF($B13&gt;0,SUMIFS(calc_w_m1,calc_state,$A13,calc_bu,$AA$4)/$B13,SUMIFS(lr_m1,lr_state,$A13,lr_bu,$AA$4)/$AA13))</f>
        <v/>
      </c>
      <c r="F13" s="181">
        <f>IF($AB13="","",IF(COUNTIFS(rl_key,$AB13,rl_seq,1)=0,"",SUMIFS(rl_eff,rl_key,$AB13,rl_seq,1)))</f>
        <v/>
      </c>
      <c r="G13" s="182">
        <f>IF($AB13="","",IF(COUNTIFS(rl_key,$AB13,rl_seq,1)=0,"",SUMIFS(rl_reff,rl_key,$AB13,rl_seq,1)))</f>
        <v/>
      </c>
      <c r="H13" s="183">
        <f>IF($AB13="","",IF(COUNTIFS(rl_key,$AB13,rl_seq,2)=0,"",SUMIFS(rl_eff,rl_key,$AB13,rl_seq,2)))</f>
        <v/>
      </c>
      <c r="I13" s="182">
        <f>IF($AB13="","",IF(COUNTIFS(rl_key,$AB13,rl_seq,2)=0,"",SUMIFS(rl_reff,rl_key,$AB13,rl_seq,2)))</f>
        <v/>
      </c>
      <c r="J13" s="183">
        <f>IF($AB13="","",IF(COUNTIFS(rl_key,$AB13,rl_seq,3)=0,"",SUMIFS(rl_eff,rl_key,$AB13,rl_seq,3)))</f>
        <v/>
      </c>
      <c r="K13" s="182">
        <f>IF($AB13="","",IF(COUNTIFS(rl_key,$AB13,rl_seq,3)=0,"",SUMIFS(rl_reff,rl_key,$AB13,rl_seq,3)))</f>
        <v/>
      </c>
      <c r="L13" s="183">
        <f>IF($AB13="","",IF(COUNTIFS(rl_key,$AB13,rl_seq,4)=0,"",SUMIFS(rl_eff,rl_key,$AB13,rl_seq,4)))</f>
        <v/>
      </c>
      <c r="M13" s="182">
        <f>IF($AB13="","",IF(COUNTIFS(rl_key,$AB13,rl_seq,4)=0,"",SUMIFS(rl_reff,rl_key,$AB13,rl_seq,4)))</f>
        <v/>
      </c>
      <c r="N13" s="184">
        <f>IF($AA13=0,"",IF($AB13="",COUNTIFS(rl_state,$A13,rl_eff,"&lt;&gt;"),COUNTIFS(rl_key,$AB13,rl_eff,"&lt;&gt;")))</f>
        <v/>
      </c>
      <c r="O13" s="185">
        <f>IF($AA13=0,"",IF($B13&gt;0,SUMIFS(calc_w_crl,calc_state,$A13,calc_bu,$AA$4)/$B13,SUMIFS(calc_crl,calc_state,$A13,calc_bu,$AA$4)/$AA13))</f>
        <v/>
      </c>
      <c r="P13" s="186">
        <f>IF($AA13=0,"",IF($B13&gt;0,SUMIFS(calc_w_ecy,calc_state,$A13,calc_bu,$AA$4)/$B13,SUMIFS(calc_ecy_p,calc_state,$A13,calc_bu,$AA$4)/$AA13))</f>
        <v/>
      </c>
      <c r="Q13" s="186">
        <f>IF($AA13=0,"",IF($B13&gt;0,SUMIFS(calc_w_arate,calc_state,$A13,calc_bu,$AA$4)/$B13,SUMIFS(calc_arate_p,calc_state,$A13,calc_bu,$AA$4)/$AA13))</f>
        <v/>
      </c>
      <c r="R13" s="180">
        <f>IF($AA13=0,"",IF($B13&gt;0,SUMIFS(calc_w_mbar,calc_state,$A13,calc_bu,$AA$4)/$B13,SUMIFS(calc_mbar_p,calc_state,$A13,calc_bu,$AA$4)/$AA13))</f>
        <v/>
      </c>
      <c r="S13" s="186">
        <f>IF($AA13=0,"",IF($B13&gt;0,SUMIFS(calc_w_amod,calc_state,$A13,calc_bu,$AA$4)/$B13,SUMIFS(calc_amod_p,calc_state,$A13,calc_bu,$AA$4)/$AA13))</f>
        <v/>
      </c>
      <c r="T13" s="187">
        <f>IF($AA13=0,"",IF($B13&gt;0,SUMIFS(calc_w_lrcur,calc_state,$A13,calc_bu,$AA$4)/$B13,SUMIFS(calc_lrcur,calc_state,$A13,calc_bu,$AA$4)/$AA13))</f>
        <v/>
      </c>
      <c r="U13" s="142">
        <f>IF($AA13=0,"",IF($B13&gt;0,SUMIFS(calc_w_cylr,calc_state,$A13,calc_bu,$AA$4)/$B13,SUMIFS(calc_cylr_p,calc_state,$A13,calc_bu,$AA$4)/$AA13))</f>
        <v/>
      </c>
      <c r="V13" s="188">
        <f>IF($AA13=0,"",IF($B13&gt;0,SUMIFS(calc_w_trend,calc_state,$A13,calc_bu,$AA$4)/$B13,SUMIFS(calc_trend,calc_state,$A13,calc_bu,$AA$4)/$AA13))</f>
        <v/>
      </c>
      <c r="W13" s="186">
        <f>IF($AA13=0,"",IF($B13&gt;0,SUMIFS(calc_w_arate1,calc_state,$A13,calc_bu,$AA$4)/$B13,SUMIFS(calc_arate_p1,calc_state,$A13,calc_bu,$AA$4)/$AA13))</f>
        <v/>
      </c>
      <c r="X13" s="186">
        <f>IF($AA13=0,"",IF($B13&gt;0,SUMIFS(calc_w_amod1,calc_state,$A13,calc_bu,$AA$4)/$B13,SUMIFS(calc_amod_p1,calc_state,$A13,calc_bu,$AA$4)/$AA13))</f>
        <v/>
      </c>
      <c r="Y13" s="142">
        <f>IF($AA13=0,"",IF($B13&gt;0,SUMIFS(calc_w_cylr1,calc_state,$A13,calc_bu,$AA$4)/$B13,SUMIFS(calc_cylr_p1,calc_state,$A13,calc_bu,$AA$4)/$AA13))</f>
        <v/>
      </c>
      <c r="Z13" s="188">
        <f>IF($AA13=0,"",IF($AC13=0,"—",SUMIFS(calc_netx,calc_state,$A13,calc_bu,$AA$4)/$AC13))</f>
        <v/>
      </c>
      <c r="AA13" s="42">
        <f>COUNTIFS(calc_state,$A13,calc_bu,$AA$4)</f>
        <v/>
      </c>
      <c r="AB13" s="23">
        <f>IF($B$4="All","",$B$4&amp;"|"&amp;$A13)</f>
        <v/>
      </c>
      <c r="AC13" s="42">
        <f>SUMIFS(calc_netmode,calc_state,$A13,calc_bu,$AA$4)</f>
        <v/>
      </c>
    </row>
    <row r="14">
      <c r="A14" s="165">
        <f>_lists!$B$9</f>
        <v/>
      </c>
      <c r="B14" s="166">
        <f>IF($AA14=0,"",SUMIFS(calc_ep,calc_state,$A14,calc_bu,$AA$4))</f>
        <v/>
      </c>
      <c r="C14" s="167">
        <f>IF($AA14=0,"",IF($B14&gt;0,SUMIFS(calc_w_mind,calc_state,$A14,calc_bu,$AA$4)/$B14,SUMIFS(lr_mind,lr_state,$A14,lr_bu,$AA$4)/$AA14))</f>
        <v/>
      </c>
      <c r="D14" s="168">
        <f>IF($AA14=0,"",IF($B14&gt;0,SUMIFS(calc_w_m0,calc_state,$A14,calc_bu,$AA$4)/$B14,SUMIFS(lr_m0,lr_state,$A14,lr_bu,$AA$4)/$AA14))</f>
        <v/>
      </c>
      <c r="E14" s="168">
        <f>IF($AA14=0,"",IF($B14&gt;0,SUMIFS(calc_w_m1,calc_state,$A14,calc_bu,$AA$4)/$B14,SUMIFS(lr_m1,lr_state,$A14,lr_bu,$AA$4)/$AA14))</f>
        <v/>
      </c>
      <c r="F14" s="169">
        <f>IF($AB14="","",IF(COUNTIFS(rl_key,$AB14,rl_seq,1)=0,"",SUMIFS(rl_eff,rl_key,$AB14,rl_seq,1)))</f>
        <v/>
      </c>
      <c r="G14" s="170">
        <f>IF($AB14="","",IF(COUNTIFS(rl_key,$AB14,rl_seq,1)=0,"",SUMIFS(rl_reff,rl_key,$AB14,rl_seq,1)))</f>
        <v/>
      </c>
      <c r="H14" s="171">
        <f>IF($AB14="","",IF(COUNTIFS(rl_key,$AB14,rl_seq,2)=0,"",SUMIFS(rl_eff,rl_key,$AB14,rl_seq,2)))</f>
        <v/>
      </c>
      <c r="I14" s="170">
        <f>IF($AB14="","",IF(COUNTIFS(rl_key,$AB14,rl_seq,2)=0,"",SUMIFS(rl_reff,rl_key,$AB14,rl_seq,2)))</f>
        <v/>
      </c>
      <c r="J14" s="171">
        <f>IF($AB14="","",IF(COUNTIFS(rl_key,$AB14,rl_seq,3)=0,"",SUMIFS(rl_eff,rl_key,$AB14,rl_seq,3)))</f>
        <v/>
      </c>
      <c r="K14" s="170">
        <f>IF($AB14="","",IF(COUNTIFS(rl_key,$AB14,rl_seq,3)=0,"",SUMIFS(rl_reff,rl_key,$AB14,rl_seq,3)))</f>
        <v/>
      </c>
      <c r="L14" s="171">
        <f>IF($AB14="","",IF(COUNTIFS(rl_key,$AB14,rl_seq,4)=0,"",SUMIFS(rl_eff,rl_key,$AB14,rl_seq,4)))</f>
        <v/>
      </c>
      <c r="M14" s="170">
        <f>IF($AB14="","",IF(COUNTIFS(rl_key,$AB14,rl_seq,4)=0,"",SUMIFS(rl_reff,rl_key,$AB14,rl_seq,4)))</f>
        <v/>
      </c>
      <c r="N14" s="172">
        <f>IF($AA14=0,"",IF($AB14="",COUNTIFS(rl_state,$A14,rl_eff,"&lt;&gt;"),COUNTIFS(rl_key,$AB14,rl_eff,"&lt;&gt;")))</f>
        <v/>
      </c>
      <c r="O14" s="173">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68">
        <f>IF($AA14=0,"",IF($B14&gt;0,SUMIFS(calc_w_mbar,calc_state,$A14,calc_bu,$AA$4)/$B14,SUMIFS(calc_mbar_p,calc_state,$A14,calc_bu,$AA$4)/$AA14))</f>
        <v/>
      </c>
      <c r="S14" s="138">
        <f>IF($AA14=0,"",IF($B14&gt;0,SUMIFS(calc_w_amod,calc_state,$A14,calc_bu,$AA$4)/$B14,SUMIFS(calc_amod_p,calc_state,$A14,calc_bu,$AA$4)/$AA14))</f>
        <v/>
      </c>
      <c r="T14" s="174">
        <f>IF($AA14=0,"",IF($B14&gt;0,SUMIFS(calc_w_lrcur,calc_state,$A14,calc_bu,$AA$4)/$B14,SUMIFS(calc_lrcur,calc_state,$A14,calc_bu,$AA$4)/$AA14))</f>
        <v/>
      </c>
      <c r="U14" s="175">
        <f>IF($AA14=0,"",IF($B14&gt;0,SUMIFS(calc_w_cylr,calc_state,$A14,calc_bu,$AA$4)/$B14,SUMIFS(calc_cylr_p,calc_state,$A14,calc_bu,$AA$4)/$AA14))</f>
        <v/>
      </c>
      <c r="V14" s="176">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75">
        <f>IF($AA14=0,"",IF($B14&gt;0,SUMIFS(calc_w_cylr1,calc_state,$A14,calc_bu,$AA$4)/$B14,SUMIFS(calc_cylr_p1,calc_state,$A14,calc_bu,$AA$4)/$AA14))</f>
        <v/>
      </c>
      <c r="Z14" s="176">
        <f>IF($AA14=0,"",IF($AC14=0,"—",SUMIFS(calc_netx,calc_state,$A14,calc_bu,$AA$4)/$AC14))</f>
        <v/>
      </c>
      <c r="AA14" s="42">
        <f>COUNTIFS(calc_state,$A14,calc_bu,$AA$4)</f>
        <v/>
      </c>
      <c r="AB14" s="23">
        <f>IF($B$4="All","",$B$4&amp;"|"&amp;$A14)</f>
        <v/>
      </c>
      <c r="AC14" s="42">
        <f>SUMIFS(calc_netmode,calc_state,$A14,calc_bu,$AA$4)</f>
        <v/>
      </c>
    </row>
    <row r="15">
      <c r="A15" s="177">
        <f>_lists!$B$10</f>
        <v/>
      </c>
      <c r="B15" s="178">
        <f>IF($AA15=0,"",SUMIFS(calc_ep,calc_state,$A15,calc_bu,$AA$4))</f>
        <v/>
      </c>
      <c r="C15" s="179">
        <f>IF($AA15=0,"",IF($B15&gt;0,SUMIFS(calc_w_mind,calc_state,$A15,calc_bu,$AA$4)/$B15,SUMIFS(lr_mind,lr_state,$A15,lr_bu,$AA$4)/$AA15))</f>
        <v/>
      </c>
      <c r="D15" s="180">
        <f>IF($AA15=0,"",IF($B15&gt;0,SUMIFS(calc_w_m0,calc_state,$A15,calc_bu,$AA$4)/$B15,SUMIFS(lr_m0,lr_state,$A15,lr_bu,$AA$4)/$AA15))</f>
        <v/>
      </c>
      <c r="E15" s="180">
        <f>IF($AA15=0,"",IF($B15&gt;0,SUMIFS(calc_w_m1,calc_state,$A15,calc_bu,$AA$4)/$B15,SUMIFS(lr_m1,lr_state,$A15,lr_bu,$AA$4)/$AA15))</f>
        <v/>
      </c>
      <c r="F15" s="181">
        <f>IF($AB15="","",IF(COUNTIFS(rl_key,$AB15,rl_seq,1)=0,"",SUMIFS(rl_eff,rl_key,$AB15,rl_seq,1)))</f>
        <v/>
      </c>
      <c r="G15" s="182">
        <f>IF($AB15="","",IF(COUNTIFS(rl_key,$AB15,rl_seq,1)=0,"",SUMIFS(rl_reff,rl_key,$AB15,rl_seq,1)))</f>
        <v/>
      </c>
      <c r="H15" s="183">
        <f>IF($AB15="","",IF(COUNTIFS(rl_key,$AB15,rl_seq,2)=0,"",SUMIFS(rl_eff,rl_key,$AB15,rl_seq,2)))</f>
        <v/>
      </c>
      <c r="I15" s="182">
        <f>IF($AB15="","",IF(COUNTIFS(rl_key,$AB15,rl_seq,2)=0,"",SUMIFS(rl_reff,rl_key,$AB15,rl_seq,2)))</f>
        <v/>
      </c>
      <c r="J15" s="183">
        <f>IF($AB15="","",IF(COUNTIFS(rl_key,$AB15,rl_seq,3)=0,"",SUMIFS(rl_eff,rl_key,$AB15,rl_seq,3)))</f>
        <v/>
      </c>
      <c r="K15" s="182">
        <f>IF($AB15="","",IF(COUNTIFS(rl_key,$AB15,rl_seq,3)=0,"",SUMIFS(rl_reff,rl_key,$AB15,rl_seq,3)))</f>
        <v/>
      </c>
      <c r="L15" s="183">
        <f>IF($AB15="","",IF(COUNTIFS(rl_key,$AB15,rl_seq,4)=0,"",SUMIFS(rl_eff,rl_key,$AB15,rl_seq,4)))</f>
        <v/>
      </c>
      <c r="M15" s="182">
        <f>IF($AB15="","",IF(COUNTIFS(rl_key,$AB15,rl_seq,4)=0,"",SUMIFS(rl_reff,rl_key,$AB15,rl_seq,4)))</f>
        <v/>
      </c>
      <c r="N15" s="184">
        <f>IF($AA15=0,"",IF($AB15="",COUNTIFS(rl_state,$A15,rl_eff,"&lt;&gt;"),COUNTIFS(rl_key,$AB15,rl_eff,"&lt;&gt;")))</f>
        <v/>
      </c>
      <c r="O15" s="185">
        <f>IF($AA15=0,"",IF($B15&gt;0,SUMIFS(calc_w_crl,calc_state,$A15,calc_bu,$AA$4)/$B15,SUMIFS(calc_crl,calc_state,$A15,calc_bu,$AA$4)/$AA15))</f>
        <v/>
      </c>
      <c r="P15" s="186">
        <f>IF($AA15=0,"",IF($B15&gt;0,SUMIFS(calc_w_ecy,calc_state,$A15,calc_bu,$AA$4)/$B15,SUMIFS(calc_ecy_p,calc_state,$A15,calc_bu,$AA$4)/$AA15))</f>
        <v/>
      </c>
      <c r="Q15" s="186">
        <f>IF($AA15=0,"",IF($B15&gt;0,SUMIFS(calc_w_arate,calc_state,$A15,calc_bu,$AA$4)/$B15,SUMIFS(calc_arate_p,calc_state,$A15,calc_bu,$AA$4)/$AA15))</f>
        <v/>
      </c>
      <c r="R15" s="180">
        <f>IF($AA15=0,"",IF($B15&gt;0,SUMIFS(calc_w_mbar,calc_state,$A15,calc_bu,$AA$4)/$B15,SUMIFS(calc_mbar_p,calc_state,$A15,calc_bu,$AA$4)/$AA15))</f>
        <v/>
      </c>
      <c r="S15" s="186">
        <f>IF($AA15=0,"",IF($B15&gt;0,SUMIFS(calc_w_amod,calc_state,$A15,calc_bu,$AA$4)/$B15,SUMIFS(calc_amod_p,calc_state,$A15,calc_bu,$AA$4)/$AA15))</f>
        <v/>
      </c>
      <c r="T15" s="187">
        <f>IF($AA15=0,"",IF($B15&gt;0,SUMIFS(calc_w_lrcur,calc_state,$A15,calc_bu,$AA$4)/$B15,SUMIFS(calc_lrcur,calc_state,$A15,calc_bu,$AA$4)/$AA15))</f>
        <v/>
      </c>
      <c r="U15" s="142">
        <f>IF($AA15=0,"",IF($B15&gt;0,SUMIFS(calc_w_cylr,calc_state,$A15,calc_bu,$AA$4)/$B15,SUMIFS(calc_cylr_p,calc_state,$A15,calc_bu,$AA$4)/$AA15))</f>
        <v/>
      </c>
      <c r="V15" s="188">
        <f>IF($AA15=0,"",IF($B15&gt;0,SUMIFS(calc_w_trend,calc_state,$A15,calc_bu,$AA$4)/$B15,SUMIFS(calc_trend,calc_state,$A15,calc_bu,$AA$4)/$AA15))</f>
        <v/>
      </c>
      <c r="W15" s="186">
        <f>IF($AA15=0,"",IF($B15&gt;0,SUMIFS(calc_w_arate1,calc_state,$A15,calc_bu,$AA$4)/$B15,SUMIFS(calc_arate_p1,calc_state,$A15,calc_bu,$AA$4)/$AA15))</f>
        <v/>
      </c>
      <c r="X15" s="186">
        <f>IF($AA15=0,"",IF($B15&gt;0,SUMIFS(calc_w_amod1,calc_state,$A15,calc_bu,$AA$4)/$B15,SUMIFS(calc_amod_p1,calc_state,$A15,calc_bu,$AA$4)/$AA15))</f>
        <v/>
      </c>
      <c r="Y15" s="142">
        <f>IF($AA15=0,"",IF($B15&gt;0,SUMIFS(calc_w_cylr1,calc_state,$A15,calc_bu,$AA$4)/$B15,SUMIFS(calc_cylr_p1,calc_state,$A15,calc_bu,$AA$4)/$AA15))</f>
        <v/>
      </c>
      <c r="Z15" s="188">
        <f>IF($AA15=0,"",IF($AC15=0,"—",SUMIFS(calc_netx,calc_state,$A15,calc_bu,$AA$4)/$AC15))</f>
        <v/>
      </c>
      <c r="AA15" s="42">
        <f>COUNTIFS(calc_state,$A15,calc_bu,$AA$4)</f>
        <v/>
      </c>
      <c r="AB15" s="23">
        <f>IF($B$4="All","",$B$4&amp;"|"&amp;$A15)</f>
        <v/>
      </c>
      <c r="AC15" s="42">
        <f>SUMIFS(calc_netmode,calc_state,$A15,calc_bu,$AA$4)</f>
        <v/>
      </c>
    </row>
    <row r="16">
      <c r="A16" s="165">
        <f>_lists!$B$11</f>
        <v/>
      </c>
      <c r="B16" s="166">
        <f>IF($AA16=0,"",SUMIFS(calc_ep,calc_state,$A16,calc_bu,$AA$4))</f>
        <v/>
      </c>
      <c r="C16" s="167">
        <f>IF($AA16=0,"",IF($B16&gt;0,SUMIFS(calc_w_mind,calc_state,$A16,calc_bu,$AA$4)/$B16,SUMIFS(lr_mind,lr_state,$A16,lr_bu,$AA$4)/$AA16))</f>
        <v/>
      </c>
      <c r="D16" s="168">
        <f>IF($AA16=0,"",IF($B16&gt;0,SUMIFS(calc_w_m0,calc_state,$A16,calc_bu,$AA$4)/$B16,SUMIFS(lr_m0,lr_state,$A16,lr_bu,$AA$4)/$AA16))</f>
        <v/>
      </c>
      <c r="E16" s="168">
        <f>IF($AA16=0,"",IF($B16&gt;0,SUMIFS(calc_w_m1,calc_state,$A16,calc_bu,$AA$4)/$B16,SUMIFS(lr_m1,lr_state,$A16,lr_bu,$AA$4)/$AA16))</f>
        <v/>
      </c>
      <c r="F16" s="169">
        <f>IF($AB16="","",IF(COUNTIFS(rl_key,$AB16,rl_seq,1)=0,"",SUMIFS(rl_eff,rl_key,$AB16,rl_seq,1)))</f>
        <v/>
      </c>
      <c r="G16" s="170">
        <f>IF($AB16="","",IF(COUNTIFS(rl_key,$AB16,rl_seq,1)=0,"",SUMIFS(rl_reff,rl_key,$AB16,rl_seq,1)))</f>
        <v/>
      </c>
      <c r="H16" s="171">
        <f>IF($AB16="","",IF(COUNTIFS(rl_key,$AB16,rl_seq,2)=0,"",SUMIFS(rl_eff,rl_key,$AB16,rl_seq,2)))</f>
        <v/>
      </c>
      <c r="I16" s="170">
        <f>IF($AB16="","",IF(COUNTIFS(rl_key,$AB16,rl_seq,2)=0,"",SUMIFS(rl_reff,rl_key,$AB16,rl_seq,2)))</f>
        <v/>
      </c>
      <c r="J16" s="171">
        <f>IF($AB16="","",IF(COUNTIFS(rl_key,$AB16,rl_seq,3)=0,"",SUMIFS(rl_eff,rl_key,$AB16,rl_seq,3)))</f>
        <v/>
      </c>
      <c r="K16" s="170">
        <f>IF($AB16="","",IF(COUNTIFS(rl_key,$AB16,rl_seq,3)=0,"",SUMIFS(rl_reff,rl_key,$AB16,rl_seq,3)))</f>
        <v/>
      </c>
      <c r="L16" s="171">
        <f>IF($AB16="","",IF(COUNTIFS(rl_key,$AB16,rl_seq,4)=0,"",SUMIFS(rl_eff,rl_key,$AB16,rl_seq,4)))</f>
        <v/>
      </c>
      <c r="M16" s="170">
        <f>IF($AB16="","",IF(COUNTIFS(rl_key,$AB16,rl_seq,4)=0,"",SUMIFS(rl_reff,rl_key,$AB16,rl_seq,4)))</f>
        <v/>
      </c>
      <c r="N16" s="172">
        <f>IF($AA16=0,"",IF($AB16="",COUNTIFS(rl_state,$A16,rl_eff,"&lt;&gt;"),COUNTIFS(rl_key,$AB16,rl_eff,"&lt;&gt;")))</f>
        <v/>
      </c>
      <c r="O16" s="173">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68">
        <f>IF($AA16=0,"",IF($B16&gt;0,SUMIFS(calc_w_mbar,calc_state,$A16,calc_bu,$AA$4)/$B16,SUMIFS(calc_mbar_p,calc_state,$A16,calc_bu,$AA$4)/$AA16))</f>
        <v/>
      </c>
      <c r="S16" s="138">
        <f>IF($AA16=0,"",IF($B16&gt;0,SUMIFS(calc_w_amod,calc_state,$A16,calc_bu,$AA$4)/$B16,SUMIFS(calc_amod_p,calc_state,$A16,calc_bu,$AA$4)/$AA16))</f>
        <v/>
      </c>
      <c r="T16" s="174">
        <f>IF($AA16=0,"",IF($B16&gt;0,SUMIFS(calc_w_lrcur,calc_state,$A16,calc_bu,$AA$4)/$B16,SUMIFS(calc_lrcur,calc_state,$A16,calc_bu,$AA$4)/$AA16))</f>
        <v/>
      </c>
      <c r="U16" s="175">
        <f>IF($AA16=0,"",IF($B16&gt;0,SUMIFS(calc_w_cylr,calc_state,$A16,calc_bu,$AA$4)/$B16,SUMIFS(calc_cylr_p,calc_state,$A16,calc_bu,$AA$4)/$AA16))</f>
        <v/>
      </c>
      <c r="V16" s="176">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75">
        <f>IF($AA16=0,"",IF($B16&gt;0,SUMIFS(calc_w_cylr1,calc_state,$A16,calc_bu,$AA$4)/$B16,SUMIFS(calc_cylr_p1,calc_state,$A16,calc_bu,$AA$4)/$AA16))</f>
        <v/>
      </c>
      <c r="Z16" s="176">
        <f>IF($AA16=0,"",IF($AC16=0,"—",SUMIFS(calc_netx,calc_state,$A16,calc_bu,$AA$4)/$AC16))</f>
        <v/>
      </c>
      <c r="AA16" s="42">
        <f>COUNTIFS(calc_state,$A16,calc_bu,$AA$4)</f>
        <v/>
      </c>
      <c r="AB16" s="23">
        <f>IF($B$4="All","",$B$4&amp;"|"&amp;$A16)</f>
        <v/>
      </c>
      <c r="AC16" s="42">
        <f>SUMIFS(calc_netmode,calc_state,$A16,calc_bu,$AA$4)</f>
        <v/>
      </c>
    </row>
    <row r="17">
      <c r="A17" s="177">
        <f>_lists!$B$12</f>
        <v/>
      </c>
      <c r="B17" s="178">
        <f>IF($AA17=0,"",SUMIFS(calc_ep,calc_state,$A17,calc_bu,$AA$4))</f>
        <v/>
      </c>
      <c r="C17" s="179">
        <f>IF($AA17=0,"",IF($B17&gt;0,SUMIFS(calc_w_mind,calc_state,$A17,calc_bu,$AA$4)/$B17,SUMIFS(lr_mind,lr_state,$A17,lr_bu,$AA$4)/$AA17))</f>
        <v/>
      </c>
      <c r="D17" s="180">
        <f>IF($AA17=0,"",IF($B17&gt;0,SUMIFS(calc_w_m0,calc_state,$A17,calc_bu,$AA$4)/$B17,SUMIFS(lr_m0,lr_state,$A17,lr_bu,$AA$4)/$AA17))</f>
        <v/>
      </c>
      <c r="E17" s="180">
        <f>IF($AA17=0,"",IF($B17&gt;0,SUMIFS(calc_w_m1,calc_state,$A17,calc_bu,$AA$4)/$B17,SUMIFS(lr_m1,lr_state,$A17,lr_bu,$AA$4)/$AA17))</f>
        <v/>
      </c>
      <c r="F17" s="181">
        <f>IF($AB17="","",IF(COUNTIFS(rl_key,$AB17,rl_seq,1)=0,"",SUMIFS(rl_eff,rl_key,$AB17,rl_seq,1)))</f>
        <v/>
      </c>
      <c r="G17" s="182">
        <f>IF($AB17="","",IF(COUNTIFS(rl_key,$AB17,rl_seq,1)=0,"",SUMIFS(rl_reff,rl_key,$AB17,rl_seq,1)))</f>
        <v/>
      </c>
      <c r="H17" s="183">
        <f>IF($AB17="","",IF(COUNTIFS(rl_key,$AB17,rl_seq,2)=0,"",SUMIFS(rl_eff,rl_key,$AB17,rl_seq,2)))</f>
        <v/>
      </c>
      <c r="I17" s="182">
        <f>IF($AB17="","",IF(COUNTIFS(rl_key,$AB17,rl_seq,2)=0,"",SUMIFS(rl_reff,rl_key,$AB17,rl_seq,2)))</f>
        <v/>
      </c>
      <c r="J17" s="183">
        <f>IF($AB17="","",IF(COUNTIFS(rl_key,$AB17,rl_seq,3)=0,"",SUMIFS(rl_eff,rl_key,$AB17,rl_seq,3)))</f>
        <v/>
      </c>
      <c r="K17" s="182">
        <f>IF($AB17="","",IF(COUNTIFS(rl_key,$AB17,rl_seq,3)=0,"",SUMIFS(rl_reff,rl_key,$AB17,rl_seq,3)))</f>
        <v/>
      </c>
      <c r="L17" s="183">
        <f>IF($AB17="","",IF(COUNTIFS(rl_key,$AB17,rl_seq,4)=0,"",SUMIFS(rl_eff,rl_key,$AB17,rl_seq,4)))</f>
        <v/>
      </c>
      <c r="M17" s="182">
        <f>IF($AB17="","",IF(COUNTIFS(rl_key,$AB17,rl_seq,4)=0,"",SUMIFS(rl_reff,rl_key,$AB17,rl_seq,4)))</f>
        <v/>
      </c>
      <c r="N17" s="184">
        <f>IF($AA17=0,"",IF($AB17="",COUNTIFS(rl_state,$A17,rl_eff,"&lt;&gt;"),COUNTIFS(rl_key,$AB17,rl_eff,"&lt;&gt;")))</f>
        <v/>
      </c>
      <c r="O17" s="185">
        <f>IF($AA17=0,"",IF($B17&gt;0,SUMIFS(calc_w_crl,calc_state,$A17,calc_bu,$AA$4)/$B17,SUMIFS(calc_crl,calc_state,$A17,calc_bu,$AA$4)/$AA17))</f>
        <v/>
      </c>
      <c r="P17" s="186">
        <f>IF($AA17=0,"",IF($B17&gt;0,SUMIFS(calc_w_ecy,calc_state,$A17,calc_bu,$AA$4)/$B17,SUMIFS(calc_ecy_p,calc_state,$A17,calc_bu,$AA$4)/$AA17))</f>
        <v/>
      </c>
      <c r="Q17" s="186">
        <f>IF($AA17=0,"",IF($B17&gt;0,SUMIFS(calc_w_arate,calc_state,$A17,calc_bu,$AA$4)/$B17,SUMIFS(calc_arate_p,calc_state,$A17,calc_bu,$AA$4)/$AA17))</f>
        <v/>
      </c>
      <c r="R17" s="180">
        <f>IF($AA17=0,"",IF($B17&gt;0,SUMIFS(calc_w_mbar,calc_state,$A17,calc_bu,$AA$4)/$B17,SUMIFS(calc_mbar_p,calc_state,$A17,calc_bu,$AA$4)/$AA17))</f>
        <v/>
      </c>
      <c r="S17" s="186">
        <f>IF($AA17=0,"",IF($B17&gt;0,SUMIFS(calc_w_amod,calc_state,$A17,calc_bu,$AA$4)/$B17,SUMIFS(calc_amod_p,calc_state,$A17,calc_bu,$AA$4)/$AA17))</f>
        <v/>
      </c>
      <c r="T17" s="187">
        <f>IF($AA17=0,"",IF($B17&gt;0,SUMIFS(calc_w_lrcur,calc_state,$A17,calc_bu,$AA$4)/$B17,SUMIFS(calc_lrcur,calc_state,$A17,calc_bu,$AA$4)/$AA17))</f>
        <v/>
      </c>
      <c r="U17" s="142">
        <f>IF($AA17=0,"",IF($B17&gt;0,SUMIFS(calc_w_cylr,calc_state,$A17,calc_bu,$AA$4)/$B17,SUMIFS(calc_cylr_p,calc_state,$A17,calc_bu,$AA$4)/$AA17))</f>
        <v/>
      </c>
      <c r="V17" s="188">
        <f>IF($AA17=0,"",IF($B17&gt;0,SUMIFS(calc_w_trend,calc_state,$A17,calc_bu,$AA$4)/$B17,SUMIFS(calc_trend,calc_state,$A17,calc_bu,$AA$4)/$AA17))</f>
        <v/>
      </c>
      <c r="W17" s="186">
        <f>IF($AA17=0,"",IF($B17&gt;0,SUMIFS(calc_w_arate1,calc_state,$A17,calc_bu,$AA$4)/$B17,SUMIFS(calc_arate_p1,calc_state,$A17,calc_bu,$AA$4)/$AA17))</f>
        <v/>
      </c>
      <c r="X17" s="186">
        <f>IF($AA17=0,"",IF($B17&gt;0,SUMIFS(calc_w_amod1,calc_state,$A17,calc_bu,$AA$4)/$B17,SUMIFS(calc_amod_p1,calc_state,$A17,calc_bu,$AA$4)/$AA17))</f>
        <v/>
      </c>
      <c r="Y17" s="142">
        <f>IF($AA17=0,"",IF($B17&gt;0,SUMIFS(calc_w_cylr1,calc_state,$A17,calc_bu,$AA$4)/$B17,SUMIFS(calc_cylr_p1,calc_state,$A17,calc_bu,$AA$4)/$AA17))</f>
        <v/>
      </c>
      <c r="Z17" s="188">
        <f>IF($AA17=0,"",IF($AC17=0,"—",SUMIFS(calc_netx,calc_state,$A17,calc_bu,$AA$4)/$AC17))</f>
        <v/>
      </c>
      <c r="AA17" s="42">
        <f>COUNTIFS(calc_state,$A17,calc_bu,$AA$4)</f>
        <v/>
      </c>
      <c r="AB17" s="23">
        <f>IF($B$4="All","",$B$4&amp;"|"&amp;$A17)</f>
        <v/>
      </c>
      <c r="AC17" s="42">
        <f>SUMIFS(calc_netmode,calc_state,$A17,calc_bu,$AA$4)</f>
        <v/>
      </c>
    </row>
    <row r="18">
      <c r="A18" s="165">
        <f>_lists!$B$13</f>
        <v/>
      </c>
      <c r="B18" s="166">
        <f>IF($AA18=0,"",SUMIFS(calc_ep,calc_state,$A18,calc_bu,$AA$4))</f>
        <v/>
      </c>
      <c r="C18" s="167">
        <f>IF($AA18=0,"",IF($B18&gt;0,SUMIFS(calc_w_mind,calc_state,$A18,calc_bu,$AA$4)/$B18,SUMIFS(lr_mind,lr_state,$A18,lr_bu,$AA$4)/$AA18))</f>
        <v/>
      </c>
      <c r="D18" s="168">
        <f>IF($AA18=0,"",IF($B18&gt;0,SUMIFS(calc_w_m0,calc_state,$A18,calc_bu,$AA$4)/$B18,SUMIFS(lr_m0,lr_state,$A18,lr_bu,$AA$4)/$AA18))</f>
        <v/>
      </c>
      <c r="E18" s="168">
        <f>IF($AA18=0,"",IF($B18&gt;0,SUMIFS(calc_w_m1,calc_state,$A18,calc_bu,$AA$4)/$B18,SUMIFS(lr_m1,lr_state,$A18,lr_bu,$AA$4)/$AA18))</f>
        <v/>
      </c>
      <c r="F18" s="169">
        <f>IF($AB18="","",IF(COUNTIFS(rl_key,$AB18,rl_seq,1)=0,"",SUMIFS(rl_eff,rl_key,$AB18,rl_seq,1)))</f>
        <v/>
      </c>
      <c r="G18" s="170">
        <f>IF($AB18="","",IF(COUNTIFS(rl_key,$AB18,rl_seq,1)=0,"",SUMIFS(rl_reff,rl_key,$AB18,rl_seq,1)))</f>
        <v/>
      </c>
      <c r="H18" s="171">
        <f>IF($AB18="","",IF(COUNTIFS(rl_key,$AB18,rl_seq,2)=0,"",SUMIFS(rl_eff,rl_key,$AB18,rl_seq,2)))</f>
        <v/>
      </c>
      <c r="I18" s="170">
        <f>IF($AB18="","",IF(COUNTIFS(rl_key,$AB18,rl_seq,2)=0,"",SUMIFS(rl_reff,rl_key,$AB18,rl_seq,2)))</f>
        <v/>
      </c>
      <c r="J18" s="171">
        <f>IF($AB18="","",IF(COUNTIFS(rl_key,$AB18,rl_seq,3)=0,"",SUMIFS(rl_eff,rl_key,$AB18,rl_seq,3)))</f>
        <v/>
      </c>
      <c r="K18" s="170">
        <f>IF($AB18="","",IF(COUNTIFS(rl_key,$AB18,rl_seq,3)=0,"",SUMIFS(rl_reff,rl_key,$AB18,rl_seq,3)))</f>
        <v/>
      </c>
      <c r="L18" s="171">
        <f>IF($AB18="","",IF(COUNTIFS(rl_key,$AB18,rl_seq,4)=0,"",SUMIFS(rl_eff,rl_key,$AB18,rl_seq,4)))</f>
        <v/>
      </c>
      <c r="M18" s="170">
        <f>IF($AB18="","",IF(COUNTIFS(rl_key,$AB18,rl_seq,4)=0,"",SUMIFS(rl_reff,rl_key,$AB18,rl_seq,4)))</f>
        <v/>
      </c>
      <c r="N18" s="172">
        <f>IF($AA18=0,"",IF($AB18="",COUNTIFS(rl_state,$A18,rl_eff,"&lt;&gt;"),COUNTIFS(rl_key,$AB18,rl_eff,"&lt;&gt;")))</f>
        <v/>
      </c>
      <c r="O18" s="173">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68">
        <f>IF($AA18=0,"",IF($B18&gt;0,SUMIFS(calc_w_mbar,calc_state,$A18,calc_bu,$AA$4)/$B18,SUMIFS(calc_mbar_p,calc_state,$A18,calc_bu,$AA$4)/$AA18))</f>
        <v/>
      </c>
      <c r="S18" s="138">
        <f>IF($AA18=0,"",IF($B18&gt;0,SUMIFS(calc_w_amod,calc_state,$A18,calc_bu,$AA$4)/$B18,SUMIFS(calc_amod_p,calc_state,$A18,calc_bu,$AA$4)/$AA18))</f>
        <v/>
      </c>
      <c r="T18" s="174">
        <f>IF($AA18=0,"",IF($B18&gt;0,SUMIFS(calc_w_lrcur,calc_state,$A18,calc_bu,$AA$4)/$B18,SUMIFS(calc_lrcur,calc_state,$A18,calc_bu,$AA$4)/$AA18))</f>
        <v/>
      </c>
      <c r="U18" s="175">
        <f>IF($AA18=0,"",IF($B18&gt;0,SUMIFS(calc_w_cylr,calc_state,$A18,calc_bu,$AA$4)/$B18,SUMIFS(calc_cylr_p,calc_state,$A18,calc_bu,$AA$4)/$AA18))</f>
        <v/>
      </c>
      <c r="V18" s="176">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75">
        <f>IF($AA18=0,"",IF($B18&gt;0,SUMIFS(calc_w_cylr1,calc_state,$A18,calc_bu,$AA$4)/$B18,SUMIFS(calc_cylr_p1,calc_state,$A18,calc_bu,$AA$4)/$AA18))</f>
        <v/>
      </c>
      <c r="Z18" s="176">
        <f>IF($AA18=0,"",IF($AC18=0,"—",SUMIFS(calc_netx,calc_state,$A18,calc_bu,$AA$4)/$AC18))</f>
        <v/>
      </c>
      <c r="AA18" s="42">
        <f>COUNTIFS(calc_state,$A18,calc_bu,$AA$4)</f>
        <v/>
      </c>
      <c r="AB18" s="23">
        <f>IF($B$4="All","",$B$4&amp;"|"&amp;$A18)</f>
        <v/>
      </c>
      <c r="AC18" s="42">
        <f>SUMIFS(calc_netmode,calc_state,$A18,calc_bu,$AA$4)</f>
        <v/>
      </c>
    </row>
    <row r="19">
      <c r="A19" s="177">
        <f>_lists!$B$14</f>
        <v/>
      </c>
      <c r="B19" s="178">
        <f>IF($AA19=0,"",SUMIFS(calc_ep,calc_state,$A19,calc_bu,$AA$4))</f>
        <v/>
      </c>
      <c r="C19" s="179">
        <f>IF($AA19=0,"",IF($B19&gt;0,SUMIFS(calc_w_mind,calc_state,$A19,calc_bu,$AA$4)/$B19,SUMIFS(lr_mind,lr_state,$A19,lr_bu,$AA$4)/$AA19))</f>
        <v/>
      </c>
      <c r="D19" s="180">
        <f>IF($AA19=0,"",IF($B19&gt;0,SUMIFS(calc_w_m0,calc_state,$A19,calc_bu,$AA$4)/$B19,SUMIFS(lr_m0,lr_state,$A19,lr_bu,$AA$4)/$AA19))</f>
        <v/>
      </c>
      <c r="E19" s="180">
        <f>IF($AA19=0,"",IF($B19&gt;0,SUMIFS(calc_w_m1,calc_state,$A19,calc_bu,$AA$4)/$B19,SUMIFS(lr_m1,lr_state,$A19,lr_bu,$AA$4)/$AA19))</f>
        <v/>
      </c>
      <c r="F19" s="181">
        <f>IF($AB19="","",IF(COUNTIFS(rl_key,$AB19,rl_seq,1)=0,"",SUMIFS(rl_eff,rl_key,$AB19,rl_seq,1)))</f>
        <v/>
      </c>
      <c r="G19" s="182">
        <f>IF($AB19="","",IF(COUNTIFS(rl_key,$AB19,rl_seq,1)=0,"",SUMIFS(rl_reff,rl_key,$AB19,rl_seq,1)))</f>
        <v/>
      </c>
      <c r="H19" s="183">
        <f>IF($AB19="","",IF(COUNTIFS(rl_key,$AB19,rl_seq,2)=0,"",SUMIFS(rl_eff,rl_key,$AB19,rl_seq,2)))</f>
        <v/>
      </c>
      <c r="I19" s="182">
        <f>IF($AB19="","",IF(COUNTIFS(rl_key,$AB19,rl_seq,2)=0,"",SUMIFS(rl_reff,rl_key,$AB19,rl_seq,2)))</f>
        <v/>
      </c>
      <c r="J19" s="183">
        <f>IF($AB19="","",IF(COUNTIFS(rl_key,$AB19,rl_seq,3)=0,"",SUMIFS(rl_eff,rl_key,$AB19,rl_seq,3)))</f>
        <v/>
      </c>
      <c r="K19" s="182">
        <f>IF($AB19="","",IF(COUNTIFS(rl_key,$AB19,rl_seq,3)=0,"",SUMIFS(rl_reff,rl_key,$AB19,rl_seq,3)))</f>
        <v/>
      </c>
      <c r="L19" s="183">
        <f>IF($AB19="","",IF(COUNTIFS(rl_key,$AB19,rl_seq,4)=0,"",SUMIFS(rl_eff,rl_key,$AB19,rl_seq,4)))</f>
        <v/>
      </c>
      <c r="M19" s="182">
        <f>IF($AB19="","",IF(COUNTIFS(rl_key,$AB19,rl_seq,4)=0,"",SUMIFS(rl_reff,rl_key,$AB19,rl_seq,4)))</f>
        <v/>
      </c>
      <c r="N19" s="184">
        <f>IF($AA19=0,"",IF($AB19="",COUNTIFS(rl_state,$A19,rl_eff,"&lt;&gt;"),COUNTIFS(rl_key,$AB19,rl_eff,"&lt;&gt;")))</f>
        <v/>
      </c>
      <c r="O19" s="185">
        <f>IF($AA19=0,"",IF($B19&gt;0,SUMIFS(calc_w_crl,calc_state,$A19,calc_bu,$AA$4)/$B19,SUMIFS(calc_crl,calc_state,$A19,calc_bu,$AA$4)/$AA19))</f>
        <v/>
      </c>
      <c r="P19" s="186">
        <f>IF($AA19=0,"",IF($B19&gt;0,SUMIFS(calc_w_ecy,calc_state,$A19,calc_bu,$AA$4)/$B19,SUMIFS(calc_ecy_p,calc_state,$A19,calc_bu,$AA$4)/$AA19))</f>
        <v/>
      </c>
      <c r="Q19" s="186">
        <f>IF($AA19=0,"",IF($B19&gt;0,SUMIFS(calc_w_arate,calc_state,$A19,calc_bu,$AA$4)/$B19,SUMIFS(calc_arate_p,calc_state,$A19,calc_bu,$AA$4)/$AA19))</f>
        <v/>
      </c>
      <c r="R19" s="180">
        <f>IF($AA19=0,"",IF($B19&gt;0,SUMIFS(calc_w_mbar,calc_state,$A19,calc_bu,$AA$4)/$B19,SUMIFS(calc_mbar_p,calc_state,$A19,calc_bu,$AA$4)/$AA19))</f>
        <v/>
      </c>
      <c r="S19" s="186">
        <f>IF($AA19=0,"",IF($B19&gt;0,SUMIFS(calc_w_amod,calc_state,$A19,calc_bu,$AA$4)/$B19,SUMIFS(calc_amod_p,calc_state,$A19,calc_bu,$AA$4)/$AA19))</f>
        <v/>
      </c>
      <c r="T19" s="187">
        <f>IF($AA19=0,"",IF($B19&gt;0,SUMIFS(calc_w_lrcur,calc_state,$A19,calc_bu,$AA$4)/$B19,SUMIFS(calc_lrcur,calc_state,$A19,calc_bu,$AA$4)/$AA19))</f>
        <v/>
      </c>
      <c r="U19" s="142">
        <f>IF($AA19=0,"",IF($B19&gt;0,SUMIFS(calc_w_cylr,calc_state,$A19,calc_bu,$AA$4)/$B19,SUMIFS(calc_cylr_p,calc_state,$A19,calc_bu,$AA$4)/$AA19))</f>
        <v/>
      </c>
      <c r="V19" s="188">
        <f>IF($AA19=0,"",IF($B19&gt;0,SUMIFS(calc_w_trend,calc_state,$A19,calc_bu,$AA$4)/$B19,SUMIFS(calc_trend,calc_state,$A19,calc_bu,$AA$4)/$AA19))</f>
        <v/>
      </c>
      <c r="W19" s="186">
        <f>IF($AA19=0,"",IF($B19&gt;0,SUMIFS(calc_w_arate1,calc_state,$A19,calc_bu,$AA$4)/$B19,SUMIFS(calc_arate_p1,calc_state,$A19,calc_bu,$AA$4)/$AA19))</f>
        <v/>
      </c>
      <c r="X19" s="186">
        <f>IF($AA19=0,"",IF($B19&gt;0,SUMIFS(calc_w_amod1,calc_state,$A19,calc_bu,$AA$4)/$B19,SUMIFS(calc_amod_p1,calc_state,$A19,calc_bu,$AA$4)/$AA19))</f>
        <v/>
      </c>
      <c r="Y19" s="142">
        <f>IF($AA19=0,"",IF($B19&gt;0,SUMIFS(calc_w_cylr1,calc_state,$A19,calc_bu,$AA$4)/$B19,SUMIFS(calc_cylr_p1,calc_state,$A19,calc_bu,$AA$4)/$AA19))</f>
        <v/>
      </c>
      <c r="Z19" s="188">
        <f>IF($AA19=0,"",IF($AC19=0,"—",SUMIFS(calc_netx,calc_state,$A19,calc_bu,$AA$4)/$AC19))</f>
        <v/>
      </c>
      <c r="AA19" s="42">
        <f>COUNTIFS(calc_state,$A19,calc_bu,$AA$4)</f>
        <v/>
      </c>
      <c r="AB19" s="23">
        <f>IF($B$4="All","",$B$4&amp;"|"&amp;$A19)</f>
        <v/>
      </c>
      <c r="AC19" s="42">
        <f>SUMIFS(calc_netmode,calc_state,$A19,calc_bu,$AA$4)</f>
        <v/>
      </c>
    </row>
    <row r="20">
      <c r="A20" s="165">
        <f>_lists!$B$15</f>
        <v/>
      </c>
      <c r="B20" s="166">
        <f>IF($AA20=0,"",SUMIFS(calc_ep,calc_state,$A20,calc_bu,$AA$4))</f>
        <v/>
      </c>
      <c r="C20" s="167">
        <f>IF($AA20=0,"",IF($B20&gt;0,SUMIFS(calc_w_mind,calc_state,$A20,calc_bu,$AA$4)/$B20,SUMIFS(lr_mind,lr_state,$A20,lr_bu,$AA$4)/$AA20))</f>
        <v/>
      </c>
      <c r="D20" s="168">
        <f>IF($AA20=0,"",IF($B20&gt;0,SUMIFS(calc_w_m0,calc_state,$A20,calc_bu,$AA$4)/$B20,SUMIFS(lr_m0,lr_state,$A20,lr_bu,$AA$4)/$AA20))</f>
        <v/>
      </c>
      <c r="E20" s="168">
        <f>IF($AA20=0,"",IF($B20&gt;0,SUMIFS(calc_w_m1,calc_state,$A20,calc_bu,$AA$4)/$B20,SUMIFS(lr_m1,lr_state,$A20,lr_bu,$AA$4)/$AA20))</f>
        <v/>
      </c>
      <c r="F20" s="169">
        <f>IF($AB20="","",IF(COUNTIFS(rl_key,$AB20,rl_seq,1)=0,"",SUMIFS(rl_eff,rl_key,$AB20,rl_seq,1)))</f>
        <v/>
      </c>
      <c r="G20" s="170">
        <f>IF($AB20="","",IF(COUNTIFS(rl_key,$AB20,rl_seq,1)=0,"",SUMIFS(rl_reff,rl_key,$AB20,rl_seq,1)))</f>
        <v/>
      </c>
      <c r="H20" s="171">
        <f>IF($AB20="","",IF(COUNTIFS(rl_key,$AB20,rl_seq,2)=0,"",SUMIFS(rl_eff,rl_key,$AB20,rl_seq,2)))</f>
        <v/>
      </c>
      <c r="I20" s="170">
        <f>IF($AB20="","",IF(COUNTIFS(rl_key,$AB20,rl_seq,2)=0,"",SUMIFS(rl_reff,rl_key,$AB20,rl_seq,2)))</f>
        <v/>
      </c>
      <c r="J20" s="171">
        <f>IF($AB20="","",IF(COUNTIFS(rl_key,$AB20,rl_seq,3)=0,"",SUMIFS(rl_eff,rl_key,$AB20,rl_seq,3)))</f>
        <v/>
      </c>
      <c r="K20" s="170">
        <f>IF($AB20="","",IF(COUNTIFS(rl_key,$AB20,rl_seq,3)=0,"",SUMIFS(rl_reff,rl_key,$AB20,rl_seq,3)))</f>
        <v/>
      </c>
      <c r="L20" s="171">
        <f>IF($AB20="","",IF(COUNTIFS(rl_key,$AB20,rl_seq,4)=0,"",SUMIFS(rl_eff,rl_key,$AB20,rl_seq,4)))</f>
        <v/>
      </c>
      <c r="M20" s="170">
        <f>IF($AB20="","",IF(COUNTIFS(rl_key,$AB20,rl_seq,4)=0,"",SUMIFS(rl_reff,rl_key,$AB20,rl_seq,4)))</f>
        <v/>
      </c>
      <c r="N20" s="172">
        <f>IF($AA20=0,"",IF($AB20="",COUNTIFS(rl_state,$A20,rl_eff,"&lt;&gt;"),COUNTIFS(rl_key,$AB20,rl_eff,"&lt;&gt;")))</f>
        <v/>
      </c>
      <c r="O20" s="173">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68">
        <f>IF($AA20=0,"",IF($B20&gt;0,SUMIFS(calc_w_mbar,calc_state,$A20,calc_bu,$AA$4)/$B20,SUMIFS(calc_mbar_p,calc_state,$A20,calc_bu,$AA$4)/$AA20))</f>
        <v/>
      </c>
      <c r="S20" s="138">
        <f>IF($AA20=0,"",IF($B20&gt;0,SUMIFS(calc_w_amod,calc_state,$A20,calc_bu,$AA$4)/$B20,SUMIFS(calc_amod_p,calc_state,$A20,calc_bu,$AA$4)/$AA20))</f>
        <v/>
      </c>
      <c r="T20" s="174">
        <f>IF($AA20=0,"",IF($B20&gt;0,SUMIFS(calc_w_lrcur,calc_state,$A20,calc_bu,$AA$4)/$B20,SUMIFS(calc_lrcur,calc_state,$A20,calc_bu,$AA$4)/$AA20))</f>
        <v/>
      </c>
      <c r="U20" s="175">
        <f>IF($AA20=0,"",IF($B20&gt;0,SUMIFS(calc_w_cylr,calc_state,$A20,calc_bu,$AA$4)/$B20,SUMIFS(calc_cylr_p,calc_state,$A20,calc_bu,$AA$4)/$AA20))</f>
        <v/>
      </c>
      <c r="V20" s="176">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75">
        <f>IF($AA20=0,"",IF($B20&gt;0,SUMIFS(calc_w_cylr1,calc_state,$A20,calc_bu,$AA$4)/$B20,SUMIFS(calc_cylr_p1,calc_state,$A20,calc_bu,$AA$4)/$AA20))</f>
        <v/>
      </c>
      <c r="Z20" s="176">
        <f>IF($AA20=0,"",IF($AC20=0,"—",SUMIFS(calc_netx,calc_state,$A20,calc_bu,$AA$4)/$AC20))</f>
        <v/>
      </c>
      <c r="AA20" s="42">
        <f>COUNTIFS(calc_state,$A20,calc_bu,$AA$4)</f>
        <v/>
      </c>
      <c r="AB20" s="23">
        <f>IF($B$4="All","",$B$4&amp;"|"&amp;$A20)</f>
        <v/>
      </c>
      <c r="AC20" s="42">
        <f>SUMIFS(calc_netmode,calc_state,$A20,calc_bu,$AA$4)</f>
        <v/>
      </c>
    </row>
    <row r="21">
      <c r="A21" s="177">
        <f>_lists!$B$16</f>
        <v/>
      </c>
      <c r="B21" s="178">
        <f>IF($AA21=0,"",SUMIFS(calc_ep,calc_state,$A21,calc_bu,$AA$4))</f>
        <v/>
      </c>
      <c r="C21" s="179">
        <f>IF($AA21=0,"",IF($B21&gt;0,SUMIFS(calc_w_mind,calc_state,$A21,calc_bu,$AA$4)/$B21,SUMIFS(lr_mind,lr_state,$A21,lr_bu,$AA$4)/$AA21))</f>
        <v/>
      </c>
      <c r="D21" s="180">
        <f>IF($AA21=0,"",IF($B21&gt;0,SUMIFS(calc_w_m0,calc_state,$A21,calc_bu,$AA$4)/$B21,SUMIFS(lr_m0,lr_state,$A21,lr_bu,$AA$4)/$AA21))</f>
        <v/>
      </c>
      <c r="E21" s="180">
        <f>IF($AA21=0,"",IF($B21&gt;0,SUMIFS(calc_w_m1,calc_state,$A21,calc_bu,$AA$4)/$B21,SUMIFS(lr_m1,lr_state,$A21,lr_bu,$AA$4)/$AA21))</f>
        <v/>
      </c>
      <c r="F21" s="181">
        <f>IF($AB21="","",IF(COUNTIFS(rl_key,$AB21,rl_seq,1)=0,"",SUMIFS(rl_eff,rl_key,$AB21,rl_seq,1)))</f>
        <v/>
      </c>
      <c r="G21" s="182">
        <f>IF($AB21="","",IF(COUNTIFS(rl_key,$AB21,rl_seq,1)=0,"",SUMIFS(rl_reff,rl_key,$AB21,rl_seq,1)))</f>
        <v/>
      </c>
      <c r="H21" s="183">
        <f>IF($AB21="","",IF(COUNTIFS(rl_key,$AB21,rl_seq,2)=0,"",SUMIFS(rl_eff,rl_key,$AB21,rl_seq,2)))</f>
        <v/>
      </c>
      <c r="I21" s="182">
        <f>IF($AB21="","",IF(COUNTIFS(rl_key,$AB21,rl_seq,2)=0,"",SUMIFS(rl_reff,rl_key,$AB21,rl_seq,2)))</f>
        <v/>
      </c>
      <c r="J21" s="183">
        <f>IF($AB21="","",IF(COUNTIFS(rl_key,$AB21,rl_seq,3)=0,"",SUMIFS(rl_eff,rl_key,$AB21,rl_seq,3)))</f>
        <v/>
      </c>
      <c r="K21" s="182">
        <f>IF($AB21="","",IF(COUNTIFS(rl_key,$AB21,rl_seq,3)=0,"",SUMIFS(rl_reff,rl_key,$AB21,rl_seq,3)))</f>
        <v/>
      </c>
      <c r="L21" s="183">
        <f>IF($AB21="","",IF(COUNTIFS(rl_key,$AB21,rl_seq,4)=0,"",SUMIFS(rl_eff,rl_key,$AB21,rl_seq,4)))</f>
        <v/>
      </c>
      <c r="M21" s="182">
        <f>IF($AB21="","",IF(COUNTIFS(rl_key,$AB21,rl_seq,4)=0,"",SUMIFS(rl_reff,rl_key,$AB21,rl_seq,4)))</f>
        <v/>
      </c>
      <c r="N21" s="184">
        <f>IF($AA21=0,"",IF($AB21="",COUNTIFS(rl_state,$A21,rl_eff,"&lt;&gt;"),COUNTIFS(rl_key,$AB21,rl_eff,"&lt;&gt;")))</f>
        <v/>
      </c>
      <c r="O21" s="185">
        <f>IF($AA21=0,"",IF($B21&gt;0,SUMIFS(calc_w_crl,calc_state,$A21,calc_bu,$AA$4)/$B21,SUMIFS(calc_crl,calc_state,$A21,calc_bu,$AA$4)/$AA21))</f>
        <v/>
      </c>
      <c r="P21" s="186">
        <f>IF($AA21=0,"",IF($B21&gt;0,SUMIFS(calc_w_ecy,calc_state,$A21,calc_bu,$AA$4)/$B21,SUMIFS(calc_ecy_p,calc_state,$A21,calc_bu,$AA$4)/$AA21))</f>
        <v/>
      </c>
      <c r="Q21" s="186">
        <f>IF($AA21=0,"",IF($B21&gt;0,SUMIFS(calc_w_arate,calc_state,$A21,calc_bu,$AA$4)/$B21,SUMIFS(calc_arate_p,calc_state,$A21,calc_bu,$AA$4)/$AA21))</f>
        <v/>
      </c>
      <c r="R21" s="180">
        <f>IF($AA21=0,"",IF($B21&gt;0,SUMIFS(calc_w_mbar,calc_state,$A21,calc_bu,$AA$4)/$B21,SUMIFS(calc_mbar_p,calc_state,$A21,calc_bu,$AA$4)/$AA21))</f>
        <v/>
      </c>
      <c r="S21" s="186">
        <f>IF($AA21=0,"",IF($B21&gt;0,SUMIFS(calc_w_amod,calc_state,$A21,calc_bu,$AA$4)/$B21,SUMIFS(calc_amod_p,calc_state,$A21,calc_bu,$AA$4)/$AA21))</f>
        <v/>
      </c>
      <c r="T21" s="187">
        <f>IF($AA21=0,"",IF($B21&gt;0,SUMIFS(calc_w_lrcur,calc_state,$A21,calc_bu,$AA$4)/$B21,SUMIFS(calc_lrcur,calc_state,$A21,calc_bu,$AA$4)/$AA21))</f>
        <v/>
      </c>
      <c r="U21" s="142">
        <f>IF($AA21=0,"",IF($B21&gt;0,SUMIFS(calc_w_cylr,calc_state,$A21,calc_bu,$AA$4)/$B21,SUMIFS(calc_cylr_p,calc_state,$A21,calc_bu,$AA$4)/$AA21))</f>
        <v/>
      </c>
      <c r="V21" s="188">
        <f>IF($AA21=0,"",IF($B21&gt;0,SUMIFS(calc_w_trend,calc_state,$A21,calc_bu,$AA$4)/$B21,SUMIFS(calc_trend,calc_state,$A21,calc_bu,$AA$4)/$AA21))</f>
        <v/>
      </c>
      <c r="W21" s="186">
        <f>IF($AA21=0,"",IF($B21&gt;0,SUMIFS(calc_w_arate1,calc_state,$A21,calc_bu,$AA$4)/$B21,SUMIFS(calc_arate_p1,calc_state,$A21,calc_bu,$AA$4)/$AA21))</f>
        <v/>
      </c>
      <c r="X21" s="186">
        <f>IF($AA21=0,"",IF($B21&gt;0,SUMIFS(calc_w_amod1,calc_state,$A21,calc_bu,$AA$4)/$B21,SUMIFS(calc_amod_p1,calc_state,$A21,calc_bu,$AA$4)/$AA21))</f>
        <v/>
      </c>
      <c r="Y21" s="142">
        <f>IF($AA21=0,"",IF($B21&gt;0,SUMIFS(calc_w_cylr1,calc_state,$A21,calc_bu,$AA$4)/$B21,SUMIFS(calc_cylr_p1,calc_state,$A21,calc_bu,$AA$4)/$AA21))</f>
        <v/>
      </c>
      <c r="Z21" s="188">
        <f>IF($AA21=0,"",IF($AC21=0,"—",SUMIFS(calc_netx,calc_state,$A21,calc_bu,$AA$4)/$AC21))</f>
        <v/>
      </c>
      <c r="AA21" s="42">
        <f>COUNTIFS(calc_state,$A21,calc_bu,$AA$4)</f>
        <v/>
      </c>
      <c r="AB21" s="23">
        <f>IF($B$4="All","",$B$4&amp;"|"&amp;$A21)</f>
        <v/>
      </c>
      <c r="AC21" s="42">
        <f>SUMIFS(calc_netmode,calc_state,$A21,calc_bu,$AA$4)</f>
        <v/>
      </c>
    </row>
    <row r="22">
      <c r="A22" s="165">
        <f>_lists!$B$17</f>
        <v/>
      </c>
      <c r="B22" s="166">
        <f>IF($AA22=0,"",SUMIFS(calc_ep,calc_state,$A22,calc_bu,$AA$4))</f>
        <v/>
      </c>
      <c r="C22" s="167">
        <f>IF($AA22=0,"",IF($B22&gt;0,SUMIFS(calc_w_mind,calc_state,$A22,calc_bu,$AA$4)/$B22,SUMIFS(lr_mind,lr_state,$A22,lr_bu,$AA$4)/$AA22))</f>
        <v/>
      </c>
      <c r="D22" s="168">
        <f>IF($AA22=0,"",IF($B22&gt;0,SUMIFS(calc_w_m0,calc_state,$A22,calc_bu,$AA$4)/$B22,SUMIFS(lr_m0,lr_state,$A22,lr_bu,$AA$4)/$AA22))</f>
        <v/>
      </c>
      <c r="E22" s="168">
        <f>IF($AA22=0,"",IF($B22&gt;0,SUMIFS(calc_w_m1,calc_state,$A22,calc_bu,$AA$4)/$B22,SUMIFS(lr_m1,lr_state,$A22,lr_bu,$AA$4)/$AA22))</f>
        <v/>
      </c>
      <c r="F22" s="169">
        <f>IF($AB22="","",IF(COUNTIFS(rl_key,$AB22,rl_seq,1)=0,"",SUMIFS(rl_eff,rl_key,$AB22,rl_seq,1)))</f>
        <v/>
      </c>
      <c r="G22" s="170">
        <f>IF($AB22="","",IF(COUNTIFS(rl_key,$AB22,rl_seq,1)=0,"",SUMIFS(rl_reff,rl_key,$AB22,rl_seq,1)))</f>
        <v/>
      </c>
      <c r="H22" s="171">
        <f>IF($AB22="","",IF(COUNTIFS(rl_key,$AB22,rl_seq,2)=0,"",SUMIFS(rl_eff,rl_key,$AB22,rl_seq,2)))</f>
        <v/>
      </c>
      <c r="I22" s="170">
        <f>IF($AB22="","",IF(COUNTIFS(rl_key,$AB22,rl_seq,2)=0,"",SUMIFS(rl_reff,rl_key,$AB22,rl_seq,2)))</f>
        <v/>
      </c>
      <c r="J22" s="171">
        <f>IF($AB22="","",IF(COUNTIFS(rl_key,$AB22,rl_seq,3)=0,"",SUMIFS(rl_eff,rl_key,$AB22,rl_seq,3)))</f>
        <v/>
      </c>
      <c r="K22" s="170">
        <f>IF($AB22="","",IF(COUNTIFS(rl_key,$AB22,rl_seq,3)=0,"",SUMIFS(rl_reff,rl_key,$AB22,rl_seq,3)))</f>
        <v/>
      </c>
      <c r="L22" s="171">
        <f>IF($AB22="","",IF(COUNTIFS(rl_key,$AB22,rl_seq,4)=0,"",SUMIFS(rl_eff,rl_key,$AB22,rl_seq,4)))</f>
        <v/>
      </c>
      <c r="M22" s="170">
        <f>IF($AB22="","",IF(COUNTIFS(rl_key,$AB22,rl_seq,4)=0,"",SUMIFS(rl_reff,rl_key,$AB22,rl_seq,4)))</f>
        <v/>
      </c>
      <c r="N22" s="172">
        <f>IF($AA22=0,"",IF($AB22="",COUNTIFS(rl_state,$A22,rl_eff,"&lt;&gt;"),COUNTIFS(rl_key,$AB22,rl_eff,"&lt;&gt;")))</f>
        <v/>
      </c>
      <c r="O22" s="173">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68">
        <f>IF($AA22=0,"",IF($B22&gt;0,SUMIFS(calc_w_mbar,calc_state,$A22,calc_bu,$AA$4)/$B22,SUMIFS(calc_mbar_p,calc_state,$A22,calc_bu,$AA$4)/$AA22))</f>
        <v/>
      </c>
      <c r="S22" s="138">
        <f>IF($AA22=0,"",IF($B22&gt;0,SUMIFS(calc_w_amod,calc_state,$A22,calc_bu,$AA$4)/$B22,SUMIFS(calc_amod_p,calc_state,$A22,calc_bu,$AA$4)/$AA22))</f>
        <v/>
      </c>
      <c r="T22" s="174">
        <f>IF($AA22=0,"",IF($B22&gt;0,SUMIFS(calc_w_lrcur,calc_state,$A22,calc_bu,$AA$4)/$B22,SUMIFS(calc_lrcur,calc_state,$A22,calc_bu,$AA$4)/$AA22))</f>
        <v/>
      </c>
      <c r="U22" s="175">
        <f>IF($AA22=0,"",IF($B22&gt;0,SUMIFS(calc_w_cylr,calc_state,$A22,calc_bu,$AA$4)/$B22,SUMIFS(calc_cylr_p,calc_state,$A22,calc_bu,$AA$4)/$AA22))</f>
        <v/>
      </c>
      <c r="V22" s="176">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75">
        <f>IF($AA22=0,"",IF($B22&gt;0,SUMIFS(calc_w_cylr1,calc_state,$A22,calc_bu,$AA$4)/$B22,SUMIFS(calc_cylr_p1,calc_state,$A22,calc_bu,$AA$4)/$AA22))</f>
        <v/>
      </c>
      <c r="Z22" s="176">
        <f>IF($AA22=0,"",IF($AC22=0,"—",SUMIFS(calc_netx,calc_state,$A22,calc_bu,$AA$4)/$AC22))</f>
        <v/>
      </c>
      <c r="AA22" s="42">
        <f>COUNTIFS(calc_state,$A22,calc_bu,$AA$4)</f>
        <v/>
      </c>
      <c r="AB22" s="23">
        <f>IF($B$4="All","",$B$4&amp;"|"&amp;$A22)</f>
        <v/>
      </c>
      <c r="AC22" s="42">
        <f>SUMIFS(calc_netmode,calc_state,$A22,calc_bu,$AA$4)</f>
        <v/>
      </c>
    </row>
    <row r="23">
      <c r="A23" s="177">
        <f>_lists!$B$18</f>
        <v/>
      </c>
      <c r="B23" s="178">
        <f>IF($AA23=0,"",SUMIFS(calc_ep,calc_state,$A23,calc_bu,$AA$4))</f>
        <v/>
      </c>
      <c r="C23" s="179">
        <f>IF($AA23=0,"",IF($B23&gt;0,SUMIFS(calc_w_mind,calc_state,$A23,calc_bu,$AA$4)/$B23,SUMIFS(lr_mind,lr_state,$A23,lr_bu,$AA$4)/$AA23))</f>
        <v/>
      </c>
      <c r="D23" s="180">
        <f>IF($AA23=0,"",IF($B23&gt;0,SUMIFS(calc_w_m0,calc_state,$A23,calc_bu,$AA$4)/$B23,SUMIFS(lr_m0,lr_state,$A23,lr_bu,$AA$4)/$AA23))</f>
        <v/>
      </c>
      <c r="E23" s="180">
        <f>IF($AA23=0,"",IF($B23&gt;0,SUMIFS(calc_w_m1,calc_state,$A23,calc_bu,$AA$4)/$B23,SUMIFS(lr_m1,lr_state,$A23,lr_bu,$AA$4)/$AA23))</f>
        <v/>
      </c>
      <c r="F23" s="181">
        <f>IF($AB23="","",IF(COUNTIFS(rl_key,$AB23,rl_seq,1)=0,"",SUMIFS(rl_eff,rl_key,$AB23,rl_seq,1)))</f>
        <v/>
      </c>
      <c r="G23" s="182">
        <f>IF($AB23="","",IF(COUNTIFS(rl_key,$AB23,rl_seq,1)=0,"",SUMIFS(rl_reff,rl_key,$AB23,rl_seq,1)))</f>
        <v/>
      </c>
      <c r="H23" s="183">
        <f>IF($AB23="","",IF(COUNTIFS(rl_key,$AB23,rl_seq,2)=0,"",SUMIFS(rl_eff,rl_key,$AB23,rl_seq,2)))</f>
        <v/>
      </c>
      <c r="I23" s="182">
        <f>IF($AB23="","",IF(COUNTIFS(rl_key,$AB23,rl_seq,2)=0,"",SUMIFS(rl_reff,rl_key,$AB23,rl_seq,2)))</f>
        <v/>
      </c>
      <c r="J23" s="183">
        <f>IF($AB23="","",IF(COUNTIFS(rl_key,$AB23,rl_seq,3)=0,"",SUMIFS(rl_eff,rl_key,$AB23,rl_seq,3)))</f>
        <v/>
      </c>
      <c r="K23" s="182">
        <f>IF($AB23="","",IF(COUNTIFS(rl_key,$AB23,rl_seq,3)=0,"",SUMIFS(rl_reff,rl_key,$AB23,rl_seq,3)))</f>
        <v/>
      </c>
      <c r="L23" s="183">
        <f>IF($AB23="","",IF(COUNTIFS(rl_key,$AB23,rl_seq,4)=0,"",SUMIFS(rl_eff,rl_key,$AB23,rl_seq,4)))</f>
        <v/>
      </c>
      <c r="M23" s="182">
        <f>IF($AB23="","",IF(COUNTIFS(rl_key,$AB23,rl_seq,4)=0,"",SUMIFS(rl_reff,rl_key,$AB23,rl_seq,4)))</f>
        <v/>
      </c>
      <c r="N23" s="184">
        <f>IF($AA23=0,"",IF($AB23="",COUNTIFS(rl_state,$A23,rl_eff,"&lt;&gt;"),COUNTIFS(rl_key,$AB23,rl_eff,"&lt;&gt;")))</f>
        <v/>
      </c>
      <c r="O23" s="185">
        <f>IF($AA23=0,"",IF($B23&gt;0,SUMIFS(calc_w_crl,calc_state,$A23,calc_bu,$AA$4)/$B23,SUMIFS(calc_crl,calc_state,$A23,calc_bu,$AA$4)/$AA23))</f>
        <v/>
      </c>
      <c r="P23" s="186">
        <f>IF($AA23=0,"",IF($B23&gt;0,SUMIFS(calc_w_ecy,calc_state,$A23,calc_bu,$AA$4)/$B23,SUMIFS(calc_ecy_p,calc_state,$A23,calc_bu,$AA$4)/$AA23))</f>
        <v/>
      </c>
      <c r="Q23" s="186">
        <f>IF($AA23=0,"",IF($B23&gt;0,SUMIFS(calc_w_arate,calc_state,$A23,calc_bu,$AA$4)/$B23,SUMIFS(calc_arate_p,calc_state,$A23,calc_bu,$AA$4)/$AA23))</f>
        <v/>
      </c>
      <c r="R23" s="180">
        <f>IF($AA23=0,"",IF($B23&gt;0,SUMIFS(calc_w_mbar,calc_state,$A23,calc_bu,$AA$4)/$B23,SUMIFS(calc_mbar_p,calc_state,$A23,calc_bu,$AA$4)/$AA23))</f>
        <v/>
      </c>
      <c r="S23" s="186">
        <f>IF($AA23=0,"",IF($B23&gt;0,SUMIFS(calc_w_amod,calc_state,$A23,calc_bu,$AA$4)/$B23,SUMIFS(calc_amod_p,calc_state,$A23,calc_bu,$AA$4)/$AA23))</f>
        <v/>
      </c>
      <c r="T23" s="187">
        <f>IF($AA23=0,"",IF($B23&gt;0,SUMIFS(calc_w_lrcur,calc_state,$A23,calc_bu,$AA$4)/$B23,SUMIFS(calc_lrcur,calc_state,$A23,calc_bu,$AA$4)/$AA23))</f>
        <v/>
      </c>
      <c r="U23" s="142">
        <f>IF($AA23=0,"",IF($B23&gt;0,SUMIFS(calc_w_cylr,calc_state,$A23,calc_bu,$AA$4)/$B23,SUMIFS(calc_cylr_p,calc_state,$A23,calc_bu,$AA$4)/$AA23))</f>
        <v/>
      </c>
      <c r="V23" s="188">
        <f>IF($AA23=0,"",IF($B23&gt;0,SUMIFS(calc_w_trend,calc_state,$A23,calc_bu,$AA$4)/$B23,SUMIFS(calc_trend,calc_state,$A23,calc_bu,$AA$4)/$AA23))</f>
        <v/>
      </c>
      <c r="W23" s="186">
        <f>IF($AA23=0,"",IF($B23&gt;0,SUMIFS(calc_w_arate1,calc_state,$A23,calc_bu,$AA$4)/$B23,SUMIFS(calc_arate_p1,calc_state,$A23,calc_bu,$AA$4)/$AA23))</f>
        <v/>
      </c>
      <c r="X23" s="186">
        <f>IF($AA23=0,"",IF($B23&gt;0,SUMIFS(calc_w_amod1,calc_state,$A23,calc_bu,$AA$4)/$B23,SUMIFS(calc_amod_p1,calc_state,$A23,calc_bu,$AA$4)/$AA23))</f>
        <v/>
      </c>
      <c r="Y23" s="142">
        <f>IF($AA23=0,"",IF($B23&gt;0,SUMIFS(calc_w_cylr1,calc_state,$A23,calc_bu,$AA$4)/$B23,SUMIFS(calc_cylr_p1,calc_state,$A23,calc_bu,$AA$4)/$AA23))</f>
        <v/>
      </c>
      <c r="Z23" s="188">
        <f>IF($AA23=0,"",IF($AC23=0,"—",SUMIFS(calc_netx,calc_state,$A23,calc_bu,$AA$4)/$AC23))</f>
        <v/>
      </c>
      <c r="AA23" s="42">
        <f>COUNTIFS(calc_state,$A23,calc_bu,$AA$4)</f>
        <v/>
      </c>
      <c r="AB23" s="23">
        <f>IF($B$4="All","",$B$4&amp;"|"&amp;$A23)</f>
        <v/>
      </c>
      <c r="AC23" s="42">
        <f>SUMIFS(calc_netmode,calc_state,$A23,calc_bu,$AA$4)</f>
        <v/>
      </c>
    </row>
    <row r="24">
      <c r="A24" s="165">
        <f>_lists!$B$19</f>
        <v/>
      </c>
      <c r="B24" s="166">
        <f>IF($AA24=0,"",SUMIFS(calc_ep,calc_state,$A24,calc_bu,$AA$4))</f>
        <v/>
      </c>
      <c r="C24" s="167">
        <f>IF($AA24=0,"",IF($B24&gt;0,SUMIFS(calc_w_mind,calc_state,$A24,calc_bu,$AA$4)/$B24,SUMIFS(lr_mind,lr_state,$A24,lr_bu,$AA$4)/$AA24))</f>
        <v/>
      </c>
      <c r="D24" s="168">
        <f>IF($AA24=0,"",IF($B24&gt;0,SUMIFS(calc_w_m0,calc_state,$A24,calc_bu,$AA$4)/$B24,SUMIFS(lr_m0,lr_state,$A24,lr_bu,$AA$4)/$AA24))</f>
        <v/>
      </c>
      <c r="E24" s="168">
        <f>IF($AA24=0,"",IF($B24&gt;0,SUMIFS(calc_w_m1,calc_state,$A24,calc_bu,$AA$4)/$B24,SUMIFS(lr_m1,lr_state,$A24,lr_bu,$AA$4)/$AA24))</f>
        <v/>
      </c>
      <c r="F24" s="169">
        <f>IF($AB24="","",IF(COUNTIFS(rl_key,$AB24,rl_seq,1)=0,"",SUMIFS(rl_eff,rl_key,$AB24,rl_seq,1)))</f>
        <v/>
      </c>
      <c r="G24" s="170">
        <f>IF($AB24="","",IF(COUNTIFS(rl_key,$AB24,rl_seq,1)=0,"",SUMIFS(rl_reff,rl_key,$AB24,rl_seq,1)))</f>
        <v/>
      </c>
      <c r="H24" s="171">
        <f>IF($AB24="","",IF(COUNTIFS(rl_key,$AB24,rl_seq,2)=0,"",SUMIFS(rl_eff,rl_key,$AB24,rl_seq,2)))</f>
        <v/>
      </c>
      <c r="I24" s="170">
        <f>IF($AB24="","",IF(COUNTIFS(rl_key,$AB24,rl_seq,2)=0,"",SUMIFS(rl_reff,rl_key,$AB24,rl_seq,2)))</f>
        <v/>
      </c>
      <c r="J24" s="171">
        <f>IF($AB24="","",IF(COUNTIFS(rl_key,$AB24,rl_seq,3)=0,"",SUMIFS(rl_eff,rl_key,$AB24,rl_seq,3)))</f>
        <v/>
      </c>
      <c r="K24" s="170">
        <f>IF($AB24="","",IF(COUNTIFS(rl_key,$AB24,rl_seq,3)=0,"",SUMIFS(rl_reff,rl_key,$AB24,rl_seq,3)))</f>
        <v/>
      </c>
      <c r="L24" s="171">
        <f>IF($AB24="","",IF(COUNTIFS(rl_key,$AB24,rl_seq,4)=0,"",SUMIFS(rl_eff,rl_key,$AB24,rl_seq,4)))</f>
        <v/>
      </c>
      <c r="M24" s="170">
        <f>IF($AB24="","",IF(COUNTIFS(rl_key,$AB24,rl_seq,4)=0,"",SUMIFS(rl_reff,rl_key,$AB24,rl_seq,4)))</f>
        <v/>
      </c>
      <c r="N24" s="172">
        <f>IF($AA24=0,"",IF($AB24="",COUNTIFS(rl_state,$A24,rl_eff,"&lt;&gt;"),COUNTIFS(rl_key,$AB24,rl_eff,"&lt;&gt;")))</f>
        <v/>
      </c>
      <c r="O24" s="173">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68">
        <f>IF($AA24=0,"",IF($B24&gt;0,SUMIFS(calc_w_mbar,calc_state,$A24,calc_bu,$AA$4)/$B24,SUMIFS(calc_mbar_p,calc_state,$A24,calc_bu,$AA$4)/$AA24))</f>
        <v/>
      </c>
      <c r="S24" s="138">
        <f>IF($AA24=0,"",IF($B24&gt;0,SUMIFS(calc_w_amod,calc_state,$A24,calc_bu,$AA$4)/$B24,SUMIFS(calc_amod_p,calc_state,$A24,calc_bu,$AA$4)/$AA24))</f>
        <v/>
      </c>
      <c r="T24" s="174">
        <f>IF($AA24=0,"",IF($B24&gt;0,SUMIFS(calc_w_lrcur,calc_state,$A24,calc_bu,$AA$4)/$B24,SUMIFS(calc_lrcur,calc_state,$A24,calc_bu,$AA$4)/$AA24))</f>
        <v/>
      </c>
      <c r="U24" s="175">
        <f>IF($AA24=0,"",IF($B24&gt;0,SUMIFS(calc_w_cylr,calc_state,$A24,calc_bu,$AA$4)/$B24,SUMIFS(calc_cylr_p,calc_state,$A24,calc_bu,$AA$4)/$AA24))</f>
        <v/>
      </c>
      <c r="V24" s="176">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75">
        <f>IF($AA24=0,"",IF($B24&gt;0,SUMIFS(calc_w_cylr1,calc_state,$A24,calc_bu,$AA$4)/$B24,SUMIFS(calc_cylr_p1,calc_state,$A24,calc_bu,$AA$4)/$AA24))</f>
        <v/>
      </c>
      <c r="Z24" s="176">
        <f>IF($AA24=0,"",IF($AC24=0,"—",SUMIFS(calc_netx,calc_state,$A24,calc_bu,$AA$4)/$AC24))</f>
        <v/>
      </c>
      <c r="AA24" s="42">
        <f>COUNTIFS(calc_state,$A24,calc_bu,$AA$4)</f>
        <v/>
      </c>
      <c r="AB24" s="23">
        <f>IF($B$4="All","",$B$4&amp;"|"&amp;$A24)</f>
        <v/>
      </c>
      <c r="AC24" s="42">
        <f>SUMIFS(calc_netmode,calc_state,$A24,calc_bu,$AA$4)</f>
        <v/>
      </c>
    </row>
    <row r="25">
      <c r="A25" s="177">
        <f>_lists!$B$20</f>
        <v/>
      </c>
      <c r="B25" s="178">
        <f>IF($AA25=0,"",SUMIFS(calc_ep,calc_state,$A25,calc_bu,$AA$4))</f>
        <v/>
      </c>
      <c r="C25" s="179">
        <f>IF($AA25=0,"",IF($B25&gt;0,SUMIFS(calc_w_mind,calc_state,$A25,calc_bu,$AA$4)/$B25,SUMIFS(lr_mind,lr_state,$A25,lr_bu,$AA$4)/$AA25))</f>
        <v/>
      </c>
      <c r="D25" s="180">
        <f>IF($AA25=0,"",IF($B25&gt;0,SUMIFS(calc_w_m0,calc_state,$A25,calc_bu,$AA$4)/$B25,SUMIFS(lr_m0,lr_state,$A25,lr_bu,$AA$4)/$AA25))</f>
        <v/>
      </c>
      <c r="E25" s="180">
        <f>IF($AA25=0,"",IF($B25&gt;0,SUMIFS(calc_w_m1,calc_state,$A25,calc_bu,$AA$4)/$B25,SUMIFS(lr_m1,lr_state,$A25,lr_bu,$AA$4)/$AA25))</f>
        <v/>
      </c>
      <c r="F25" s="181">
        <f>IF($AB25="","",IF(COUNTIFS(rl_key,$AB25,rl_seq,1)=0,"",SUMIFS(rl_eff,rl_key,$AB25,rl_seq,1)))</f>
        <v/>
      </c>
      <c r="G25" s="182">
        <f>IF($AB25="","",IF(COUNTIFS(rl_key,$AB25,rl_seq,1)=0,"",SUMIFS(rl_reff,rl_key,$AB25,rl_seq,1)))</f>
        <v/>
      </c>
      <c r="H25" s="183">
        <f>IF($AB25="","",IF(COUNTIFS(rl_key,$AB25,rl_seq,2)=0,"",SUMIFS(rl_eff,rl_key,$AB25,rl_seq,2)))</f>
        <v/>
      </c>
      <c r="I25" s="182">
        <f>IF($AB25="","",IF(COUNTIFS(rl_key,$AB25,rl_seq,2)=0,"",SUMIFS(rl_reff,rl_key,$AB25,rl_seq,2)))</f>
        <v/>
      </c>
      <c r="J25" s="183">
        <f>IF($AB25="","",IF(COUNTIFS(rl_key,$AB25,rl_seq,3)=0,"",SUMIFS(rl_eff,rl_key,$AB25,rl_seq,3)))</f>
        <v/>
      </c>
      <c r="K25" s="182">
        <f>IF($AB25="","",IF(COUNTIFS(rl_key,$AB25,rl_seq,3)=0,"",SUMIFS(rl_reff,rl_key,$AB25,rl_seq,3)))</f>
        <v/>
      </c>
      <c r="L25" s="183">
        <f>IF($AB25="","",IF(COUNTIFS(rl_key,$AB25,rl_seq,4)=0,"",SUMIFS(rl_eff,rl_key,$AB25,rl_seq,4)))</f>
        <v/>
      </c>
      <c r="M25" s="182">
        <f>IF($AB25="","",IF(COUNTIFS(rl_key,$AB25,rl_seq,4)=0,"",SUMIFS(rl_reff,rl_key,$AB25,rl_seq,4)))</f>
        <v/>
      </c>
      <c r="N25" s="184">
        <f>IF($AA25=0,"",IF($AB25="",COUNTIFS(rl_state,$A25,rl_eff,"&lt;&gt;"),COUNTIFS(rl_key,$AB25,rl_eff,"&lt;&gt;")))</f>
        <v/>
      </c>
      <c r="O25" s="185">
        <f>IF($AA25=0,"",IF($B25&gt;0,SUMIFS(calc_w_crl,calc_state,$A25,calc_bu,$AA$4)/$B25,SUMIFS(calc_crl,calc_state,$A25,calc_bu,$AA$4)/$AA25))</f>
        <v/>
      </c>
      <c r="P25" s="186">
        <f>IF($AA25=0,"",IF($B25&gt;0,SUMIFS(calc_w_ecy,calc_state,$A25,calc_bu,$AA$4)/$B25,SUMIFS(calc_ecy_p,calc_state,$A25,calc_bu,$AA$4)/$AA25))</f>
        <v/>
      </c>
      <c r="Q25" s="186">
        <f>IF($AA25=0,"",IF($B25&gt;0,SUMIFS(calc_w_arate,calc_state,$A25,calc_bu,$AA$4)/$B25,SUMIFS(calc_arate_p,calc_state,$A25,calc_bu,$AA$4)/$AA25))</f>
        <v/>
      </c>
      <c r="R25" s="180">
        <f>IF($AA25=0,"",IF($B25&gt;0,SUMIFS(calc_w_mbar,calc_state,$A25,calc_bu,$AA$4)/$B25,SUMIFS(calc_mbar_p,calc_state,$A25,calc_bu,$AA$4)/$AA25))</f>
        <v/>
      </c>
      <c r="S25" s="186">
        <f>IF($AA25=0,"",IF($B25&gt;0,SUMIFS(calc_w_amod,calc_state,$A25,calc_bu,$AA$4)/$B25,SUMIFS(calc_amod_p,calc_state,$A25,calc_bu,$AA$4)/$AA25))</f>
        <v/>
      </c>
      <c r="T25" s="187">
        <f>IF($AA25=0,"",IF($B25&gt;0,SUMIFS(calc_w_lrcur,calc_state,$A25,calc_bu,$AA$4)/$B25,SUMIFS(calc_lrcur,calc_state,$A25,calc_bu,$AA$4)/$AA25))</f>
        <v/>
      </c>
      <c r="U25" s="142">
        <f>IF($AA25=0,"",IF($B25&gt;0,SUMIFS(calc_w_cylr,calc_state,$A25,calc_bu,$AA$4)/$B25,SUMIFS(calc_cylr_p,calc_state,$A25,calc_bu,$AA$4)/$AA25))</f>
        <v/>
      </c>
      <c r="V25" s="188">
        <f>IF($AA25=0,"",IF($B25&gt;0,SUMIFS(calc_w_trend,calc_state,$A25,calc_bu,$AA$4)/$B25,SUMIFS(calc_trend,calc_state,$A25,calc_bu,$AA$4)/$AA25))</f>
        <v/>
      </c>
      <c r="W25" s="186">
        <f>IF($AA25=0,"",IF($B25&gt;0,SUMIFS(calc_w_arate1,calc_state,$A25,calc_bu,$AA$4)/$B25,SUMIFS(calc_arate_p1,calc_state,$A25,calc_bu,$AA$4)/$AA25))</f>
        <v/>
      </c>
      <c r="X25" s="186">
        <f>IF($AA25=0,"",IF($B25&gt;0,SUMIFS(calc_w_amod1,calc_state,$A25,calc_bu,$AA$4)/$B25,SUMIFS(calc_amod_p1,calc_state,$A25,calc_bu,$AA$4)/$AA25))</f>
        <v/>
      </c>
      <c r="Y25" s="142">
        <f>IF($AA25=0,"",IF($B25&gt;0,SUMIFS(calc_w_cylr1,calc_state,$A25,calc_bu,$AA$4)/$B25,SUMIFS(calc_cylr_p1,calc_state,$A25,calc_bu,$AA$4)/$AA25))</f>
        <v/>
      </c>
      <c r="Z25" s="188">
        <f>IF($AA25=0,"",IF($AC25=0,"—",SUMIFS(calc_netx,calc_state,$A25,calc_bu,$AA$4)/$AC25))</f>
        <v/>
      </c>
      <c r="AA25" s="42">
        <f>COUNTIFS(calc_state,$A25,calc_bu,$AA$4)</f>
        <v/>
      </c>
      <c r="AB25" s="23">
        <f>IF($B$4="All","",$B$4&amp;"|"&amp;$A25)</f>
        <v/>
      </c>
      <c r="AC25" s="42">
        <f>SUMIFS(calc_netmode,calc_state,$A25,calc_bu,$AA$4)</f>
        <v/>
      </c>
    </row>
    <row r="26">
      <c r="A26" s="165">
        <f>_lists!$B$21</f>
        <v/>
      </c>
      <c r="B26" s="166">
        <f>IF($AA26=0,"",SUMIFS(calc_ep,calc_state,$A26,calc_bu,$AA$4))</f>
        <v/>
      </c>
      <c r="C26" s="167">
        <f>IF($AA26=0,"",IF($B26&gt;0,SUMIFS(calc_w_mind,calc_state,$A26,calc_bu,$AA$4)/$B26,SUMIFS(lr_mind,lr_state,$A26,lr_bu,$AA$4)/$AA26))</f>
        <v/>
      </c>
      <c r="D26" s="168">
        <f>IF($AA26=0,"",IF($B26&gt;0,SUMIFS(calc_w_m0,calc_state,$A26,calc_bu,$AA$4)/$B26,SUMIFS(lr_m0,lr_state,$A26,lr_bu,$AA$4)/$AA26))</f>
        <v/>
      </c>
      <c r="E26" s="168">
        <f>IF($AA26=0,"",IF($B26&gt;0,SUMIFS(calc_w_m1,calc_state,$A26,calc_bu,$AA$4)/$B26,SUMIFS(lr_m1,lr_state,$A26,lr_bu,$AA$4)/$AA26))</f>
        <v/>
      </c>
      <c r="F26" s="169">
        <f>IF($AB26="","",IF(COUNTIFS(rl_key,$AB26,rl_seq,1)=0,"",SUMIFS(rl_eff,rl_key,$AB26,rl_seq,1)))</f>
        <v/>
      </c>
      <c r="G26" s="170">
        <f>IF($AB26="","",IF(COUNTIFS(rl_key,$AB26,rl_seq,1)=0,"",SUMIFS(rl_reff,rl_key,$AB26,rl_seq,1)))</f>
        <v/>
      </c>
      <c r="H26" s="171">
        <f>IF($AB26="","",IF(COUNTIFS(rl_key,$AB26,rl_seq,2)=0,"",SUMIFS(rl_eff,rl_key,$AB26,rl_seq,2)))</f>
        <v/>
      </c>
      <c r="I26" s="170">
        <f>IF($AB26="","",IF(COUNTIFS(rl_key,$AB26,rl_seq,2)=0,"",SUMIFS(rl_reff,rl_key,$AB26,rl_seq,2)))</f>
        <v/>
      </c>
      <c r="J26" s="171">
        <f>IF($AB26="","",IF(COUNTIFS(rl_key,$AB26,rl_seq,3)=0,"",SUMIFS(rl_eff,rl_key,$AB26,rl_seq,3)))</f>
        <v/>
      </c>
      <c r="K26" s="170">
        <f>IF($AB26="","",IF(COUNTIFS(rl_key,$AB26,rl_seq,3)=0,"",SUMIFS(rl_reff,rl_key,$AB26,rl_seq,3)))</f>
        <v/>
      </c>
      <c r="L26" s="171">
        <f>IF($AB26="","",IF(COUNTIFS(rl_key,$AB26,rl_seq,4)=0,"",SUMIFS(rl_eff,rl_key,$AB26,rl_seq,4)))</f>
        <v/>
      </c>
      <c r="M26" s="170">
        <f>IF($AB26="","",IF(COUNTIFS(rl_key,$AB26,rl_seq,4)=0,"",SUMIFS(rl_reff,rl_key,$AB26,rl_seq,4)))</f>
        <v/>
      </c>
      <c r="N26" s="172">
        <f>IF($AA26=0,"",IF($AB26="",COUNTIFS(rl_state,$A26,rl_eff,"&lt;&gt;"),COUNTIFS(rl_key,$AB26,rl_eff,"&lt;&gt;")))</f>
        <v/>
      </c>
      <c r="O26" s="173">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68">
        <f>IF($AA26=0,"",IF($B26&gt;0,SUMIFS(calc_w_mbar,calc_state,$A26,calc_bu,$AA$4)/$B26,SUMIFS(calc_mbar_p,calc_state,$A26,calc_bu,$AA$4)/$AA26))</f>
        <v/>
      </c>
      <c r="S26" s="138">
        <f>IF($AA26=0,"",IF($B26&gt;0,SUMIFS(calc_w_amod,calc_state,$A26,calc_bu,$AA$4)/$B26,SUMIFS(calc_amod_p,calc_state,$A26,calc_bu,$AA$4)/$AA26))</f>
        <v/>
      </c>
      <c r="T26" s="174">
        <f>IF($AA26=0,"",IF($B26&gt;0,SUMIFS(calc_w_lrcur,calc_state,$A26,calc_bu,$AA$4)/$B26,SUMIFS(calc_lrcur,calc_state,$A26,calc_bu,$AA$4)/$AA26))</f>
        <v/>
      </c>
      <c r="U26" s="175">
        <f>IF($AA26=0,"",IF($B26&gt;0,SUMIFS(calc_w_cylr,calc_state,$A26,calc_bu,$AA$4)/$B26,SUMIFS(calc_cylr_p,calc_state,$A26,calc_bu,$AA$4)/$AA26))</f>
        <v/>
      </c>
      <c r="V26" s="176">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75">
        <f>IF($AA26=0,"",IF($B26&gt;0,SUMIFS(calc_w_cylr1,calc_state,$A26,calc_bu,$AA$4)/$B26,SUMIFS(calc_cylr_p1,calc_state,$A26,calc_bu,$AA$4)/$AA26))</f>
        <v/>
      </c>
      <c r="Z26" s="176">
        <f>IF($AA26=0,"",IF($AC26=0,"—",SUMIFS(calc_netx,calc_state,$A26,calc_bu,$AA$4)/$AC26))</f>
        <v/>
      </c>
      <c r="AA26" s="42">
        <f>COUNTIFS(calc_state,$A26,calc_bu,$AA$4)</f>
        <v/>
      </c>
      <c r="AB26" s="23">
        <f>IF($B$4="All","",$B$4&amp;"|"&amp;$A26)</f>
        <v/>
      </c>
      <c r="AC26" s="42">
        <f>SUMIFS(calc_netmode,calc_state,$A26,calc_bu,$AA$4)</f>
        <v/>
      </c>
    </row>
    <row r="27">
      <c r="A27" s="177">
        <f>_lists!$B$22</f>
        <v/>
      </c>
      <c r="B27" s="178">
        <f>IF($AA27=0,"",SUMIFS(calc_ep,calc_state,$A27,calc_bu,$AA$4))</f>
        <v/>
      </c>
      <c r="C27" s="179">
        <f>IF($AA27=0,"",IF($B27&gt;0,SUMIFS(calc_w_mind,calc_state,$A27,calc_bu,$AA$4)/$B27,SUMIFS(lr_mind,lr_state,$A27,lr_bu,$AA$4)/$AA27))</f>
        <v/>
      </c>
      <c r="D27" s="180">
        <f>IF($AA27=0,"",IF($B27&gt;0,SUMIFS(calc_w_m0,calc_state,$A27,calc_bu,$AA$4)/$B27,SUMIFS(lr_m0,lr_state,$A27,lr_bu,$AA$4)/$AA27))</f>
        <v/>
      </c>
      <c r="E27" s="180">
        <f>IF($AA27=0,"",IF($B27&gt;0,SUMIFS(calc_w_m1,calc_state,$A27,calc_bu,$AA$4)/$B27,SUMIFS(lr_m1,lr_state,$A27,lr_bu,$AA$4)/$AA27))</f>
        <v/>
      </c>
      <c r="F27" s="181">
        <f>IF($AB27="","",IF(COUNTIFS(rl_key,$AB27,rl_seq,1)=0,"",SUMIFS(rl_eff,rl_key,$AB27,rl_seq,1)))</f>
        <v/>
      </c>
      <c r="G27" s="182">
        <f>IF($AB27="","",IF(COUNTIFS(rl_key,$AB27,rl_seq,1)=0,"",SUMIFS(rl_reff,rl_key,$AB27,rl_seq,1)))</f>
        <v/>
      </c>
      <c r="H27" s="183">
        <f>IF($AB27="","",IF(COUNTIFS(rl_key,$AB27,rl_seq,2)=0,"",SUMIFS(rl_eff,rl_key,$AB27,rl_seq,2)))</f>
        <v/>
      </c>
      <c r="I27" s="182">
        <f>IF($AB27="","",IF(COUNTIFS(rl_key,$AB27,rl_seq,2)=0,"",SUMIFS(rl_reff,rl_key,$AB27,rl_seq,2)))</f>
        <v/>
      </c>
      <c r="J27" s="183">
        <f>IF($AB27="","",IF(COUNTIFS(rl_key,$AB27,rl_seq,3)=0,"",SUMIFS(rl_eff,rl_key,$AB27,rl_seq,3)))</f>
        <v/>
      </c>
      <c r="K27" s="182">
        <f>IF($AB27="","",IF(COUNTIFS(rl_key,$AB27,rl_seq,3)=0,"",SUMIFS(rl_reff,rl_key,$AB27,rl_seq,3)))</f>
        <v/>
      </c>
      <c r="L27" s="183">
        <f>IF($AB27="","",IF(COUNTIFS(rl_key,$AB27,rl_seq,4)=0,"",SUMIFS(rl_eff,rl_key,$AB27,rl_seq,4)))</f>
        <v/>
      </c>
      <c r="M27" s="182">
        <f>IF($AB27="","",IF(COUNTIFS(rl_key,$AB27,rl_seq,4)=0,"",SUMIFS(rl_reff,rl_key,$AB27,rl_seq,4)))</f>
        <v/>
      </c>
      <c r="N27" s="184">
        <f>IF($AA27=0,"",IF($AB27="",COUNTIFS(rl_state,$A27,rl_eff,"&lt;&gt;"),COUNTIFS(rl_key,$AB27,rl_eff,"&lt;&gt;")))</f>
        <v/>
      </c>
      <c r="O27" s="185">
        <f>IF($AA27=0,"",IF($B27&gt;0,SUMIFS(calc_w_crl,calc_state,$A27,calc_bu,$AA$4)/$B27,SUMIFS(calc_crl,calc_state,$A27,calc_bu,$AA$4)/$AA27))</f>
        <v/>
      </c>
      <c r="P27" s="186">
        <f>IF($AA27=0,"",IF($B27&gt;0,SUMIFS(calc_w_ecy,calc_state,$A27,calc_bu,$AA$4)/$B27,SUMIFS(calc_ecy_p,calc_state,$A27,calc_bu,$AA$4)/$AA27))</f>
        <v/>
      </c>
      <c r="Q27" s="186">
        <f>IF($AA27=0,"",IF($B27&gt;0,SUMIFS(calc_w_arate,calc_state,$A27,calc_bu,$AA$4)/$B27,SUMIFS(calc_arate_p,calc_state,$A27,calc_bu,$AA$4)/$AA27))</f>
        <v/>
      </c>
      <c r="R27" s="180">
        <f>IF($AA27=0,"",IF($B27&gt;0,SUMIFS(calc_w_mbar,calc_state,$A27,calc_bu,$AA$4)/$B27,SUMIFS(calc_mbar_p,calc_state,$A27,calc_bu,$AA$4)/$AA27))</f>
        <v/>
      </c>
      <c r="S27" s="186">
        <f>IF($AA27=0,"",IF($B27&gt;0,SUMIFS(calc_w_amod,calc_state,$A27,calc_bu,$AA$4)/$B27,SUMIFS(calc_amod_p,calc_state,$A27,calc_bu,$AA$4)/$AA27))</f>
        <v/>
      </c>
      <c r="T27" s="187">
        <f>IF($AA27=0,"",IF($B27&gt;0,SUMIFS(calc_w_lrcur,calc_state,$A27,calc_bu,$AA$4)/$B27,SUMIFS(calc_lrcur,calc_state,$A27,calc_bu,$AA$4)/$AA27))</f>
        <v/>
      </c>
      <c r="U27" s="142">
        <f>IF($AA27=0,"",IF($B27&gt;0,SUMIFS(calc_w_cylr,calc_state,$A27,calc_bu,$AA$4)/$B27,SUMIFS(calc_cylr_p,calc_state,$A27,calc_bu,$AA$4)/$AA27))</f>
        <v/>
      </c>
      <c r="V27" s="188">
        <f>IF($AA27=0,"",IF($B27&gt;0,SUMIFS(calc_w_trend,calc_state,$A27,calc_bu,$AA$4)/$B27,SUMIFS(calc_trend,calc_state,$A27,calc_bu,$AA$4)/$AA27))</f>
        <v/>
      </c>
      <c r="W27" s="186">
        <f>IF($AA27=0,"",IF($B27&gt;0,SUMIFS(calc_w_arate1,calc_state,$A27,calc_bu,$AA$4)/$B27,SUMIFS(calc_arate_p1,calc_state,$A27,calc_bu,$AA$4)/$AA27))</f>
        <v/>
      </c>
      <c r="X27" s="186">
        <f>IF($AA27=0,"",IF($B27&gt;0,SUMIFS(calc_w_amod1,calc_state,$A27,calc_bu,$AA$4)/$B27,SUMIFS(calc_amod_p1,calc_state,$A27,calc_bu,$AA$4)/$AA27))</f>
        <v/>
      </c>
      <c r="Y27" s="142">
        <f>IF($AA27=0,"",IF($B27&gt;0,SUMIFS(calc_w_cylr1,calc_state,$A27,calc_bu,$AA$4)/$B27,SUMIFS(calc_cylr_p1,calc_state,$A27,calc_bu,$AA$4)/$AA27))</f>
        <v/>
      </c>
      <c r="Z27" s="188">
        <f>IF($AA27=0,"",IF($AC27=0,"—",SUMIFS(calc_netx,calc_state,$A27,calc_bu,$AA$4)/$AC27))</f>
        <v/>
      </c>
      <c r="AA27" s="42">
        <f>COUNTIFS(calc_state,$A27,calc_bu,$AA$4)</f>
        <v/>
      </c>
      <c r="AB27" s="23">
        <f>IF($B$4="All","",$B$4&amp;"|"&amp;$A27)</f>
        <v/>
      </c>
      <c r="AC27" s="42">
        <f>SUMIFS(calc_netmode,calc_state,$A27,calc_bu,$AA$4)</f>
        <v/>
      </c>
    </row>
    <row r="28">
      <c r="A28" s="165">
        <f>_lists!$B$23</f>
        <v/>
      </c>
      <c r="B28" s="166">
        <f>IF($AA28=0,"",SUMIFS(calc_ep,calc_state,$A28,calc_bu,$AA$4))</f>
        <v/>
      </c>
      <c r="C28" s="167">
        <f>IF($AA28=0,"",IF($B28&gt;0,SUMIFS(calc_w_mind,calc_state,$A28,calc_bu,$AA$4)/$B28,SUMIFS(lr_mind,lr_state,$A28,lr_bu,$AA$4)/$AA28))</f>
        <v/>
      </c>
      <c r="D28" s="168">
        <f>IF($AA28=0,"",IF($B28&gt;0,SUMIFS(calc_w_m0,calc_state,$A28,calc_bu,$AA$4)/$B28,SUMIFS(lr_m0,lr_state,$A28,lr_bu,$AA$4)/$AA28))</f>
        <v/>
      </c>
      <c r="E28" s="168">
        <f>IF($AA28=0,"",IF($B28&gt;0,SUMIFS(calc_w_m1,calc_state,$A28,calc_bu,$AA$4)/$B28,SUMIFS(lr_m1,lr_state,$A28,lr_bu,$AA$4)/$AA28))</f>
        <v/>
      </c>
      <c r="F28" s="169">
        <f>IF($AB28="","",IF(COUNTIFS(rl_key,$AB28,rl_seq,1)=0,"",SUMIFS(rl_eff,rl_key,$AB28,rl_seq,1)))</f>
        <v/>
      </c>
      <c r="G28" s="170">
        <f>IF($AB28="","",IF(COUNTIFS(rl_key,$AB28,rl_seq,1)=0,"",SUMIFS(rl_reff,rl_key,$AB28,rl_seq,1)))</f>
        <v/>
      </c>
      <c r="H28" s="171">
        <f>IF($AB28="","",IF(COUNTIFS(rl_key,$AB28,rl_seq,2)=0,"",SUMIFS(rl_eff,rl_key,$AB28,rl_seq,2)))</f>
        <v/>
      </c>
      <c r="I28" s="170">
        <f>IF($AB28="","",IF(COUNTIFS(rl_key,$AB28,rl_seq,2)=0,"",SUMIFS(rl_reff,rl_key,$AB28,rl_seq,2)))</f>
        <v/>
      </c>
      <c r="J28" s="171">
        <f>IF($AB28="","",IF(COUNTIFS(rl_key,$AB28,rl_seq,3)=0,"",SUMIFS(rl_eff,rl_key,$AB28,rl_seq,3)))</f>
        <v/>
      </c>
      <c r="K28" s="170">
        <f>IF($AB28="","",IF(COUNTIFS(rl_key,$AB28,rl_seq,3)=0,"",SUMIFS(rl_reff,rl_key,$AB28,rl_seq,3)))</f>
        <v/>
      </c>
      <c r="L28" s="171">
        <f>IF($AB28="","",IF(COUNTIFS(rl_key,$AB28,rl_seq,4)=0,"",SUMIFS(rl_eff,rl_key,$AB28,rl_seq,4)))</f>
        <v/>
      </c>
      <c r="M28" s="170">
        <f>IF($AB28="","",IF(COUNTIFS(rl_key,$AB28,rl_seq,4)=0,"",SUMIFS(rl_reff,rl_key,$AB28,rl_seq,4)))</f>
        <v/>
      </c>
      <c r="N28" s="172">
        <f>IF($AA28=0,"",IF($AB28="",COUNTIFS(rl_state,$A28,rl_eff,"&lt;&gt;"),COUNTIFS(rl_key,$AB28,rl_eff,"&lt;&gt;")))</f>
        <v/>
      </c>
      <c r="O28" s="173">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68">
        <f>IF($AA28=0,"",IF($B28&gt;0,SUMIFS(calc_w_mbar,calc_state,$A28,calc_bu,$AA$4)/$B28,SUMIFS(calc_mbar_p,calc_state,$A28,calc_bu,$AA$4)/$AA28))</f>
        <v/>
      </c>
      <c r="S28" s="138">
        <f>IF($AA28=0,"",IF($B28&gt;0,SUMIFS(calc_w_amod,calc_state,$A28,calc_bu,$AA$4)/$B28,SUMIFS(calc_amod_p,calc_state,$A28,calc_bu,$AA$4)/$AA28))</f>
        <v/>
      </c>
      <c r="T28" s="174">
        <f>IF($AA28=0,"",IF($B28&gt;0,SUMIFS(calc_w_lrcur,calc_state,$A28,calc_bu,$AA$4)/$B28,SUMIFS(calc_lrcur,calc_state,$A28,calc_bu,$AA$4)/$AA28))</f>
        <v/>
      </c>
      <c r="U28" s="175">
        <f>IF($AA28=0,"",IF($B28&gt;0,SUMIFS(calc_w_cylr,calc_state,$A28,calc_bu,$AA$4)/$B28,SUMIFS(calc_cylr_p,calc_state,$A28,calc_bu,$AA$4)/$AA28))</f>
        <v/>
      </c>
      <c r="V28" s="176">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75">
        <f>IF($AA28=0,"",IF($B28&gt;0,SUMIFS(calc_w_cylr1,calc_state,$A28,calc_bu,$AA$4)/$B28,SUMIFS(calc_cylr_p1,calc_state,$A28,calc_bu,$AA$4)/$AA28))</f>
        <v/>
      </c>
      <c r="Z28" s="176">
        <f>IF($AA28=0,"",IF($AC28=0,"—",SUMIFS(calc_netx,calc_state,$A28,calc_bu,$AA$4)/$AC28))</f>
        <v/>
      </c>
      <c r="AA28" s="42">
        <f>COUNTIFS(calc_state,$A28,calc_bu,$AA$4)</f>
        <v/>
      </c>
      <c r="AB28" s="23">
        <f>IF($B$4="All","",$B$4&amp;"|"&amp;$A28)</f>
        <v/>
      </c>
      <c r="AC28" s="42">
        <f>SUMIFS(calc_netmode,calc_state,$A28,calc_bu,$AA$4)</f>
        <v/>
      </c>
    </row>
    <row r="29">
      <c r="A29" s="177">
        <f>_lists!$B$24</f>
        <v/>
      </c>
      <c r="B29" s="178">
        <f>IF($AA29=0,"",SUMIFS(calc_ep,calc_state,$A29,calc_bu,$AA$4))</f>
        <v/>
      </c>
      <c r="C29" s="179">
        <f>IF($AA29=0,"",IF($B29&gt;0,SUMIFS(calc_w_mind,calc_state,$A29,calc_bu,$AA$4)/$B29,SUMIFS(lr_mind,lr_state,$A29,lr_bu,$AA$4)/$AA29))</f>
        <v/>
      </c>
      <c r="D29" s="180">
        <f>IF($AA29=0,"",IF($B29&gt;0,SUMIFS(calc_w_m0,calc_state,$A29,calc_bu,$AA$4)/$B29,SUMIFS(lr_m0,lr_state,$A29,lr_bu,$AA$4)/$AA29))</f>
        <v/>
      </c>
      <c r="E29" s="180">
        <f>IF($AA29=0,"",IF($B29&gt;0,SUMIFS(calc_w_m1,calc_state,$A29,calc_bu,$AA$4)/$B29,SUMIFS(lr_m1,lr_state,$A29,lr_bu,$AA$4)/$AA29))</f>
        <v/>
      </c>
      <c r="F29" s="181">
        <f>IF($AB29="","",IF(COUNTIFS(rl_key,$AB29,rl_seq,1)=0,"",SUMIFS(rl_eff,rl_key,$AB29,rl_seq,1)))</f>
        <v/>
      </c>
      <c r="G29" s="182">
        <f>IF($AB29="","",IF(COUNTIFS(rl_key,$AB29,rl_seq,1)=0,"",SUMIFS(rl_reff,rl_key,$AB29,rl_seq,1)))</f>
        <v/>
      </c>
      <c r="H29" s="183">
        <f>IF($AB29="","",IF(COUNTIFS(rl_key,$AB29,rl_seq,2)=0,"",SUMIFS(rl_eff,rl_key,$AB29,rl_seq,2)))</f>
        <v/>
      </c>
      <c r="I29" s="182">
        <f>IF($AB29="","",IF(COUNTIFS(rl_key,$AB29,rl_seq,2)=0,"",SUMIFS(rl_reff,rl_key,$AB29,rl_seq,2)))</f>
        <v/>
      </c>
      <c r="J29" s="183">
        <f>IF($AB29="","",IF(COUNTIFS(rl_key,$AB29,rl_seq,3)=0,"",SUMIFS(rl_eff,rl_key,$AB29,rl_seq,3)))</f>
        <v/>
      </c>
      <c r="K29" s="182">
        <f>IF($AB29="","",IF(COUNTIFS(rl_key,$AB29,rl_seq,3)=0,"",SUMIFS(rl_reff,rl_key,$AB29,rl_seq,3)))</f>
        <v/>
      </c>
      <c r="L29" s="183">
        <f>IF($AB29="","",IF(COUNTIFS(rl_key,$AB29,rl_seq,4)=0,"",SUMIFS(rl_eff,rl_key,$AB29,rl_seq,4)))</f>
        <v/>
      </c>
      <c r="M29" s="182">
        <f>IF($AB29="","",IF(COUNTIFS(rl_key,$AB29,rl_seq,4)=0,"",SUMIFS(rl_reff,rl_key,$AB29,rl_seq,4)))</f>
        <v/>
      </c>
      <c r="N29" s="184">
        <f>IF($AA29=0,"",IF($AB29="",COUNTIFS(rl_state,$A29,rl_eff,"&lt;&gt;"),COUNTIFS(rl_key,$AB29,rl_eff,"&lt;&gt;")))</f>
        <v/>
      </c>
      <c r="O29" s="185">
        <f>IF($AA29=0,"",IF($B29&gt;0,SUMIFS(calc_w_crl,calc_state,$A29,calc_bu,$AA$4)/$B29,SUMIFS(calc_crl,calc_state,$A29,calc_bu,$AA$4)/$AA29))</f>
        <v/>
      </c>
      <c r="P29" s="186">
        <f>IF($AA29=0,"",IF($B29&gt;0,SUMIFS(calc_w_ecy,calc_state,$A29,calc_bu,$AA$4)/$B29,SUMIFS(calc_ecy_p,calc_state,$A29,calc_bu,$AA$4)/$AA29))</f>
        <v/>
      </c>
      <c r="Q29" s="186">
        <f>IF($AA29=0,"",IF($B29&gt;0,SUMIFS(calc_w_arate,calc_state,$A29,calc_bu,$AA$4)/$B29,SUMIFS(calc_arate_p,calc_state,$A29,calc_bu,$AA$4)/$AA29))</f>
        <v/>
      </c>
      <c r="R29" s="180">
        <f>IF($AA29=0,"",IF($B29&gt;0,SUMIFS(calc_w_mbar,calc_state,$A29,calc_bu,$AA$4)/$B29,SUMIFS(calc_mbar_p,calc_state,$A29,calc_bu,$AA$4)/$AA29))</f>
        <v/>
      </c>
      <c r="S29" s="186">
        <f>IF($AA29=0,"",IF($B29&gt;0,SUMIFS(calc_w_amod,calc_state,$A29,calc_bu,$AA$4)/$B29,SUMIFS(calc_amod_p,calc_state,$A29,calc_bu,$AA$4)/$AA29))</f>
        <v/>
      </c>
      <c r="T29" s="187">
        <f>IF($AA29=0,"",IF($B29&gt;0,SUMIFS(calc_w_lrcur,calc_state,$A29,calc_bu,$AA$4)/$B29,SUMIFS(calc_lrcur,calc_state,$A29,calc_bu,$AA$4)/$AA29))</f>
        <v/>
      </c>
      <c r="U29" s="142">
        <f>IF($AA29=0,"",IF($B29&gt;0,SUMIFS(calc_w_cylr,calc_state,$A29,calc_bu,$AA$4)/$B29,SUMIFS(calc_cylr_p,calc_state,$A29,calc_bu,$AA$4)/$AA29))</f>
        <v/>
      </c>
      <c r="V29" s="188">
        <f>IF($AA29=0,"",IF($B29&gt;0,SUMIFS(calc_w_trend,calc_state,$A29,calc_bu,$AA$4)/$B29,SUMIFS(calc_trend,calc_state,$A29,calc_bu,$AA$4)/$AA29))</f>
        <v/>
      </c>
      <c r="W29" s="186">
        <f>IF($AA29=0,"",IF($B29&gt;0,SUMIFS(calc_w_arate1,calc_state,$A29,calc_bu,$AA$4)/$B29,SUMIFS(calc_arate_p1,calc_state,$A29,calc_bu,$AA$4)/$AA29))</f>
        <v/>
      </c>
      <c r="X29" s="186">
        <f>IF($AA29=0,"",IF($B29&gt;0,SUMIFS(calc_w_amod1,calc_state,$A29,calc_bu,$AA$4)/$B29,SUMIFS(calc_amod_p1,calc_state,$A29,calc_bu,$AA$4)/$AA29))</f>
        <v/>
      </c>
      <c r="Y29" s="142">
        <f>IF($AA29=0,"",IF($B29&gt;0,SUMIFS(calc_w_cylr1,calc_state,$A29,calc_bu,$AA$4)/$B29,SUMIFS(calc_cylr_p1,calc_state,$A29,calc_bu,$AA$4)/$AA29))</f>
        <v/>
      </c>
      <c r="Z29" s="188">
        <f>IF($AA29=0,"",IF($AC29=0,"—",SUMIFS(calc_netx,calc_state,$A29,calc_bu,$AA$4)/$AC29))</f>
        <v/>
      </c>
      <c r="AA29" s="42">
        <f>COUNTIFS(calc_state,$A29,calc_bu,$AA$4)</f>
        <v/>
      </c>
      <c r="AB29" s="23">
        <f>IF($B$4="All","",$B$4&amp;"|"&amp;$A29)</f>
        <v/>
      </c>
      <c r="AC29" s="42">
        <f>SUMIFS(calc_netmode,calc_state,$A29,calc_bu,$AA$4)</f>
        <v/>
      </c>
    </row>
    <row r="30">
      <c r="A30" s="165">
        <f>_lists!$B$25</f>
        <v/>
      </c>
      <c r="B30" s="166">
        <f>IF($AA30=0,"",SUMIFS(calc_ep,calc_state,$A30,calc_bu,$AA$4))</f>
        <v/>
      </c>
      <c r="C30" s="167">
        <f>IF($AA30=0,"",IF($B30&gt;0,SUMIFS(calc_w_mind,calc_state,$A30,calc_bu,$AA$4)/$B30,SUMIFS(lr_mind,lr_state,$A30,lr_bu,$AA$4)/$AA30))</f>
        <v/>
      </c>
      <c r="D30" s="168">
        <f>IF($AA30=0,"",IF($B30&gt;0,SUMIFS(calc_w_m0,calc_state,$A30,calc_bu,$AA$4)/$B30,SUMIFS(lr_m0,lr_state,$A30,lr_bu,$AA$4)/$AA30))</f>
        <v/>
      </c>
      <c r="E30" s="168">
        <f>IF($AA30=0,"",IF($B30&gt;0,SUMIFS(calc_w_m1,calc_state,$A30,calc_bu,$AA$4)/$B30,SUMIFS(lr_m1,lr_state,$A30,lr_bu,$AA$4)/$AA30))</f>
        <v/>
      </c>
      <c r="F30" s="169">
        <f>IF($AB30="","",IF(COUNTIFS(rl_key,$AB30,rl_seq,1)=0,"",SUMIFS(rl_eff,rl_key,$AB30,rl_seq,1)))</f>
        <v/>
      </c>
      <c r="G30" s="170">
        <f>IF($AB30="","",IF(COUNTIFS(rl_key,$AB30,rl_seq,1)=0,"",SUMIFS(rl_reff,rl_key,$AB30,rl_seq,1)))</f>
        <v/>
      </c>
      <c r="H30" s="171">
        <f>IF($AB30="","",IF(COUNTIFS(rl_key,$AB30,rl_seq,2)=0,"",SUMIFS(rl_eff,rl_key,$AB30,rl_seq,2)))</f>
        <v/>
      </c>
      <c r="I30" s="170">
        <f>IF($AB30="","",IF(COUNTIFS(rl_key,$AB30,rl_seq,2)=0,"",SUMIFS(rl_reff,rl_key,$AB30,rl_seq,2)))</f>
        <v/>
      </c>
      <c r="J30" s="171">
        <f>IF($AB30="","",IF(COUNTIFS(rl_key,$AB30,rl_seq,3)=0,"",SUMIFS(rl_eff,rl_key,$AB30,rl_seq,3)))</f>
        <v/>
      </c>
      <c r="K30" s="170">
        <f>IF($AB30="","",IF(COUNTIFS(rl_key,$AB30,rl_seq,3)=0,"",SUMIFS(rl_reff,rl_key,$AB30,rl_seq,3)))</f>
        <v/>
      </c>
      <c r="L30" s="171">
        <f>IF($AB30="","",IF(COUNTIFS(rl_key,$AB30,rl_seq,4)=0,"",SUMIFS(rl_eff,rl_key,$AB30,rl_seq,4)))</f>
        <v/>
      </c>
      <c r="M30" s="170">
        <f>IF($AB30="","",IF(COUNTIFS(rl_key,$AB30,rl_seq,4)=0,"",SUMIFS(rl_reff,rl_key,$AB30,rl_seq,4)))</f>
        <v/>
      </c>
      <c r="N30" s="172">
        <f>IF($AA30=0,"",IF($AB30="",COUNTIFS(rl_state,$A30,rl_eff,"&lt;&gt;"),COUNTIFS(rl_key,$AB30,rl_eff,"&lt;&gt;")))</f>
        <v/>
      </c>
      <c r="O30" s="173">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68">
        <f>IF($AA30=0,"",IF($B30&gt;0,SUMIFS(calc_w_mbar,calc_state,$A30,calc_bu,$AA$4)/$B30,SUMIFS(calc_mbar_p,calc_state,$A30,calc_bu,$AA$4)/$AA30))</f>
        <v/>
      </c>
      <c r="S30" s="138">
        <f>IF($AA30=0,"",IF($B30&gt;0,SUMIFS(calc_w_amod,calc_state,$A30,calc_bu,$AA$4)/$B30,SUMIFS(calc_amod_p,calc_state,$A30,calc_bu,$AA$4)/$AA30))</f>
        <v/>
      </c>
      <c r="T30" s="174">
        <f>IF($AA30=0,"",IF($B30&gt;0,SUMIFS(calc_w_lrcur,calc_state,$A30,calc_bu,$AA$4)/$B30,SUMIFS(calc_lrcur,calc_state,$A30,calc_bu,$AA$4)/$AA30))</f>
        <v/>
      </c>
      <c r="U30" s="175">
        <f>IF($AA30=0,"",IF($B30&gt;0,SUMIFS(calc_w_cylr,calc_state,$A30,calc_bu,$AA$4)/$B30,SUMIFS(calc_cylr_p,calc_state,$A30,calc_bu,$AA$4)/$AA30))</f>
        <v/>
      </c>
      <c r="V30" s="176">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75">
        <f>IF($AA30=0,"",IF($B30&gt;0,SUMIFS(calc_w_cylr1,calc_state,$A30,calc_bu,$AA$4)/$B30,SUMIFS(calc_cylr_p1,calc_state,$A30,calc_bu,$AA$4)/$AA30))</f>
        <v/>
      </c>
      <c r="Z30" s="176">
        <f>IF($AA30=0,"",IF($AC30=0,"—",SUMIFS(calc_netx,calc_state,$A30,calc_bu,$AA$4)/$AC30))</f>
        <v/>
      </c>
      <c r="AA30" s="42">
        <f>COUNTIFS(calc_state,$A30,calc_bu,$AA$4)</f>
        <v/>
      </c>
      <c r="AB30" s="23">
        <f>IF($B$4="All","",$B$4&amp;"|"&amp;$A30)</f>
        <v/>
      </c>
      <c r="AC30" s="42">
        <f>SUMIFS(calc_netmode,calc_state,$A30,calc_bu,$AA$4)</f>
        <v/>
      </c>
    </row>
    <row r="31">
      <c r="A31" s="177">
        <f>_lists!$B$26</f>
        <v/>
      </c>
      <c r="B31" s="178">
        <f>IF($AA31=0,"",SUMIFS(calc_ep,calc_state,$A31,calc_bu,$AA$4))</f>
        <v/>
      </c>
      <c r="C31" s="179">
        <f>IF($AA31=0,"",IF($B31&gt;0,SUMIFS(calc_w_mind,calc_state,$A31,calc_bu,$AA$4)/$B31,SUMIFS(lr_mind,lr_state,$A31,lr_bu,$AA$4)/$AA31))</f>
        <v/>
      </c>
      <c r="D31" s="180">
        <f>IF($AA31=0,"",IF($B31&gt;0,SUMIFS(calc_w_m0,calc_state,$A31,calc_bu,$AA$4)/$B31,SUMIFS(lr_m0,lr_state,$A31,lr_bu,$AA$4)/$AA31))</f>
        <v/>
      </c>
      <c r="E31" s="180">
        <f>IF($AA31=0,"",IF($B31&gt;0,SUMIFS(calc_w_m1,calc_state,$A31,calc_bu,$AA$4)/$B31,SUMIFS(lr_m1,lr_state,$A31,lr_bu,$AA$4)/$AA31))</f>
        <v/>
      </c>
      <c r="F31" s="181">
        <f>IF($AB31="","",IF(COUNTIFS(rl_key,$AB31,rl_seq,1)=0,"",SUMIFS(rl_eff,rl_key,$AB31,rl_seq,1)))</f>
        <v/>
      </c>
      <c r="G31" s="182">
        <f>IF($AB31="","",IF(COUNTIFS(rl_key,$AB31,rl_seq,1)=0,"",SUMIFS(rl_reff,rl_key,$AB31,rl_seq,1)))</f>
        <v/>
      </c>
      <c r="H31" s="183">
        <f>IF($AB31="","",IF(COUNTIFS(rl_key,$AB31,rl_seq,2)=0,"",SUMIFS(rl_eff,rl_key,$AB31,rl_seq,2)))</f>
        <v/>
      </c>
      <c r="I31" s="182">
        <f>IF($AB31="","",IF(COUNTIFS(rl_key,$AB31,rl_seq,2)=0,"",SUMIFS(rl_reff,rl_key,$AB31,rl_seq,2)))</f>
        <v/>
      </c>
      <c r="J31" s="183">
        <f>IF($AB31="","",IF(COUNTIFS(rl_key,$AB31,rl_seq,3)=0,"",SUMIFS(rl_eff,rl_key,$AB31,rl_seq,3)))</f>
        <v/>
      </c>
      <c r="K31" s="182">
        <f>IF($AB31="","",IF(COUNTIFS(rl_key,$AB31,rl_seq,3)=0,"",SUMIFS(rl_reff,rl_key,$AB31,rl_seq,3)))</f>
        <v/>
      </c>
      <c r="L31" s="183">
        <f>IF($AB31="","",IF(COUNTIFS(rl_key,$AB31,rl_seq,4)=0,"",SUMIFS(rl_eff,rl_key,$AB31,rl_seq,4)))</f>
        <v/>
      </c>
      <c r="M31" s="182">
        <f>IF($AB31="","",IF(COUNTIFS(rl_key,$AB31,rl_seq,4)=0,"",SUMIFS(rl_reff,rl_key,$AB31,rl_seq,4)))</f>
        <v/>
      </c>
      <c r="N31" s="184">
        <f>IF($AA31=0,"",IF($AB31="",COUNTIFS(rl_state,$A31,rl_eff,"&lt;&gt;"),COUNTIFS(rl_key,$AB31,rl_eff,"&lt;&gt;")))</f>
        <v/>
      </c>
      <c r="O31" s="185">
        <f>IF($AA31=0,"",IF($B31&gt;0,SUMIFS(calc_w_crl,calc_state,$A31,calc_bu,$AA$4)/$B31,SUMIFS(calc_crl,calc_state,$A31,calc_bu,$AA$4)/$AA31))</f>
        <v/>
      </c>
      <c r="P31" s="186">
        <f>IF($AA31=0,"",IF($B31&gt;0,SUMIFS(calc_w_ecy,calc_state,$A31,calc_bu,$AA$4)/$B31,SUMIFS(calc_ecy_p,calc_state,$A31,calc_bu,$AA$4)/$AA31))</f>
        <v/>
      </c>
      <c r="Q31" s="186">
        <f>IF($AA31=0,"",IF($B31&gt;0,SUMIFS(calc_w_arate,calc_state,$A31,calc_bu,$AA$4)/$B31,SUMIFS(calc_arate_p,calc_state,$A31,calc_bu,$AA$4)/$AA31))</f>
        <v/>
      </c>
      <c r="R31" s="180">
        <f>IF($AA31=0,"",IF($B31&gt;0,SUMIFS(calc_w_mbar,calc_state,$A31,calc_bu,$AA$4)/$B31,SUMIFS(calc_mbar_p,calc_state,$A31,calc_bu,$AA$4)/$AA31))</f>
        <v/>
      </c>
      <c r="S31" s="186">
        <f>IF($AA31=0,"",IF($B31&gt;0,SUMIFS(calc_w_amod,calc_state,$A31,calc_bu,$AA$4)/$B31,SUMIFS(calc_amod_p,calc_state,$A31,calc_bu,$AA$4)/$AA31))</f>
        <v/>
      </c>
      <c r="T31" s="187">
        <f>IF($AA31=0,"",IF($B31&gt;0,SUMIFS(calc_w_lrcur,calc_state,$A31,calc_bu,$AA$4)/$B31,SUMIFS(calc_lrcur,calc_state,$A31,calc_bu,$AA$4)/$AA31))</f>
        <v/>
      </c>
      <c r="U31" s="142">
        <f>IF($AA31=0,"",IF($B31&gt;0,SUMIFS(calc_w_cylr,calc_state,$A31,calc_bu,$AA$4)/$B31,SUMIFS(calc_cylr_p,calc_state,$A31,calc_bu,$AA$4)/$AA31))</f>
        <v/>
      </c>
      <c r="V31" s="188">
        <f>IF($AA31=0,"",IF($B31&gt;0,SUMIFS(calc_w_trend,calc_state,$A31,calc_bu,$AA$4)/$B31,SUMIFS(calc_trend,calc_state,$A31,calc_bu,$AA$4)/$AA31))</f>
        <v/>
      </c>
      <c r="W31" s="186">
        <f>IF($AA31=0,"",IF($B31&gt;0,SUMIFS(calc_w_arate1,calc_state,$A31,calc_bu,$AA$4)/$B31,SUMIFS(calc_arate_p1,calc_state,$A31,calc_bu,$AA$4)/$AA31))</f>
        <v/>
      </c>
      <c r="X31" s="186">
        <f>IF($AA31=0,"",IF($B31&gt;0,SUMIFS(calc_w_amod1,calc_state,$A31,calc_bu,$AA$4)/$B31,SUMIFS(calc_amod_p1,calc_state,$A31,calc_bu,$AA$4)/$AA31))</f>
        <v/>
      </c>
      <c r="Y31" s="142">
        <f>IF($AA31=0,"",IF($B31&gt;0,SUMIFS(calc_w_cylr1,calc_state,$A31,calc_bu,$AA$4)/$B31,SUMIFS(calc_cylr_p1,calc_state,$A31,calc_bu,$AA$4)/$AA31))</f>
        <v/>
      </c>
      <c r="Z31" s="188">
        <f>IF($AA31=0,"",IF($AC31=0,"—",SUMIFS(calc_netx,calc_state,$A31,calc_bu,$AA$4)/$AC31))</f>
        <v/>
      </c>
      <c r="AA31" s="42">
        <f>COUNTIFS(calc_state,$A31,calc_bu,$AA$4)</f>
        <v/>
      </c>
      <c r="AB31" s="23">
        <f>IF($B$4="All","",$B$4&amp;"|"&amp;$A31)</f>
        <v/>
      </c>
      <c r="AC31" s="42">
        <f>SUMIFS(calc_netmode,calc_state,$A31,calc_bu,$AA$4)</f>
        <v/>
      </c>
    </row>
    <row r="32">
      <c r="C32" s="189" t="n"/>
      <c r="F32" s="189" t="n"/>
      <c r="O32" s="189" t="n"/>
      <c r="T32" s="189" t="n"/>
      <c r="V32" s="189" t="n"/>
      <c r="Z32" s="189" t="n"/>
    </row>
    <row r="33">
      <c r="A33" s="190" t="inlineStr">
        <is>
          <t>TOTAL</t>
        </is>
      </c>
      <c r="B33" s="191">
        <f>SUMIFS(calc_ep,calc_bu,$AA$4)</f>
        <v/>
      </c>
      <c r="C33" s="192">
        <f>IF($B$33=0,"n/a",SUMIFS(calc_w_mind,calc_bu,$AA$4)/$B$33)</f>
        <v/>
      </c>
      <c r="D33" s="193">
        <f>IF($B$33=0,"n/a",SUMIFS(calc_w_m0,calc_bu,$AA$4)/$B$33)</f>
        <v/>
      </c>
      <c r="E33" s="193">
        <f>IF($B$33=0,"n/a",SUMIFS(calc_w_m1,calc_bu,$AA$4)/$B$33)</f>
        <v/>
      </c>
      <c r="F33" s="194" t="n"/>
      <c r="G33" s="195" t="n"/>
      <c r="H33" s="195" t="n"/>
      <c r="I33" s="195" t="n"/>
      <c r="J33" s="195" t="n"/>
      <c r="K33" s="195" t="n"/>
      <c r="L33" s="195" t="n"/>
      <c r="M33" s="195" t="n"/>
      <c r="N33" s="196">
        <f>IF($B$4="All",COUNTIFS(rl_eff,"&lt;&gt;"),COUNTIFS(rl_bu,$B$4,rl_eff,"&lt;&gt;"))</f>
        <v/>
      </c>
      <c r="O33" s="197">
        <f>IF($B$33=0,"n/a",SUMIFS(calc_w_crl,calc_bu,$AA$4)/$B$33)</f>
        <v/>
      </c>
      <c r="P33" s="198">
        <f>IF($B$33=0,"n/a",SUMIFS(calc_w_ecy,calc_bu,$AA$4)/$B$33)</f>
        <v/>
      </c>
      <c r="Q33" s="198">
        <f>IF($B$33=0,"n/a",SUMIFS(calc_w_arate,calc_bu,$AA$4)/$B$33)</f>
        <v/>
      </c>
      <c r="R33" s="193">
        <f>IF($B$33=0,"n/a",SUMIFS(calc_w_mbar,calc_bu,$AA$4)/$B$33)</f>
        <v/>
      </c>
      <c r="S33" s="198">
        <f>IF($B$33=0,"n/a",SUMIFS(calc_w_amod,calc_bu,$AA$4)/$B$33)</f>
        <v/>
      </c>
      <c r="T33" s="199">
        <f>IF($B$33=0,"n/a",SUMIFS(calc_w_lrcur,calc_bu,$AA$4)/$B$33)</f>
        <v/>
      </c>
      <c r="U33" s="200">
        <f>IF($B$33=0,"n/a",SUMIFS(calc_w_cylr,calc_bu,$AA$4)/$B$33)</f>
        <v/>
      </c>
      <c r="V33" s="201">
        <f>IF($B$33=0,"n/a",SUMIFS(calc_w_trend,calc_bu,$AA$4)/$B$33)</f>
        <v/>
      </c>
      <c r="W33" s="198">
        <f>IF($B$33=0,"n/a",SUMIFS(calc_w_arate1,calc_bu,$AA$4)/$B$33)</f>
        <v/>
      </c>
      <c r="X33" s="198">
        <f>IF($B$33=0,"n/a",SUMIFS(calc_w_amod1,calc_bu,$AA$4)/$B$33)</f>
        <v/>
      </c>
      <c r="Y33" s="200">
        <f>IF($B$33=0,"n/a",SUMIFS(calc_w_cylr1,calc_bu,$AA$4)/$B$33)</f>
        <v/>
      </c>
      <c r="Z33" s="201">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2" t="n"/>
      <c r="D7" s="202" t="n"/>
      <c r="E7" s="202" t="n"/>
      <c r="F7" s="202"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3">
        <f>nr_LRcur*D16*D17*nr_AOther</f>
        <v/>
      </c>
      <c r="E14" s="203">
        <f>nr_LRcur*E16*E17*nr_AOther</f>
        <v/>
      </c>
      <c r="F14" s="203">
        <f>nr_LRcur*F16*F17*nr_AOther</f>
        <v/>
      </c>
      <c r="G14" s="203">
        <f>nr_LRcur*G16*G17*nr_AOther</f>
        <v/>
      </c>
    </row>
    <row r="15">
      <c r="B15" s="20" t="inlineStr">
        <is>
          <t>Change vs Base (pts)</t>
        </is>
      </c>
      <c r="C15" s="152">
        <f>($C$14-$C$14)*100</f>
        <v/>
      </c>
      <c r="D15" s="113">
        <f>(D14-$C$14)*100</f>
        <v/>
      </c>
      <c r="E15" s="113">
        <f>(E14-$C$14)*100</f>
        <v/>
      </c>
      <c r="F15" s="113">
        <f>(F14-$C$14)*100</f>
        <v/>
      </c>
      <c r="G15" s="11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6">
        <f>nr_YoY_P1</f>
        <v/>
      </c>
      <c r="D19" s="116">
        <f>'_calc'!$C$4099/'_calc'!$B$4099-1</f>
        <v/>
      </c>
      <c r="E19" s="116">
        <f>'_calc'!$C$4153/'_calc'!$B$4153-1</f>
        <v/>
      </c>
      <c r="F19" s="116">
        <f>'_calc'!$C$4207/'_calc'!$B$4207-1</f>
        <v/>
      </c>
      <c r="G19" s="116">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04">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0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06">
        <f>IF(OR($C$9=0,NOT(ISNUMBER($C$17))),"n/a",$C$17/$C$9)</f>
        <v/>
      </c>
      <c r="F18" s="6" t="inlineStr">
        <is>
          <t>w x ec at eff month</t>
        </is>
      </c>
      <c r="G18" s="72">
        <f>IF($G$12,INDEX(slv_w,$G$13)*INDEX(slv_ecp,$G$13),0)</f>
        <v/>
      </c>
    </row>
    <row r="19">
      <c r="B19" s="20" t="inlineStr">
        <is>
          <t>Share of CY earned exposure on/after eff</t>
        </is>
      </c>
      <c r="C19" s="20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8">
        <f>TEXT(DATE(nr_PlanYear,1,1),"mmm yyyy")</f>
        <v/>
      </c>
      <c r="C29" s="208">
        <f>DATE(nr_PlanYear,1,1)</f>
        <v/>
      </c>
      <c r="D29" s="41">
        <f>'_calc'!$T$4698</f>
        <v/>
      </c>
      <c r="E29" s="41">
        <f>slv_total-'_calc'!$T$4699+'_calc'!$U$4699</f>
        <v/>
      </c>
      <c r="F29" s="49">
        <f>($D29+(1+$C$26)*$E29)/slv_den</f>
        <v/>
      </c>
      <c r="G29" s="45">
        <f>IF(slv_lrcur=0,0,slv_lrcur*(slv_crl/$F29)*$C$14*slv_aother)</f>
        <v/>
      </c>
      <c r="H29" s="118">
        <f>IF($C$7="","-",IF($G29&lt;=$C$7,"YES","no"))</f>
        <v/>
      </c>
      <c r="I29" s="42">
        <f>IF($H29="YES",1,0)</f>
        <v/>
      </c>
      <c r="J29" s="209">
        <f>IF($C$7="","",$C$7)</f>
        <v/>
      </c>
    </row>
    <row r="30">
      <c r="B30" s="118">
        <f>TEXT(DATE(nr_PlanYear,2,1),"mmm yyyy")</f>
        <v/>
      </c>
      <c r="C30" s="208">
        <f>DATE(nr_PlanYear,2,1)</f>
        <v/>
      </c>
      <c r="D30" s="41">
        <f>'_calc'!$T$4699</f>
        <v/>
      </c>
      <c r="E30" s="41">
        <f>slv_total-'_calc'!$T$4700+'_calc'!$U$4700</f>
        <v/>
      </c>
      <c r="F30" s="49">
        <f>($D30+(1+$C$26)*$E30)/slv_den</f>
        <v/>
      </c>
      <c r="G30" s="45">
        <f>IF(slv_lrcur=0,0,slv_lrcur*(slv_crl/$F30)*$C$14*slv_aother)</f>
        <v/>
      </c>
      <c r="H30" s="118">
        <f>IF($C$7="","-",IF($G30&lt;=$C$7,"YES","no"))</f>
        <v/>
      </c>
      <c r="I30" s="42">
        <f>IF($H30="YES",2,0)</f>
        <v/>
      </c>
      <c r="J30" s="209">
        <f>IF($C$7="","",$C$7)</f>
        <v/>
      </c>
    </row>
    <row r="31">
      <c r="B31" s="118">
        <f>TEXT(DATE(nr_PlanYear,3,1),"mmm yyyy")</f>
        <v/>
      </c>
      <c r="C31" s="208">
        <f>DATE(nr_PlanYear,3,1)</f>
        <v/>
      </c>
      <c r="D31" s="41">
        <f>'_calc'!$T$4700</f>
        <v/>
      </c>
      <c r="E31" s="41">
        <f>slv_total-'_calc'!$T$4701+'_calc'!$U$4701</f>
        <v/>
      </c>
      <c r="F31" s="49">
        <f>($D31+(1+$C$26)*$E31)/slv_den</f>
        <v/>
      </c>
      <c r="G31" s="45">
        <f>IF(slv_lrcur=0,0,slv_lrcur*(slv_crl/$F31)*$C$14*slv_aother)</f>
        <v/>
      </c>
      <c r="H31" s="118">
        <f>IF($C$7="","-",IF($G31&lt;=$C$7,"YES","no"))</f>
        <v/>
      </c>
      <c r="I31" s="42">
        <f>IF($H31="YES",3,0)</f>
        <v/>
      </c>
      <c r="J31" s="209">
        <f>IF($C$7="","",$C$7)</f>
        <v/>
      </c>
    </row>
    <row r="32">
      <c r="B32" s="118">
        <f>TEXT(DATE(nr_PlanYear,4,1),"mmm yyyy")</f>
        <v/>
      </c>
      <c r="C32" s="208">
        <f>DATE(nr_PlanYear,4,1)</f>
        <v/>
      </c>
      <c r="D32" s="41">
        <f>'_calc'!$T$4701</f>
        <v/>
      </c>
      <c r="E32" s="41">
        <f>slv_total-'_calc'!$T$4702+'_calc'!$U$4702</f>
        <v/>
      </c>
      <c r="F32" s="49">
        <f>($D32+(1+$C$26)*$E32)/slv_den</f>
        <v/>
      </c>
      <c r="G32" s="45">
        <f>IF(slv_lrcur=0,0,slv_lrcur*(slv_crl/$F32)*$C$14*slv_aother)</f>
        <v/>
      </c>
      <c r="H32" s="118">
        <f>IF($C$7="","-",IF($G32&lt;=$C$7,"YES","no"))</f>
        <v/>
      </c>
      <c r="I32" s="42">
        <f>IF($H32="YES",4,0)</f>
        <v/>
      </c>
      <c r="J32" s="209">
        <f>IF($C$7="","",$C$7)</f>
        <v/>
      </c>
    </row>
    <row r="33">
      <c r="B33" s="118">
        <f>TEXT(DATE(nr_PlanYear,5,1),"mmm yyyy")</f>
        <v/>
      </c>
      <c r="C33" s="208">
        <f>DATE(nr_PlanYear,5,1)</f>
        <v/>
      </c>
      <c r="D33" s="41">
        <f>'_calc'!$T$4702</f>
        <v/>
      </c>
      <c r="E33" s="41">
        <f>slv_total-'_calc'!$T$4703+'_calc'!$U$4703</f>
        <v/>
      </c>
      <c r="F33" s="49">
        <f>($D33+(1+$C$26)*$E33)/slv_den</f>
        <v/>
      </c>
      <c r="G33" s="45">
        <f>IF(slv_lrcur=0,0,slv_lrcur*(slv_crl/$F33)*$C$14*slv_aother)</f>
        <v/>
      </c>
      <c r="H33" s="118">
        <f>IF($C$7="","-",IF($G33&lt;=$C$7,"YES","no"))</f>
        <v/>
      </c>
      <c r="I33" s="42">
        <f>IF($H33="YES",5,0)</f>
        <v/>
      </c>
      <c r="J33" s="209">
        <f>IF($C$7="","",$C$7)</f>
        <v/>
      </c>
    </row>
    <row r="34">
      <c r="B34" s="118">
        <f>TEXT(DATE(nr_PlanYear,6,1),"mmm yyyy")</f>
        <v/>
      </c>
      <c r="C34" s="208">
        <f>DATE(nr_PlanYear,6,1)</f>
        <v/>
      </c>
      <c r="D34" s="41">
        <f>'_calc'!$T$4703</f>
        <v/>
      </c>
      <c r="E34" s="41">
        <f>slv_total-'_calc'!$T$4704+'_calc'!$U$4704</f>
        <v/>
      </c>
      <c r="F34" s="49">
        <f>($D34+(1+$C$26)*$E34)/slv_den</f>
        <v/>
      </c>
      <c r="G34" s="45">
        <f>IF(slv_lrcur=0,0,slv_lrcur*(slv_crl/$F34)*$C$14*slv_aother)</f>
        <v/>
      </c>
      <c r="H34" s="118">
        <f>IF($C$7="","-",IF($G34&lt;=$C$7,"YES","no"))</f>
        <v/>
      </c>
      <c r="I34" s="42">
        <f>IF($H34="YES",6,0)</f>
        <v/>
      </c>
      <c r="J34" s="209">
        <f>IF($C$7="","",$C$7)</f>
        <v/>
      </c>
    </row>
    <row r="35">
      <c r="B35" s="118">
        <f>TEXT(DATE(nr_PlanYear,7,1),"mmm yyyy")</f>
        <v/>
      </c>
      <c r="C35" s="208">
        <f>DATE(nr_PlanYear,7,1)</f>
        <v/>
      </c>
      <c r="D35" s="41">
        <f>'_calc'!$T$4704</f>
        <v/>
      </c>
      <c r="E35" s="41">
        <f>slv_total-'_calc'!$T$4705+'_calc'!$U$4705</f>
        <v/>
      </c>
      <c r="F35" s="49">
        <f>($D35+(1+$C$26)*$E35)/slv_den</f>
        <v/>
      </c>
      <c r="G35" s="45">
        <f>IF(slv_lrcur=0,0,slv_lrcur*(slv_crl/$F35)*$C$14*slv_aother)</f>
        <v/>
      </c>
      <c r="H35" s="118">
        <f>IF($C$7="","-",IF($G35&lt;=$C$7,"YES","no"))</f>
        <v/>
      </c>
      <c r="I35" s="42">
        <f>IF($H35="YES",7,0)</f>
        <v/>
      </c>
      <c r="J35" s="209">
        <f>IF($C$7="","",$C$7)</f>
        <v/>
      </c>
    </row>
    <row r="36">
      <c r="B36" s="118">
        <f>TEXT(DATE(nr_PlanYear,8,1),"mmm yyyy")</f>
        <v/>
      </c>
      <c r="C36" s="208">
        <f>DATE(nr_PlanYear,8,1)</f>
        <v/>
      </c>
      <c r="D36" s="41">
        <f>'_calc'!$T$4705</f>
        <v/>
      </c>
      <c r="E36" s="41">
        <f>slv_total-'_calc'!$T$4706+'_calc'!$U$4706</f>
        <v/>
      </c>
      <c r="F36" s="49">
        <f>($D36+(1+$C$26)*$E36)/slv_den</f>
        <v/>
      </c>
      <c r="G36" s="45">
        <f>IF(slv_lrcur=0,0,slv_lrcur*(slv_crl/$F36)*$C$14*slv_aother)</f>
        <v/>
      </c>
      <c r="H36" s="118">
        <f>IF($C$7="","-",IF($G36&lt;=$C$7,"YES","no"))</f>
        <v/>
      </c>
      <c r="I36" s="42">
        <f>IF($H36="YES",8,0)</f>
        <v/>
      </c>
      <c r="J36" s="209">
        <f>IF($C$7="","",$C$7)</f>
        <v/>
      </c>
    </row>
    <row r="37">
      <c r="B37" s="118">
        <f>TEXT(DATE(nr_PlanYear,9,1),"mmm yyyy")</f>
        <v/>
      </c>
      <c r="C37" s="208">
        <f>DATE(nr_PlanYear,9,1)</f>
        <v/>
      </c>
      <c r="D37" s="41">
        <f>'_calc'!$T$4706</f>
        <v/>
      </c>
      <c r="E37" s="41">
        <f>slv_total-'_calc'!$T$4707+'_calc'!$U$4707</f>
        <v/>
      </c>
      <c r="F37" s="49">
        <f>($D37+(1+$C$26)*$E37)/slv_den</f>
        <v/>
      </c>
      <c r="G37" s="45">
        <f>IF(slv_lrcur=0,0,slv_lrcur*(slv_crl/$F37)*$C$14*slv_aother)</f>
        <v/>
      </c>
      <c r="H37" s="118">
        <f>IF($C$7="","-",IF($G37&lt;=$C$7,"YES","no"))</f>
        <v/>
      </c>
      <c r="I37" s="42">
        <f>IF($H37="YES",9,0)</f>
        <v/>
      </c>
      <c r="J37" s="209">
        <f>IF($C$7="","",$C$7)</f>
        <v/>
      </c>
    </row>
    <row r="38">
      <c r="B38" s="118">
        <f>TEXT(DATE(nr_PlanYear,10,1),"mmm yyyy")</f>
        <v/>
      </c>
      <c r="C38" s="208">
        <f>DATE(nr_PlanYear,10,1)</f>
        <v/>
      </c>
      <c r="D38" s="41">
        <f>'_calc'!$T$4707</f>
        <v/>
      </c>
      <c r="E38" s="41">
        <f>slv_total-'_calc'!$T$4708+'_calc'!$U$4708</f>
        <v/>
      </c>
      <c r="F38" s="49">
        <f>($D38+(1+$C$26)*$E38)/slv_den</f>
        <v/>
      </c>
      <c r="G38" s="45">
        <f>IF(slv_lrcur=0,0,slv_lrcur*(slv_crl/$F38)*$C$14*slv_aother)</f>
        <v/>
      </c>
      <c r="H38" s="118">
        <f>IF($C$7="","-",IF($G38&lt;=$C$7,"YES","no"))</f>
        <v/>
      </c>
      <c r="I38" s="42">
        <f>IF($H38="YES",10,0)</f>
        <v/>
      </c>
      <c r="J38" s="209">
        <f>IF($C$7="","",$C$7)</f>
        <v/>
      </c>
    </row>
    <row r="39">
      <c r="B39" s="118">
        <f>TEXT(DATE(nr_PlanYear,11,1),"mmm yyyy")</f>
        <v/>
      </c>
      <c r="C39" s="208">
        <f>DATE(nr_PlanYear,11,1)</f>
        <v/>
      </c>
      <c r="D39" s="41">
        <f>'_calc'!$T$4708</f>
        <v/>
      </c>
      <c r="E39" s="41">
        <f>slv_total-'_calc'!$T$4709+'_calc'!$U$4709</f>
        <v/>
      </c>
      <c r="F39" s="49">
        <f>($D39+(1+$C$26)*$E39)/slv_den</f>
        <v/>
      </c>
      <c r="G39" s="45">
        <f>IF(slv_lrcur=0,0,slv_lrcur*(slv_crl/$F39)*$C$14*slv_aother)</f>
        <v/>
      </c>
      <c r="H39" s="118">
        <f>IF($C$7="","-",IF($G39&lt;=$C$7,"YES","no"))</f>
        <v/>
      </c>
      <c r="I39" s="42">
        <f>IF($H39="YES",11,0)</f>
        <v/>
      </c>
      <c r="J39" s="209">
        <f>IF($C$7="","",$C$7)</f>
        <v/>
      </c>
    </row>
    <row r="40">
      <c r="B40" s="118">
        <f>TEXT(DATE(nr_PlanYear,12,1),"mmm yyyy")</f>
        <v/>
      </c>
      <c r="C40" s="208">
        <f>DATE(nr_PlanYear,12,1)</f>
        <v/>
      </c>
      <c r="D40" s="41">
        <f>'_calc'!$T$4709</f>
        <v/>
      </c>
      <c r="E40" s="41">
        <f>slv_total-'_calc'!$T$4710+'_calc'!$U$4710</f>
        <v/>
      </c>
      <c r="F40" s="49">
        <f>($D40+(1+$C$26)*$E40)/slv_den</f>
        <v/>
      </c>
      <c r="G40" s="45">
        <f>IF(slv_lrcur=0,0,slv_lrcur*(slv_crl/$F40)*$C$14*slv_aother)</f>
        <v/>
      </c>
      <c r="H40" s="118">
        <f>IF($C$7="","-",IF($G40&lt;=$C$7,"YES","no"))</f>
        <v/>
      </c>
      <c r="I40" s="42">
        <f>IF($H40="YES",12,0)</f>
        <v/>
      </c>
      <c r="J40" s="209">
        <f>IF($C$7="","",$C$7)</f>
        <v/>
      </c>
    </row>
    <row r="42">
      <c r="B42" s="18" t="inlineStr">
        <is>
          <t>Latest start month that still meets the target</t>
        </is>
      </c>
      <c r="D42" s="21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3">
        <f>IF(COUNTIF('_calc'!$A$4268:$A$4507,1)=0,"",INDEX(rl_eff,MATCH(1,'_calc'!$A$4268:$A$4507,0)))</f>
        <v/>
      </c>
      <c r="D14" s="44">
        <f>IF($C14="","",INDEX(rl_reff,MATCH(1,'_calc'!$A$4268:$A$4507,0)))</f>
        <v/>
      </c>
      <c r="E14" s="58" t="n"/>
      <c r="F14" s="212" t="n"/>
    </row>
    <row r="15">
      <c r="B15" s="90" t="n">
        <v>2</v>
      </c>
      <c r="C15" s="213">
        <f>IF(COUNTIF('_calc'!$A$4268:$A$4507,2)=0,"",INDEX(rl_eff,MATCH(2,'_calc'!$A$4268:$A$4507,0)))</f>
        <v/>
      </c>
      <c r="D15" s="44">
        <f>IF($C15="","",INDEX(rl_reff,MATCH(2,'_calc'!$A$4268:$A$4507,0)))</f>
        <v/>
      </c>
      <c r="E15" s="58" t="n"/>
      <c r="F15" s="212" t="n"/>
    </row>
    <row r="16">
      <c r="B16" s="90" t="n">
        <v>3</v>
      </c>
      <c r="C16" s="213">
        <f>IF(COUNTIF('_calc'!$A$4268:$A$4507,3)=0,"",INDEX(rl_eff,MATCH(3,'_calc'!$A$4268:$A$4507,0)))</f>
        <v/>
      </c>
      <c r="D16" s="44">
        <f>IF($C16="","",INDEX(rl_reff,MATCH(3,'_calc'!$A$4268:$A$4507,0)))</f>
        <v/>
      </c>
      <c r="E16" s="58" t="n"/>
      <c r="F16" s="212" t="n"/>
    </row>
    <row r="17">
      <c r="B17" s="90" t="n">
        <v>4</v>
      </c>
      <c r="C17" s="213">
        <f>IF(COUNTIF('_calc'!$A$4268:$A$4507,4)=0,"",INDEX(rl_eff,MATCH(4,'_calc'!$A$4268:$A$4507,0)))</f>
        <v/>
      </c>
      <c r="D17" s="44">
        <f>IF($C17="","",INDEX(rl_reff,MATCH(4,'_calc'!$A$4268:$A$4507,0)))</f>
        <v/>
      </c>
      <c r="E17" s="58" t="n"/>
      <c r="F17" s="212" t="n"/>
    </row>
    <row r="18">
      <c r="B18" s="90" t="n">
        <v>5</v>
      </c>
      <c r="C18" s="213">
        <f>IF(COUNTIF('_calc'!$A$4268:$A$4507,5)=0,"",INDEX(rl_eff,MATCH(5,'_calc'!$A$4268:$A$4507,0)))</f>
        <v/>
      </c>
      <c r="D18" s="44">
        <f>IF($C18="","",INDEX(rl_reff,MATCH(5,'_calc'!$A$4268:$A$4507,0)))</f>
        <v/>
      </c>
      <c r="E18" s="58" t="n"/>
      <c r="F18" s="212" t="n"/>
    </row>
    <row r="19">
      <c r="B19" s="90" t="n">
        <v>6</v>
      </c>
      <c r="C19" s="213">
        <f>IF(COUNTIF('_calc'!$A$4268:$A$4507,6)=0,"",INDEX(rl_eff,MATCH(6,'_calc'!$A$4268:$A$4507,0)))</f>
        <v/>
      </c>
      <c r="D19" s="44">
        <f>IF($C19="","",INDEX(rl_reff,MATCH(6,'_calc'!$A$4268:$A$4507,0)))</f>
        <v/>
      </c>
      <c r="E19" s="58" t="n"/>
      <c r="F19" s="212" t="n"/>
    </row>
    <row r="20">
      <c r="B20" s="90" t="n">
        <v>7</v>
      </c>
      <c r="C20" s="213">
        <f>IF(COUNTIF('_calc'!$A$4268:$A$4507,7)=0,"",INDEX(rl_eff,MATCH(7,'_calc'!$A$4268:$A$4507,0)))</f>
        <v/>
      </c>
      <c r="D20" s="44">
        <f>IF($C20="","",INDEX(rl_reff,MATCH(7,'_calc'!$A$4268:$A$4507,0)))</f>
        <v/>
      </c>
      <c r="E20" s="58" t="n"/>
      <c r="F20" s="212" t="n"/>
    </row>
    <row r="21">
      <c r="B21" s="90" t="n">
        <v>8</v>
      </c>
      <c r="C21" s="213">
        <f>IF(COUNTIF('_calc'!$A$4268:$A$4507,8)=0,"",INDEX(rl_eff,MATCH(8,'_calc'!$A$4268:$A$4507,0)))</f>
        <v/>
      </c>
      <c r="D21" s="44">
        <f>IF($C21="","",INDEX(rl_reff,MATCH(8,'_calc'!$A$4268:$A$4507,0)))</f>
        <v/>
      </c>
      <c r="E21" s="58" t="n"/>
      <c r="F21" s="21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3">
        <f>nr_CYLR_P</f>
        <v/>
      </c>
    </row>
    <row r="26">
      <c r="B26" s="20" t="inlineStr">
        <is>
          <t>1. Rate magnitude (achieved %, planned dates)</t>
        </is>
      </c>
      <c r="C26" s="49">
        <f>IF(nr_NetMode,1,nr_ECY_P/'_calc'!$B$4561)</f>
        <v/>
      </c>
      <c r="D26" s="45">
        <f>$D25*$C26</f>
        <v/>
      </c>
      <c r="E26" s="113">
        <f>($D26-$D25)*100</f>
        <v/>
      </c>
    </row>
    <row r="27">
      <c r="B27" s="20" t="inlineStr">
        <is>
          <t>2. Rate timing (achieved %, actual dates)</t>
        </is>
      </c>
      <c r="C27" s="49">
        <f>IF(nr_NetMode,1,'_calc'!$B$4561/'_calc'!$B$4615)</f>
        <v/>
      </c>
      <c r="D27" s="45">
        <f>$D26*$C27</f>
        <v/>
      </c>
      <c r="E27" s="113">
        <f>($D27-$D26)*100</f>
        <v/>
      </c>
    </row>
    <row r="28">
      <c r="B28" s="20" t="inlineStr">
        <is>
          <t>3. Mod drift (actual mod path)</t>
        </is>
      </c>
      <c r="C28" s="49">
        <f>IF(nr_NetMode,1,IF(AND(nr_ModAdjMaster="ON",nr_ModAdjRow="ON"),nr_MEarned_P/'_calc'!$B$4669,1))</f>
        <v/>
      </c>
      <c r="D28" s="45">
        <f>$D27*$C28</f>
        <v/>
      </c>
      <c r="E28" s="113">
        <f>($D28-$D27)*100</f>
        <v/>
      </c>
    </row>
    <row r="29">
      <c r="B29" s="20" t="inlineStr">
        <is>
          <t>4. Loss-side residual</t>
        </is>
      </c>
      <c r="C29" s="49">
        <f>IF(N(att_actlr)=0,1,att_actlr/$D$28)</f>
        <v/>
      </c>
      <c r="D29" s="45">
        <f>$D28*$C29</f>
        <v/>
      </c>
      <c r="E29" s="113">
        <f>($D29-$D28)*100</f>
        <v/>
      </c>
    </row>
    <row r="30">
      <c r="B30" s="18" t="inlineStr">
        <is>
          <t>Actual CY LR</t>
        </is>
      </c>
      <c r="D30" s="114">
        <f>$D$29</f>
        <v/>
      </c>
    </row>
    <row r="32">
      <c r="B32" s="21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0">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90" t="n">
        <v>1</v>
      </c>
      <c r="B6" s="6" t="inlineStr">
        <is>
          <t>Structure</t>
        </is>
      </c>
      <c r="C6" s="20" t="inlineStr">
        <is>
          <t>Earning-profile row sums = 1 for every in-window cohort</t>
        </is>
      </c>
      <c r="D6" s="215">
        <f>0</f>
        <v/>
      </c>
      <c r="E6" s="215">
        <f>MAX(re_rowsum_chk)</f>
        <v/>
      </c>
      <c r="F6" s="90" t="n">
        <v>1e-09</v>
      </c>
      <c r="G6" s="216">
        <f>IF(ABS($E6-$D6)&lt;=$F6,"PASS","FAIL")</f>
        <v/>
      </c>
    </row>
    <row r="7">
      <c r="A7" s="90" t="n">
        <v>2</v>
      </c>
      <c r="B7" s="6" t="inlineStr">
        <is>
          <t>Structure</t>
        </is>
      </c>
      <c r="C7" s="20" t="inlineStr">
        <is>
          <t>Monthly earned index within [min W, max W] of contributing cohorts</t>
        </is>
      </c>
      <c r="D7" s="215">
        <f>0</f>
        <v/>
      </c>
      <c r="E7" s="215">
        <f>MAX(re_viol_row)</f>
        <v/>
      </c>
      <c r="F7" s="90" t="n">
        <v>1e-09</v>
      </c>
      <c r="G7" s="216">
        <f>IF(ABS($E7-$D7)&lt;=$F7,"PASS","FAIL")</f>
        <v/>
      </c>
    </row>
    <row r="8">
      <c r="A8" s="90" t="n">
        <v>3</v>
      </c>
      <c r="B8" s="6" t="inlineStr">
        <is>
          <t>Structure</t>
        </is>
      </c>
      <c r="C8" s="20" t="inlineStr">
        <is>
          <t>E_CY(P): monthly-matrix aggregation = closed-form ec aggregation</t>
        </is>
      </c>
      <c r="D8" s="215">
        <f>nr_ECY_P</f>
        <v/>
      </c>
      <c r="E8" s="215">
        <f>re_ecy_matrix</f>
        <v/>
      </c>
      <c r="F8" s="90" t="n">
        <v>1e-09</v>
      </c>
      <c r="G8" s="216">
        <f>IF(ABS($E8-$D8)&lt;=$F8,"PASS","FAIL")</f>
        <v/>
      </c>
    </row>
    <row r="9">
      <c r="A9" s="90" t="n">
        <v>4</v>
      </c>
      <c r="B9" s="6" t="inlineStr">
        <is>
          <t>Structure</t>
        </is>
      </c>
      <c r="C9" s="20" t="inlineStr">
        <is>
          <t>E_CY(P): visible Rate Engine = hidden _calc block (selected combo)</t>
        </is>
      </c>
      <c r="D9" s="215">
        <f>0</f>
        <v/>
      </c>
      <c r="E9" s="215">
        <f>IF(br_selrow=0,0,ABS(INDEX(calc_ecy_p,br_selrow)-nr_ECY_P))</f>
        <v/>
      </c>
      <c r="F9" s="90" t="n">
        <v>1e-09</v>
      </c>
      <c r="G9" s="216">
        <f>IF(ABS($E9-$D9)&lt;=$F9,"PASS","FAIL")</f>
        <v/>
      </c>
    </row>
    <row r="10">
      <c r="A10" s="90" t="n">
        <v>5</v>
      </c>
      <c r="B10" s="6" t="inlineStr">
        <is>
          <t>Structure</t>
        </is>
      </c>
      <c r="C10" s="20" t="inlineStr">
        <is>
          <t>CRL_ind: visible Rate Engine = hidden _calc block (selected combo)</t>
        </is>
      </c>
      <c r="D10" s="215">
        <f>0</f>
        <v/>
      </c>
      <c r="E10" s="215">
        <f>IF(br_selrow=0,0,ABS(INDEX(calc_crl,br_selrow)-nr_CRLind))</f>
        <v/>
      </c>
      <c r="F10" s="90" t="n">
        <v>1e-09</v>
      </c>
      <c r="G10" s="216">
        <f>IF(ABS($E10-$D10)&lt;=$F10,"PASS","FAIL")</f>
        <v/>
      </c>
    </row>
    <row r="11">
      <c r="A11" s="90" t="n">
        <v>6</v>
      </c>
      <c r="B11" s="6" t="inlineStr">
        <is>
          <t>Structure</t>
        </is>
      </c>
      <c r="C11" s="20" t="inlineStr">
        <is>
          <t>Bridge chain: LR_cur x A_rate x A_mod x A_other = CY plan LR</t>
        </is>
      </c>
      <c r="D11" s="215">
        <f>0</f>
        <v/>
      </c>
      <c r="E11" s="215">
        <f>ABS(nr_LRcur*nr_Arate_P*nr_Amod_P*nr_AOther-nr_CYLR_P)</f>
        <v/>
      </c>
      <c r="F11" s="90" t="n">
        <v>1e-09</v>
      </c>
      <c r="G11" s="216">
        <f>IF(ABS($E11-$D11)&lt;=$F11,"PASS","FAIL")</f>
        <v/>
      </c>
    </row>
    <row r="12">
      <c r="A12" s="90" t="n">
        <v>7</v>
      </c>
      <c r="B12" s="6" t="inlineStr">
        <is>
          <t>Structure</t>
        </is>
      </c>
      <c r="C12" s="20" t="inlineStr">
        <is>
          <t>Bridge chain (P+1): with (1+trend) factor = CY LR(P+1)</t>
        </is>
      </c>
      <c r="D12" s="215">
        <f>0</f>
        <v/>
      </c>
      <c r="E12" s="215">
        <f>ABS(nr_LRcur*(1+nr_Trend)*nr_Arate_P1*nr_Amod_P1*nr_AOther-nr_CYLR_P1)</f>
        <v/>
      </c>
      <c r="F12" s="90" t="n">
        <v>1e-09</v>
      </c>
      <c r="G12" s="216">
        <f>IF(ABS($E12-$D12)&lt;=$F12,"PASS","FAIL")</f>
        <v/>
      </c>
    </row>
    <row r="13">
      <c r="A13" s="90" t="n">
        <v>8</v>
      </c>
      <c r="B13" s="6" t="inlineStr">
        <is>
          <t>Structure</t>
        </is>
      </c>
      <c r="C13" s="20" t="inlineStr">
        <is>
          <t>Portfolio row = Bridge result (selected combo)</t>
        </is>
      </c>
      <c r="D13" s="215">
        <f>0</f>
        <v/>
      </c>
      <c r="E13" s="215">
        <f>IF(br_selrow=0,0,ABS(INDEX(calc_cylr_p,br_selrow)-nr_CYLR_P))</f>
        <v/>
      </c>
      <c r="F13" s="90" t="n">
        <v>1e-09</v>
      </c>
      <c r="G13" s="216">
        <f>IF(ABS($E13-$D13)&lt;=$F13,"PASS","FAIL")</f>
        <v/>
      </c>
    </row>
    <row r="14">
      <c r="A14" s="90" t="n">
        <v>9</v>
      </c>
      <c r="B14" s="6" t="inlineStr">
        <is>
          <t>Structure</t>
        </is>
      </c>
      <c r="C14" s="20" t="inlineStr">
        <is>
          <t>Scenario engine reproduces Base when all levers blank</t>
        </is>
      </c>
      <c r="D14" s="215">
        <f>0</f>
        <v/>
      </c>
      <c r="E14" s="215">
        <f>IF(COUNT(sc_dpts,sc_shift,sc_ach,sc_dm1,sc_dnet)&gt;0,0,ABS(INDEX(sc_res_cylr,2)-nr_CYLR_P))</f>
        <v/>
      </c>
      <c r="F14" s="90" t="n">
        <v>1e-09</v>
      </c>
      <c r="G14" s="216">
        <f>IF(ABS($E14-$D14)&lt;=$F14,"PASS","FAIL")</f>
        <v/>
      </c>
    </row>
    <row r="15">
      <c r="A15" s="90" t="n">
        <v>10</v>
      </c>
      <c r="B15" s="6" t="inlineStr">
        <is>
          <t>Identity</t>
        </is>
      </c>
      <c r="C15" s="20" t="inlineStr">
        <is>
          <t>Linear-mod identity: CY P earned mod = written mod at 1/1/P (§3.3.5)</t>
        </is>
      </c>
      <c r="D15" s="136">
        <f>me_identity</f>
        <v/>
      </c>
      <c r="E15" s="136">
        <f>nr_MEarned_P</f>
        <v/>
      </c>
      <c r="F15" s="217">
        <f>MAX(0.0002,ABS('Mod Engine'!$H$7)*2)</f>
        <v/>
      </c>
      <c r="G15" s="216">
        <f>IF(NOT(me_identity_ok),"N/A",IF(ABS(nr_MEarned_P-me_identity)&lt;=$F15,"PASS","FAIL"))</f>
        <v/>
      </c>
    </row>
    <row r="16">
      <c r="A16" s="90" t="n">
        <v>11</v>
      </c>
      <c r="B16" s="6" t="inlineStr">
        <is>
          <t>Structure</t>
        </is>
      </c>
      <c r="C16" s="20" t="inlineStr">
        <is>
          <t>Attribution factors multiply back to the actual CY LR</t>
        </is>
      </c>
      <c r="D16" s="45">
        <f>N(att_actlr)</f>
        <v/>
      </c>
      <c r="E16" s="215">
        <f>IF(N(att_actlr)=0,0,ABS('Attribution'!$D$25*'Attribution'!$C$26*'Attribution'!$C$27*'Attribution'!$C$28*'Attribution'!$C$29-att_actlr))</f>
        <v/>
      </c>
      <c r="F16" s="90" t="n">
        <v>1e-07</v>
      </c>
      <c r="G16" s="216">
        <f>IF(N(att_actlr)=0,"N/A",IF($E16&lt;=$F16,"PASS","FAIL"))</f>
        <v/>
      </c>
    </row>
    <row r="17">
      <c r="A17" s="90" t="n">
        <v>12</v>
      </c>
      <c r="B17" s="6" t="inlineStr">
        <is>
          <t>Oracle tie</t>
        </is>
      </c>
      <c r="C17" s="20" t="inlineStr">
        <is>
          <t>CRL_ind ties oracle</t>
        </is>
      </c>
      <c r="D17" s="215">
        <f>orc_crl</f>
        <v/>
      </c>
      <c r="E17" s="215">
        <f>nr_CRLind</f>
        <v/>
      </c>
      <c r="F17" s="90" t="n">
        <v>1e-06</v>
      </c>
      <c r="G17" s="216">
        <f>IF(NOT(orc_fp),"N/A",IF(ABS($E17-$D17)&lt;=$F17,"PASS","FAIL"))</f>
        <v/>
      </c>
    </row>
    <row r="18">
      <c r="A18" s="90" t="n">
        <v>13</v>
      </c>
      <c r="B18" s="6" t="inlineStr">
        <is>
          <t>Oracle tie</t>
        </is>
      </c>
      <c r="C18" s="20" t="inlineStr">
        <is>
          <t>E_CY(P-1) ties oracle</t>
        </is>
      </c>
      <c r="D18" s="215">
        <f>orc_ecy_pm1</f>
        <v/>
      </c>
      <c r="E18" s="215">
        <f>nr_ECY_Pm1</f>
        <v/>
      </c>
      <c r="F18" s="90" t="n">
        <v>1e-06</v>
      </c>
      <c r="G18" s="216">
        <f>IF(NOT(orc_fp),"N/A",IF(ABS($E18-$D18)&lt;=$F18,"PASS","FAIL"))</f>
        <v/>
      </c>
    </row>
    <row r="19">
      <c r="A19" s="90" t="n">
        <v>14</v>
      </c>
      <c r="B19" s="6" t="inlineStr">
        <is>
          <t>Oracle tie</t>
        </is>
      </c>
      <c r="C19" s="20" t="inlineStr">
        <is>
          <t>E_CY(P) ties oracle</t>
        </is>
      </c>
      <c r="D19" s="215">
        <f>orc_ecy_p</f>
        <v/>
      </c>
      <c r="E19" s="215">
        <f>nr_ECY_P</f>
        <v/>
      </c>
      <c r="F19" s="90" t="n">
        <v>1e-06</v>
      </c>
      <c r="G19" s="216">
        <f>IF(NOT(orc_fp),"N/A",IF(ABS($E19-$D19)&lt;=$F19,"PASS","FAIL"))</f>
        <v/>
      </c>
    </row>
    <row r="20">
      <c r="A20" s="90" t="n">
        <v>15</v>
      </c>
      <c r="B20" s="6" t="inlineStr">
        <is>
          <t>Oracle tie</t>
        </is>
      </c>
      <c r="C20" s="20" t="inlineStr">
        <is>
          <t>E_CY(P+1) ties oracle</t>
        </is>
      </c>
      <c r="D20" s="215">
        <f>orc_ecy_p1</f>
        <v/>
      </c>
      <c r="E20" s="215">
        <f>nr_ECY_P1</f>
        <v/>
      </c>
      <c r="F20" s="90" t="n">
        <v>1e-06</v>
      </c>
      <c r="G20" s="216">
        <f>IF(NOT(orc_fp),"N/A",IF(ABS($E20-$D20)&lt;=$F20,"PASS","FAIL"))</f>
        <v/>
      </c>
    </row>
    <row r="21">
      <c r="A21" s="90" t="n">
        <v>16</v>
      </c>
      <c r="B21" s="6" t="inlineStr">
        <is>
          <t>Oracle tie</t>
        </is>
      </c>
      <c r="C21" s="20" t="inlineStr">
        <is>
          <t>CY P earned mod ties oracle</t>
        </is>
      </c>
      <c r="D21" s="215">
        <f>orc_mbar_p</f>
        <v/>
      </c>
      <c r="E21" s="215">
        <f>nr_MEarned_P</f>
        <v/>
      </c>
      <c r="F21" s="90" t="n">
        <v>1e-06</v>
      </c>
      <c r="G21" s="216">
        <f>IF(NOT(orc_fp),"N/A",IF(ABS($E21-$D21)&lt;=$F21,"PASS","FAIL"))</f>
        <v/>
      </c>
    </row>
    <row r="22">
      <c r="A22" s="90" t="n">
        <v>17</v>
      </c>
      <c r="B22" s="6" t="inlineStr">
        <is>
          <t>Oracle tie</t>
        </is>
      </c>
      <c r="C22" s="20" t="inlineStr">
        <is>
          <t>A_rate(P) ties oracle</t>
        </is>
      </c>
      <c r="D22" s="215">
        <f>orc_arate_p</f>
        <v/>
      </c>
      <c r="E22" s="215">
        <f>nr_Arate_P</f>
        <v/>
      </c>
      <c r="F22" s="90" t="n">
        <v>1e-06</v>
      </c>
      <c r="G22" s="216">
        <f>IF(NOT(orc_fp),"N/A",IF(ABS($E22-$D22)&lt;=$F22,"PASS","FAIL"))</f>
        <v/>
      </c>
    </row>
    <row r="23">
      <c r="A23" s="90" t="n">
        <v>18</v>
      </c>
      <c r="B23" s="6" t="inlineStr">
        <is>
          <t>Oracle tie</t>
        </is>
      </c>
      <c r="C23" s="20" t="inlineStr">
        <is>
          <t>A_rate(P+1) ties oracle</t>
        </is>
      </c>
      <c r="D23" s="215">
        <f>orc_arate_p1</f>
        <v/>
      </c>
      <c r="E23" s="215">
        <f>nr_Arate_P1</f>
        <v/>
      </c>
      <c r="F23" s="90" t="n">
        <v>1e-06</v>
      </c>
      <c r="G23" s="216">
        <f>IF(NOT(orc_fp),"N/A",IF(ABS($E23-$D23)&lt;=$F23,"PASS","FAIL"))</f>
        <v/>
      </c>
    </row>
    <row r="24">
      <c r="A24" s="90" t="n">
        <v>19</v>
      </c>
      <c r="B24" s="6" t="inlineStr">
        <is>
          <t>Oracle tie</t>
        </is>
      </c>
      <c r="C24" s="20" t="inlineStr">
        <is>
          <t>A_mod(P) ties oracle</t>
        </is>
      </c>
      <c r="D24" s="215">
        <f>orc_amod_p</f>
        <v/>
      </c>
      <c r="E24" s="215">
        <f>nr_Amod_P</f>
        <v/>
      </c>
      <c r="F24" s="90" t="n">
        <v>1e-06</v>
      </c>
      <c r="G24" s="216">
        <f>IF(NOT(orc_fp),"N/A",IF(ABS($E24-$D24)&lt;=$F24,"PASS","FAIL"))</f>
        <v/>
      </c>
    </row>
    <row r="25">
      <c r="A25" s="90" t="n">
        <v>20</v>
      </c>
      <c r="B25" s="6" t="inlineStr">
        <is>
          <t>Oracle tie</t>
        </is>
      </c>
      <c r="C25" s="20" t="inlineStr">
        <is>
          <t>CY 2027 plan LR ties oracle (monthly convention)</t>
        </is>
      </c>
      <c r="D25" s="215">
        <f>orc_cylr_p</f>
        <v/>
      </c>
      <c r="E25" s="215">
        <f>nr_CYLR_P</f>
        <v/>
      </c>
      <c r="F25" s="90" t="n">
        <v>1e-06</v>
      </c>
      <c r="G25" s="216">
        <f>IF(NOT(orc_fp),"N/A",IF(ABS($E25-$D25)&lt;=$F25,"PASS","FAIL"))</f>
        <v/>
      </c>
    </row>
    <row r="26">
      <c r="A26" s="90" t="n">
        <v>21</v>
      </c>
      <c r="B26" s="6" t="inlineStr">
        <is>
          <t>Oracle tie</t>
        </is>
      </c>
      <c r="C26" s="20" t="inlineStr">
        <is>
          <t>CY 2028 LR ties oracle</t>
        </is>
      </c>
      <c r="D26" s="215">
        <f>orc_cylr_p1</f>
        <v/>
      </c>
      <c r="E26" s="215">
        <f>nr_CYLR_P1</f>
        <v/>
      </c>
      <c r="F26" s="90" t="n">
        <v>1e-06</v>
      </c>
      <c r="G26" s="216">
        <f>IF(NOT(orc_fp),"N/A",IF(ABS($E26-$D26)&lt;=$F26,"PASS","FAIL"))</f>
        <v/>
      </c>
    </row>
    <row r="27">
      <c r="A27" s="90" t="n">
        <v>22</v>
      </c>
      <c r="B27" s="6" t="inlineStr">
        <is>
          <t>Oracle tie</t>
        </is>
      </c>
      <c r="C27" s="20" t="inlineStr">
        <is>
          <t>CY 2027 plan LR within 0.10 pts of continuous closed form</t>
        </is>
      </c>
      <c r="D27" s="215">
        <f>orc_cylr_p_cont</f>
        <v/>
      </c>
      <c r="E27" s="215">
        <f>nr_CYLR_P</f>
        <v/>
      </c>
      <c r="F27" s="90" t="n">
        <v>0.001</v>
      </c>
      <c r="G27" s="216">
        <f>IF(NOT(orc_fp),"N/A",IF(ABS($E27-$D27)&lt;=$F27,"PASS","FAIL"))</f>
        <v/>
      </c>
    </row>
    <row r="28">
      <c r="A28" s="90" t="n">
        <v>23</v>
      </c>
      <c r="B28" s="6" t="inlineStr">
        <is>
          <t>Oracle tie</t>
        </is>
      </c>
      <c r="C28" s="20" t="inlineStr">
        <is>
          <t>Solver Mode A returns the seeded planned change (acceptance §11.7)</t>
        </is>
      </c>
      <c r="D28" s="218">
        <f>orc_solver_r</f>
        <v/>
      </c>
      <c r="E28" s="218">
        <f>IF(ISNUMBER(nr_SolverR),nr_SolverR,-999)</f>
        <v/>
      </c>
      <c r="F28" s="90" t="n">
        <v>1e-06</v>
      </c>
      <c r="G28" s="216">
        <f>IF(OR(NOT(orc_fp),UPPER('Solver'!$C$4)&lt;&gt;"Y",ABS('Solver'!$C$7-orc_cylr_p)&gt;0.000001,'Solver'!$C$8&lt;&gt;DATE(nr_PlanYear,4,1)),"N/A",IF(ABS($E28-$D28)&lt;=$F28,"PASS","FAIL"))</f>
        <v/>
      </c>
    </row>
    <row r="29">
      <c r="A29" s="90" t="n">
        <v>24</v>
      </c>
      <c r="B29" s="6" t="inlineStr">
        <is>
          <t>Oracle tie</t>
        </is>
      </c>
      <c r="C29" s="20" t="inlineStr">
        <is>
          <t>Solver Mode B April row equals the base CY plan LR</t>
        </is>
      </c>
      <c r="D29" s="45">
        <f>orc_cylr_p</f>
        <v/>
      </c>
      <c r="E29" s="45">
        <f>'Solver'!$G$32</f>
        <v/>
      </c>
      <c r="F29" s="90" t="n">
        <v>1e-06</v>
      </c>
      <c r="G29" s="216">
        <f>IF(OR(NOT(orc_fp),UPPER('Solver'!$C$4)&lt;&gt;"Y",'Solver'!$C$26&lt;&gt;0.05),"N/A",IF(ABS($E29-$D29)&lt;=$F29,"PASS","FAIL"))</f>
        <v/>
      </c>
    </row>
    <row r="30">
      <c r="A30" s="90" t="n">
        <v>25</v>
      </c>
      <c r="B30" s="6" t="inlineStr">
        <is>
          <t>Input sanity</t>
        </is>
      </c>
      <c r="C30" s="20" t="inlineStr">
        <is>
          <t>Achievement % within [0%, 150%]</t>
        </is>
      </c>
      <c r="D30" s="215">
        <f>0</f>
        <v/>
      </c>
      <c r="E30" s="215">
        <f>COUNTIF(rl_ach,"&gt;1.5")+COUNTIF(rl_ach,"&lt;0")</f>
        <v/>
      </c>
      <c r="F30" s="90" t="n">
        <v>0</v>
      </c>
      <c r="G30" s="216">
        <f>IF(ABS($E30-$D30)&lt;=$F30,"PASS","FAIL")</f>
        <v/>
      </c>
    </row>
    <row r="31">
      <c r="A31" s="90" t="n">
        <v>26</v>
      </c>
      <c r="B31" s="6" t="inlineStr">
        <is>
          <t>Input sanity</t>
        </is>
      </c>
      <c r="C31" s="20" t="inlineStr">
        <is>
          <t>Schedule mods (M_ind, M_0, M_1) within [0.5, 1.5]</t>
        </is>
      </c>
      <c r="D31" s="215">
        <f>0</f>
        <v/>
      </c>
      <c r="E31" s="215">
        <f>COUNTIF(lr_mind,"&gt;1.5")+COUNTIF(lr_mind,"&lt;0.5")+COUNTIF(lr_m0,"&gt;1.5")+COUNTIF(lr_m0,"&lt;0.5")+COUNTIF(lr_m1,"&gt;1.5")+COUNTIF(lr_m1,"&lt;0.5")</f>
        <v/>
      </c>
      <c r="F31" s="90" t="n">
        <v>0</v>
      </c>
      <c r="G31" s="216">
        <f>IF(ABS($E31-$D31)&lt;=$F31,"PASS","FAIL")</f>
        <v/>
      </c>
    </row>
    <row r="32">
      <c r="A32" s="90" t="n">
        <v>27</v>
      </c>
      <c r="B32" s="6" t="inlineStr">
        <is>
          <t>Input sanity</t>
        </is>
      </c>
      <c r="C32" s="20" t="inlineStr">
        <is>
          <t>Optional mods (M_prior, M_2) within [0.5, 1.5]</t>
        </is>
      </c>
      <c r="D32" s="215">
        <f>0</f>
        <v/>
      </c>
      <c r="E32" s="215">
        <f>COUNTIF(lr_mprior,"&gt;1.5")+COUNTIF(lr_mprior,"&lt;0.5")+COUNTIF(lr_m2,"&gt;1.5")+COUNTIF(lr_m2,"&lt;0.5")</f>
        <v/>
      </c>
      <c r="F32" s="90" t="n">
        <v>0</v>
      </c>
      <c r="G32" s="216">
        <f>IF(ABS($E32-$D32)&lt;=$F32,"PASS","FAIL")</f>
        <v/>
      </c>
    </row>
    <row r="33">
      <c r="A33" s="90" t="n">
        <v>28</v>
      </c>
      <c r="B33" s="6" t="inlineStr">
        <is>
          <t>Input sanity</t>
        </is>
      </c>
      <c r="C33" s="20" t="inlineStr">
        <is>
          <t>Every effective change keeps 1 + r &gt; 0</t>
        </is>
      </c>
      <c r="D33" s="215">
        <f>0</f>
        <v/>
      </c>
      <c r="E33" s="215">
        <f>COUNTIF(rl_reff,"&lt;=-1")</f>
        <v/>
      </c>
      <c r="F33" s="90" t="n">
        <v>0</v>
      </c>
      <c r="G33" s="216">
        <f>IF(ABS($E33-$D33)&lt;=$F33,"PASS","FAIL")</f>
        <v/>
      </c>
    </row>
    <row r="34">
      <c r="A34" s="90" t="n">
        <v>29</v>
      </c>
      <c r="B34" s="6" t="inlineStr">
        <is>
          <t>Input sanity</t>
        </is>
      </c>
      <c r="C34" s="20" t="inlineStr">
        <is>
          <t>M_0 as-of dates precede 12/31 of the plan year</t>
        </is>
      </c>
      <c r="D34" s="215">
        <f>0</f>
        <v/>
      </c>
      <c r="E34" s="215">
        <f>SUMPRODUCT((lr_key&lt;&gt;"")*(N(lr_m0asof)&gt;=DATE(nr_PlanYear,12,31))*1)</f>
        <v/>
      </c>
      <c r="F34" s="90" t="n">
        <v>0</v>
      </c>
      <c r="G34" s="216">
        <f>IF(ABS($E34-$D34)&lt;=$F34,"PASS","FAIL")</f>
        <v/>
      </c>
    </row>
    <row r="35">
      <c r="A35" s="90" t="n">
        <v>30</v>
      </c>
      <c r="B35" s="6" t="inlineStr">
        <is>
          <t>Input sanity</t>
        </is>
      </c>
      <c r="C35" s="20" t="inlineStr">
        <is>
          <t>Rate-log status is taken/planned on every populated row</t>
        </is>
      </c>
      <c r="D35" s="215">
        <f>0</f>
        <v/>
      </c>
      <c r="E35" s="215">
        <f>SUMPRODUCT((rl_key&lt;&gt;"")*(rl_status&lt;&gt;"taken")*(rl_status&lt;&gt;"planned")*1)</f>
        <v/>
      </c>
      <c r="F35" s="90" t="n">
        <v>0</v>
      </c>
      <c r="G35" s="216">
        <f>IF(ABS($E35-$D35)&lt;=$F35,"PASS","FAIL")</f>
        <v/>
      </c>
    </row>
    <row r="36">
      <c r="A36" s="90" t="n">
        <v>31</v>
      </c>
      <c r="B36" s="6" t="inlineStr">
        <is>
          <t>Input sanity</t>
        </is>
      </c>
      <c r="C36" s="20" t="inlineStr">
        <is>
          <t>LR basis is current/proposed (blank treated as current)</t>
        </is>
      </c>
      <c r="D36" s="215">
        <f>0</f>
        <v/>
      </c>
      <c r="E36" s="215">
        <f>SUMPRODUCT((lr_basis&lt;&gt;"current")*(lr_basis&lt;&gt;"proposed")*(lr_basis&lt;&gt;"")*1)</f>
        <v/>
      </c>
      <c r="F36" s="90" t="n">
        <v>0</v>
      </c>
      <c r="G36" s="216">
        <f>IF(ABS($E36-$D36)&lt;=$F36,"PASS","FAIL")</f>
        <v/>
      </c>
    </row>
    <row r="37">
      <c r="A37" s="90" t="n">
        <v>32</v>
      </c>
      <c r="B37" s="6" t="inlineStr">
        <is>
          <t>Input sanity</t>
        </is>
      </c>
      <c r="C37" s="20" t="inlineStr">
        <is>
          <t>Plan EP is non-negative</t>
        </is>
      </c>
      <c r="D37" s="215">
        <f>0</f>
        <v/>
      </c>
      <c r="E37" s="215">
        <f>COUNTIF(lr_ep,"&lt;0")</f>
        <v/>
      </c>
      <c r="F37" s="90" t="n">
        <v>0</v>
      </c>
      <c r="G37" s="216">
        <f>IF(ABS($E37-$D37)&lt;=$F37,"PASS","FAIL")</f>
        <v/>
      </c>
    </row>
    <row r="38">
      <c r="A38" s="90" t="n">
        <v>33</v>
      </c>
      <c r="B38" s="6" t="inlineStr">
        <is>
          <t>Input sanity</t>
        </is>
      </c>
      <c r="C38" s="20" t="inlineStr">
        <is>
          <t>Net rate selections within [-50%, +100%]</t>
        </is>
      </c>
      <c r="D38" s="215">
        <f>0</f>
        <v/>
      </c>
      <c r="E38" s="215">
        <f>COUNTIF(lr_netp,"&gt;1")+COUNTIF(lr_netp,"&lt;-0.5")+COUNTIF(lr_netp1,"&gt;1")+COUNTIF(lr_netp1,"&lt;-0.5")</f>
        <v/>
      </c>
      <c r="F38" s="90" t="n">
        <v>0</v>
      </c>
      <c r="G38" s="216">
        <f>IF(ABS($E38-$D38)&lt;=$F38,"PASS","FAIL")</f>
        <v/>
      </c>
    </row>
    <row r="39">
      <c r="A39" s="90" t="n">
        <v>34</v>
      </c>
      <c r="B39" s="6" t="inlineStr">
        <is>
          <t>Advisory</t>
        </is>
      </c>
      <c r="C39" s="20" t="inlineStr">
        <is>
          <t>Considered flags appear only on taken rows (§3.2.7)</t>
        </is>
      </c>
      <c r="D39" s="215">
        <f>0</f>
        <v/>
      </c>
      <c r="E39" s="215">
        <f>SUMPRODUCT((rl_status="planned")*(rl_cons="Y")*1)</f>
        <v/>
      </c>
      <c r="F39" s="90" t="n">
        <v>0</v>
      </c>
      <c r="G39" s="216">
        <f>IF(ABS($E39-$D39)&lt;=$F39,"PASS","WARN")</f>
        <v/>
      </c>
    </row>
    <row r="40">
      <c r="A40" s="90" t="n">
        <v>35</v>
      </c>
      <c r="B40" s="6" t="inlineStr">
        <is>
          <t>Advisory</t>
        </is>
      </c>
      <c r="C40" s="20" t="inlineStr">
        <is>
          <t>No two changes share a BU|LOB cohort month (exact-blend support, D4)</t>
        </is>
      </c>
      <c r="D40" s="215">
        <f>0</f>
        <v/>
      </c>
      <c r="E40" s="215">
        <f>SUM(rl_dup)</f>
        <v/>
      </c>
      <c r="F40" s="90" t="n">
        <v>0</v>
      </c>
      <c r="G40" s="216">
        <f>IF(ABS($E40-$D40)&lt;=$F40,"PASS","WARN")</f>
        <v/>
      </c>
    </row>
    <row r="41">
      <c r="A41" s="90" t="n">
        <v>36</v>
      </c>
      <c r="B41" s="6" t="inlineStr">
        <is>
          <t>Advisory</t>
        </is>
      </c>
      <c r="C41" s="20" t="inlineStr">
        <is>
          <t>Rate-change dates within the Jan (P-2) .. Dec (P+1) engine window</t>
        </is>
      </c>
      <c r="D41" s="215">
        <f>0</f>
        <v/>
      </c>
      <c r="E41" s="215">
        <f>COUNTIF(rl_eff,"&lt;"&amp;DATE(nr_PlanYear-2,1,1))+COUNTIF(rl_eff,"&gt;"&amp;DATE(nr_PlanYear+1,12,31))</f>
        <v/>
      </c>
      <c r="F41" s="90" t="n">
        <v>0</v>
      </c>
      <c r="G41" s="216">
        <f>IF(ABS($E41-$D41)&lt;=$F41,"PASS","WARN")</f>
        <v/>
      </c>
    </row>
    <row r="42">
      <c r="A42" s="90" t="n">
        <v>37</v>
      </c>
      <c r="B42" s="6" t="inlineStr">
        <is>
          <t>Advisory</t>
        </is>
      </c>
      <c r="C42" s="20" t="inlineStr">
        <is>
          <t>A_other &lt;&gt; 1 carries a label</t>
        </is>
      </c>
      <c r="D42" s="215">
        <f>0</f>
        <v/>
      </c>
      <c r="E42" s="215">
        <f>SUMPRODUCT((lr_key&lt;&gt;"")*(lr_aother&lt;&gt;"")*(lr_aother&lt;&gt;1)*(lr_aotherlbl="")*1)</f>
        <v/>
      </c>
      <c r="F42" s="90" t="n">
        <v>0</v>
      </c>
      <c r="G42" s="216">
        <f>IF(ABS($E42-$D42)&lt;=$F42,"PASS","WARN")</f>
        <v/>
      </c>
    </row>
    <row r="43">
      <c r="A43" s="90" t="n">
        <v>38</v>
      </c>
      <c r="B43" s="6" t="inlineStr">
        <is>
          <t>Advisory</t>
        </is>
      </c>
      <c r="C43" s="20" t="inlineStr">
        <is>
          <t>Populated seasonality rows have a positive weight sum</t>
        </is>
      </c>
      <c r="D43" s="215">
        <f>0</f>
        <v/>
      </c>
      <c r="E43" s="215">
        <f>SUMPRODUCT((se_state&lt;&gt;"")*(N(se_sum)=0)*1)</f>
        <v/>
      </c>
      <c r="F43" s="90" t="n">
        <v>0</v>
      </c>
      <c r="G43" s="216">
        <f>IF(ABS($E43-$D43)&lt;=$F43,"PASS","WARN")</f>
        <v/>
      </c>
    </row>
    <row r="44">
      <c r="A44" s="90" t="n">
        <v>39</v>
      </c>
      <c r="B44" s="6" t="inlineStr">
        <is>
          <t>Advisory</t>
        </is>
      </c>
      <c r="C44" s="20" t="inlineStr">
        <is>
          <t>Considered? column is Y/N (blank counts as N)</t>
        </is>
      </c>
      <c r="D44" s="215">
        <f>0</f>
        <v/>
      </c>
      <c r="E44" s="215">
        <f>SUMPRODUCT((rl_key&lt;&gt;"")*(rl_cons&lt;&gt;"Y")*(rl_cons&lt;&gt;"N")*(rl_cons&lt;&gt;"")*1)</f>
        <v/>
      </c>
      <c r="F44" s="90" t="n">
        <v>0</v>
      </c>
      <c r="G44" s="216">
        <f>IF(ABS($E44-$D44)&lt;=$F44,"PASS","WARN")</f>
        <v/>
      </c>
    </row>
    <row r="45">
      <c r="A45" s="90" t="n">
        <v>40</v>
      </c>
      <c r="B45" s="6" t="inlineStr">
        <is>
          <t>Advisory</t>
        </is>
      </c>
      <c r="C45" s="20" t="inlineStr">
        <is>
          <t>No duplicate BU x state combos in tbl_LR (roster integrity)</t>
        </is>
      </c>
      <c r="D45" s="215">
        <f>0</f>
        <v/>
      </c>
      <c r="E45" s="215">
        <f>SUMPRODUCT((lr_key&lt;&gt;"")*(COUNTIF(lr_key,lr_key)&gt;1)*1)</f>
        <v/>
      </c>
      <c r="F45" s="90" t="n">
        <v>0</v>
      </c>
      <c r="G45" s="216">
        <f>IF(ABS($E45-$D45)&lt;=$F45,"PASS","WARN")</f>
        <v/>
      </c>
    </row>
    <row r="46">
      <c r="A46" s="90" t="n">
        <v>41</v>
      </c>
      <c r="B46" s="6" t="inlineStr">
        <is>
          <t>Advisory</t>
        </is>
      </c>
      <c r="C46" s="20" t="inlineStr">
        <is>
          <t>Net selections pair with an active mod adjustment (else rate-only)</t>
        </is>
      </c>
      <c r="D46" s="215">
        <f>0</f>
        <v/>
      </c>
      <c r="E46" s="215">
        <f>SUMPRODUCT((lr_key&lt;&gt;"")*(1-ISBLANK(lr_netp))*(lr_modadj="OFF")*1)</f>
        <v/>
      </c>
      <c r="F46" s="90" t="n">
        <v>0</v>
      </c>
      <c r="G46" s="216">
        <f>IF(ABS($E46-$D46)&lt;=$F46,"PASS","WARN")</f>
        <v/>
      </c>
    </row>
    <row r="47">
      <c r="A47" s="90" t="n">
        <v>42</v>
      </c>
      <c r="B47" s="6" t="inlineStr">
        <is>
          <t>Advisory</t>
        </is>
      </c>
      <c r="C47" s="20" t="inlineStr">
        <is>
          <t>No planned rows on/after 1/1/P are superseded by a net selection</t>
        </is>
      </c>
      <c r="D47" s="215">
        <f>0</f>
        <v/>
      </c>
      <c r="E47" s="215">
        <f>IF(NOT(nr_NetMode),0,COUNTIFS(rl_key,nr_SelKey,rl_status,"planned",rl_eff,"&gt;="&amp;DATE(nr_PlanYear,1,1)))</f>
        <v/>
      </c>
      <c r="F47" s="90" t="n">
        <v>0</v>
      </c>
      <c r="G47" s="216">
        <f>IF(ABS($E47-$D47)&lt;=$F47,"PASS","WARN")</f>
        <v/>
      </c>
    </row>
    <row r="48">
      <c r="A48" s="90" t="n">
        <v>43</v>
      </c>
      <c r="B48" s="6" t="inlineStr">
        <is>
          <t>Advisory</t>
        </is>
      </c>
      <c r="C48" s="20" t="inlineStr">
        <is>
          <t>Selected BU|State exists in tbl_LR</t>
        </is>
      </c>
      <c r="D48" s="215">
        <f>0</f>
        <v/>
      </c>
      <c r="E48" s="215">
        <f>IF(nr_SelOK,0,1)</f>
        <v/>
      </c>
      <c r="F48" s="90" t="n">
        <v>0</v>
      </c>
      <c r="G48" s="216">
        <f>IF(ABS($E48-$D48)&lt;=$F48,"PASS","WARN")</f>
        <v/>
      </c>
    </row>
    <row r="49">
      <c r="A49" s="90" t="n">
        <v>44</v>
      </c>
      <c r="B49" s="6" t="inlineStr">
        <is>
          <t>Structure</t>
        </is>
      </c>
      <c r="C49" s="20" t="inlineStr">
        <is>
          <t>Walkthrough assembly equals the Bridge result</t>
        </is>
      </c>
      <c r="D49" s="215">
        <f>0</f>
        <v/>
      </c>
      <c r="E49" s="215">
        <f>ABS(nr_WalkLR-nr_CYLR_P)</f>
        <v/>
      </c>
      <c r="F49" s="90" t="n">
        <v>1e-09</v>
      </c>
      <c r="G49" s="216">
        <f>IF(ABS($E49-$D49)&lt;=$F49,"PASS","FAIL")</f>
        <v/>
      </c>
    </row>
    <row r="50">
      <c r="A50" s="90" t="n">
        <v>45</v>
      </c>
      <c r="B50" s="6" t="inlineStr">
        <is>
          <t>Advisory</t>
        </is>
      </c>
      <c r="C50" s="20" t="inlineStr">
        <is>
          <t>Taken rows still carrying an achievement % (it is ignored — restate Filed % as achieved)</t>
        </is>
      </c>
      <c r="D50" s="215">
        <f>0</f>
        <v/>
      </c>
      <c r="E50" s="215">
        <f>SUMPRODUCT((rl_status="taken")*(rl_ach&lt;&gt;"")*(rl_ach&lt;&gt;1)*1)</f>
        <v/>
      </c>
      <c r="F50" s="90" t="n">
        <v>0</v>
      </c>
      <c r="G50" s="216">
        <f>IF(ABS($E50-$D50)&lt;=$F50,"PASS","WARN")</f>
        <v/>
      </c>
    </row>
    <row r="51">
      <c r="A51" s="90" t="n">
        <v>46</v>
      </c>
      <c r="B51" s="6" t="inlineStr">
        <is>
          <t>Structure</t>
        </is>
      </c>
      <c r="C51" s="20" t="inlineStr">
        <is>
          <t>Every distinct state fits on the State Summary display</t>
        </is>
      </c>
      <c r="D51" s="215">
        <f>0</f>
        <v/>
      </c>
      <c r="E51" s="215">
        <f>MAX(0,lst_state_cnt-24)</f>
        <v/>
      </c>
      <c r="F51" s="90" t="n">
        <v>0</v>
      </c>
      <c r="G51" s="216">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9" t="inlineStr">
        <is>
          <t>A</t>
        </is>
      </c>
      <c r="C69" s="220" t="inlineStr">
        <is>
          <t>#</t>
        </is>
      </c>
      <c r="D69" s="7" t="inlineStr">
        <is>
          <t>Cohort number, 1..48.</t>
        </is>
      </c>
    </row>
    <row r="70" ht="19" customHeight="1">
      <c r="B70" s="219" t="inlineStr">
        <is>
          <t>B-D</t>
        </is>
      </c>
      <c r="C70" s="220" t="inlineStr">
        <is>
          <t>Written month / Month end / Days</t>
        </is>
      </c>
      <c r="D70" s="7" t="inlineStr">
        <is>
          <t>The month this cohort of policies is written, plus calendar helpers for the mid-month split.</t>
        </is>
      </c>
    </row>
    <row r="71" ht="19" customHeight="1">
      <c r="B71" s="219" t="inlineStr">
        <is>
          <t>E</t>
        </is>
      </c>
      <c r="C71" s="220" t="inlineStr">
        <is>
          <t>Mo#</t>
        </is>
      </c>
      <c r="D71" s="7" t="inlineStr">
        <is>
          <t>Calendar month number — drives the seasonality weight lookup.</t>
        </is>
      </c>
    </row>
    <row r="72" ht="32" customHeight="1">
      <c r="B72" s="219" t="inlineStr">
        <is>
          <t>F</t>
        </is>
      </c>
      <c r="C72" s="220" t="inlineStr">
        <is>
          <t>Mid-month</t>
        </is>
      </c>
      <c r="D72" s="7" t="inlineStr">
        <is>
          <t>The serial date at the middle of the writing month; the cohort writes there and its mod is sampled there.</t>
        </is>
      </c>
    </row>
    <row r="73" ht="19" customHeight="1">
      <c r="B73" s="219" t="inlineStr">
        <is>
          <t>G</t>
        </is>
      </c>
      <c r="C73" s="220" t="inlineStr">
        <is>
          <t>Abs mo#</t>
        </is>
      </c>
      <c r="D73" s="7" t="inlineStr">
        <is>
          <t>Absolute month index (year x 12 + month - 1); the earning matrix is keyed on it.</t>
        </is>
      </c>
    </row>
    <row r="74" ht="32" customHeight="1">
      <c r="B74" s="219" t="inlineStr">
        <is>
          <t>H</t>
        </is>
      </c>
      <c r="C74" s="220" t="inlineStr">
        <is>
          <t>Weight w</t>
        </is>
      </c>
      <c r="D74" s="7" t="inlineStr">
        <is>
          <t>Written-exposure weight: 1.00 under uniform writings, or the state's normalized seasonality weight.</t>
        </is>
      </c>
    </row>
    <row r="75" ht="19" customHeight="1">
      <c r="B75" s="219" t="inlineStr">
        <is>
          <t>I</t>
        </is>
      </c>
      <c r="C75" s="220" t="inlineStr">
        <is>
          <t>Index before mo (W_pre)</t>
        </is>
      </c>
      <c r="D75" s="7" t="inlineStr">
        <is>
          <t>Cumulative rate index from changes effective strictly before the month.</t>
        </is>
      </c>
    </row>
    <row r="76" ht="19" customHeight="1">
      <c r="B76" s="219" t="inlineStr">
        <is>
          <t>J</t>
        </is>
      </c>
      <c r="C76" s="220" t="inlineStr">
        <is>
          <t>Index at mo end (W_post)</t>
        </is>
      </c>
      <c r="D76" s="7" t="inlineStr">
        <is>
          <t>Cumulative rate index including changes through month end.</t>
        </is>
      </c>
    </row>
    <row r="77" ht="19" customHeight="1">
      <c r="B77" s="219" t="inlineStr">
        <is>
          <t>K</t>
        </is>
      </c>
      <c r="C77" s="220" t="inlineStr">
        <is>
          <t># chgs in mo</t>
        </is>
      </c>
      <c r="D77" s="7" t="inlineStr">
        <is>
          <t>Count of this combo's rate changes effective inside the month.</t>
        </is>
      </c>
    </row>
    <row r="78" ht="19" customHeight="1">
      <c r="B78" s="219" t="inlineStr">
        <is>
          <t>L</t>
        </is>
      </c>
      <c r="C78" s="220" t="inlineStr">
        <is>
          <t>Days after 1st chg</t>
        </is>
      </c>
      <c r="D78" s="7" t="inlineStr">
        <is>
          <t>Days in the month on/after the first in-month change date.</t>
        </is>
      </c>
    </row>
    <row r="79" ht="19" customHeight="1">
      <c r="B79" s="219" t="inlineStr">
        <is>
          <t>M</t>
        </is>
      </c>
      <c r="C79" s="220" t="inlineStr">
        <is>
          <t>Split p</t>
        </is>
      </c>
      <c r="D79" s="7" t="inlineStr">
        <is>
          <t>Day-weighted share of the month's writings at the post-change level: p = L / days in month.</t>
        </is>
      </c>
    </row>
    <row r="80" ht="19" customHeight="1">
      <c r="B80" s="219" t="inlineStr">
        <is>
          <t>N</t>
        </is>
      </c>
      <c r="C80" s="220" t="inlineStr">
        <is>
          <t>Written rate index (W)</t>
        </is>
      </c>
      <c r="D80" s="7" t="inlineStr">
        <is>
          <t>The cohort's blended written index: (1 - p) x W_pre + p x W_post.</t>
        </is>
      </c>
    </row>
    <row r="81" ht="19" customHeight="1">
      <c r="B81" s="219" t="inlineStr">
        <is>
          <t>O</t>
        </is>
      </c>
      <c r="C81" s="220" t="inlineStr">
        <is>
          <t>Written mod (M_w)</t>
        </is>
      </c>
      <c r="D81" s="7" t="inlineStr">
        <is>
          <t>The written-mod path sampled at the cohort's mid-month (computed on the Mod Engine).</t>
        </is>
      </c>
    </row>
    <row r="82" ht="32" customHeight="1">
      <c r="B82" s="219" t="inlineStr">
        <is>
          <t>P-R</t>
        </is>
      </c>
      <c r="C82" s="220" t="inlineStr">
        <is>
          <t>Earned in P-1 / P / P+1 (ec)</t>
        </is>
      </c>
      <c r="D82" s="7" t="inlineStr">
        <is>
          <t>The share of the cohort's premium each calendar year earns: ec = C(end) - C(start - 1) with C(o) = MIN(1, MAX(0, (o + 0.5) / T)).</t>
        </is>
      </c>
    </row>
    <row r="83" ht="32" customHeight="1">
      <c r="B83" s="219" t="inlineStr">
        <is>
          <t>S</t>
        </is>
      </c>
      <c r="C83" s="220" t="inlineStr">
        <is>
          <t>Hist net price (q)</t>
        </is>
      </c>
      <c r="D83" s="7" t="inlineStr">
        <is>
          <t>W x M_w / M_ind — the cohort's combined net price as modeled (used under a net rate selection).</t>
        </is>
      </c>
    </row>
    <row r="84" ht="19" customHeight="1">
      <c r="B84" s="219" t="inlineStr">
        <is>
          <t>T</t>
        </is>
      </c>
      <c r="C84" s="220" t="inlineStr">
        <is>
          <t>Net path (Q)</t>
        </is>
      </c>
      <c r="D84" s="7" t="inlineStr">
        <is>
          <t>Equals q before 1/1/P; from 1/1/P each cohort renews at Q(k - 12) x (1 + net selection).</t>
        </is>
      </c>
    </row>
    <row r="85" ht="32" customHeight="1">
      <c r="B85" s="219" t="inlineStr">
        <is>
          <t>U</t>
        </is>
      </c>
      <c r="C85" s="220" t="inlineStr">
        <is>
          <t>Index in force</t>
        </is>
      </c>
      <c r="D85" s="7" t="inlineStr">
        <is>
          <t>What the aggregates actually read: the net path Q under a net selection, the written index W otherwise.</t>
        </is>
      </c>
    </row>
    <row r="86" ht="32" customHeight="1">
      <c r="B86" s="219" t="inlineStr">
        <is>
          <t>rows 66-73</t>
        </is>
      </c>
      <c r="C86" s="220"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1" t="inlineStr">
        <is>
          <t>att_actdate</t>
        </is>
      </c>
      <c r="C91" s="6" t="inlineStr">
        <is>
          <t>Attribution!$F$14:$F$21</t>
        </is>
      </c>
      <c r="D91" s="6" t="inlineStr">
        <is>
          <t>Attribution: actual effective date per planned row (blank = plan)</t>
        </is>
      </c>
    </row>
    <row r="92">
      <c r="B92" s="221" t="inlineStr">
        <is>
          <t>att_actlr</t>
        </is>
      </c>
      <c r="C92" s="6" t="inlineStr">
        <is>
          <t>Attribution!$C$10</t>
        </is>
      </c>
      <c r="D92" s="6" t="inlineStr">
        <is>
          <t>Attribution: actual CY LR outcome</t>
        </is>
      </c>
    </row>
    <row r="93">
      <c r="B93" s="221" t="inlineStr">
        <is>
          <t>att_actpct</t>
        </is>
      </c>
      <c r="C93" s="6" t="inlineStr">
        <is>
          <t>Attribution!$E$14:$E$21</t>
        </is>
      </c>
      <c r="D93" s="6" t="inlineStr">
        <is>
          <t>Attribution: actual achieved total change per planned row (blank = plan)</t>
        </is>
      </c>
    </row>
    <row r="94">
      <c r="B94" s="221" t="inlineStr">
        <is>
          <t>att_asof</t>
        </is>
      </c>
      <c r="C94" s="6" t="inlineStr">
        <is>
          <t>Attribution!$C$7</t>
        </is>
      </c>
      <c r="D94" s="6" t="inlineStr">
        <is>
          <t>Attribution: actual as-of date (blank = plan)</t>
        </is>
      </c>
    </row>
    <row r="95">
      <c r="B95" s="221" t="inlineStr">
        <is>
          <t>att_m0</t>
        </is>
      </c>
      <c r="C95" s="6" t="inlineStr">
        <is>
          <t>Attribution!$C$6</t>
        </is>
      </c>
      <c r="D95" s="6" t="inlineStr">
        <is>
          <t>Attribution: actual current written mod (blank = plan)</t>
        </is>
      </c>
    </row>
    <row r="96">
      <c r="B96" s="221" t="inlineStr">
        <is>
          <t>att_m1</t>
        </is>
      </c>
      <c r="C96" s="6" t="inlineStr">
        <is>
          <t>Attribution!$C$8</t>
        </is>
      </c>
      <c r="D96" s="6" t="inlineStr">
        <is>
          <t>Attribution: actual written mod at 12/31/P</t>
        </is>
      </c>
    </row>
    <row r="97">
      <c r="B97" s="221" t="inlineStr">
        <is>
          <t>att_m2</t>
        </is>
      </c>
      <c r="C97" s="6" t="inlineStr">
        <is>
          <t>Attribution!$C$9</t>
        </is>
      </c>
      <c r="D97" s="6" t="inlineStr">
        <is>
          <t>Attribution: actual written mod at 12/31/(P+1)</t>
        </is>
      </c>
    </row>
    <row r="98">
      <c r="B98" s="221" t="inlineStr">
        <is>
          <t>att_reconciles</t>
        </is>
      </c>
      <c r="C98" s="6" t="inlineStr">
        <is>
          <t>Attribution!$B$32</t>
        </is>
      </c>
      <c r="D98" s="6" t="inlineStr">
        <is>
          <t>Attribution reconciliation status</t>
        </is>
      </c>
    </row>
    <row r="99">
      <c r="B99" s="221" t="inlineStr">
        <is>
          <t>br_selrow</t>
        </is>
      </c>
      <c r="C99" s="6" t="inlineStr">
        <is>
          <t>Bridge!$F$36</t>
        </is>
      </c>
      <c r="D99" s="6" t="inlineStr">
        <is>
          <t>tbl_LR row of the selected combo (0 = absent)</t>
        </is>
      </c>
    </row>
    <row r="100">
      <c r="B100" s="221" t="inlineStr">
        <is>
          <t>calc_amod_p</t>
        </is>
      </c>
      <c r="C100" s="6" t="inlineStr">
        <is>
          <t>_calc!$K$4:$K$72</t>
        </is>
      </c>
      <c r="D100" s="6" t="inlineStr">
        <is>
          <t>A_mod(P) by combo</t>
        </is>
      </c>
    </row>
    <row r="101">
      <c r="B101" s="221" t="inlineStr">
        <is>
          <t>calc_amod_p1</t>
        </is>
      </c>
      <c r="C101" s="6" t="inlineStr">
        <is>
          <t>_calc!$L$4:$L$72</t>
        </is>
      </c>
      <c r="D101" s="6" t="inlineStr">
        <is>
          <t>A_mod(P+1) by combo</t>
        </is>
      </c>
    </row>
    <row r="102">
      <c r="B102" s="221" t="inlineStr">
        <is>
          <t>calc_aother</t>
        </is>
      </c>
      <c r="C102" s="6" t="inlineStr">
        <is>
          <t>_calc!$R$4:$R$72</t>
        </is>
      </c>
      <c r="D102" s="6" t="inlineStr">
        <is>
          <t>A_other by combo (1 when blank)</t>
        </is>
      </c>
    </row>
    <row r="103">
      <c r="B103" s="221" t="inlineStr">
        <is>
          <t>calc_arate_p</t>
        </is>
      </c>
      <c r="C103" s="6" t="inlineStr">
        <is>
          <t>_calc!$I$4:$I$72</t>
        </is>
      </c>
      <c r="D103" s="6" t="inlineStr">
        <is>
          <t>A_rate(P) by combo</t>
        </is>
      </c>
    </row>
    <row r="104">
      <c r="B104" s="221" t="inlineStr">
        <is>
          <t>calc_arate_p1</t>
        </is>
      </c>
      <c r="C104" s="6" t="inlineStr">
        <is>
          <t>_calc!$J$4:$J$72</t>
        </is>
      </c>
      <c r="D104" s="6" t="inlineStr">
        <is>
          <t>A_rate(P+1) by combo</t>
        </is>
      </c>
    </row>
    <row r="105">
      <c r="B105" s="221" t="inlineStr">
        <is>
          <t>calc_bu</t>
        </is>
      </c>
      <c r="C105" s="6" t="inlineStr">
        <is>
          <t>_calc!$U$4:$U$72</t>
        </is>
      </c>
      <c r="D105" s="6" t="inlineStr">
        <is>
          <t>BU echo, aligned with tbl_LR rows</t>
        </is>
      </c>
    </row>
    <row r="106">
      <c r="B106" s="221" t="inlineStr">
        <is>
          <t>calc_carry</t>
        </is>
      </c>
      <c r="C106" s="6" t="inlineStr">
        <is>
          <t>_calc!$Q$4:$Q$72</t>
        </is>
      </c>
      <c r="D106" s="6" t="inlineStr">
        <is>
          <t>Carryover into P+1 by combo</t>
        </is>
      </c>
    </row>
    <row r="107">
      <c r="B107" s="221" t="inlineStr">
        <is>
          <t>calc_crl</t>
        </is>
      </c>
      <c r="C107" s="6" t="inlineStr">
        <is>
          <t>_calc!$C$4:$C$72</t>
        </is>
      </c>
      <c r="D107" s="6" t="inlineStr">
        <is>
          <t>CRL_ind by combo</t>
        </is>
      </c>
    </row>
    <row r="108">
      <c r="B108" s="221" t="inlineStr">
        <is>
          <t>calc_cylr_p</t>
        </is>
      </c>
      <c r="C108" s="6" t="inlineStr">
        <is>
          <t>_calc!$N$4:$N$72</t>
        </is>
      </c>
      <c r="D108" s="6" t="inlineStr">
        <is>
          <t>CY plan LR(P) by combo</t>
        </is>
      </c>
    </row>
    <row r="109">
      <c r="B109" s="221" t="inlineStr">
        <is>
          <t>calc_cylr_p1</t>
        </is>
      </c>
      <c r="C109" s="6" t="inlineStr">
        <is>
          <t>_calc!$O$4:$O$72</t>
        </is>
      </c>
      <c r="D109" s="6" t="inlineStr">
        <is>
          <t>CY LR(P+1) indicative by combo</t>
        </is>
      </c>
    </row>
    <row r="110">
      <c r="B110" s="221" t="inlineStr">
        <is>
          <t>calc_echg</t>
        </is>
      </c>
      <c r="C110" s="6" t="inlineStr">
        <is>
          <t>_calc!$P$4:$P$72</t>
        </is>
      </c>
      <c r="D110" s="6" t="inlineStr">
        <is>
          <t>CY earned rate chg vs indication by combo</t>
        </is>
      </c>
    </row>
    <row r="111">
      <c r="B111" s="221" t="inlineStr">
        <is>
          <t>calc_ecy_p</t>
        </is>
      </c>
      <c r="C111" s="6" t="inlineStr">
        <is>
          <t>_calc!$E$4:$E$72</t>
        </is>
      </c>
      <c r="D111" s="6" t="inlineStr">
        <is>
          <t>E_CY(P) by combo</t>
        </is>
      </c>
    </row>
    <row r="112">
      <c r="B112" s="221" t="inlineStr">
        <is>
          <t>calc_ecy_p1</t>
        </is>
      </c>
      <c r="C112" s="6" t="inlineStr">
        <is>
          <t>_calc!$F$4:$F$72</t>
        </is>
      </c>
      <c r="D112" s="6" t="inlineStr">
        <is>
          <t>E_CY(P+1) by combo</t>
        </is>
      </c>
    </row>
    <row r="113">
      <c r="B113" s="221" t="inlineStr">
        <is>
          <t>calc_ecy_pm1</t>
        </is>
      </c>
      <c r="C113" s="6" t="inlineStr">
        <is>
          <t>_calc!$D$4:$D$72</t>
        </is>
      </c>
      <c r="D113" s="6" t="inlineStr">
        <is>
          <t>E_CY(P-1) by combo</t>
        </is>
      </c>
    </row>
    <row r="114">
      <c r="B114" s="221" t="inlineStr">
        <is>
          <t>calc_ep</t>
        </is>
      </c>
      <c r="C114" s="6" t="inlineStr">
        <is>
          <t>_calc!$V$4:$V$72</t>
        </is>
      </c>
      <c r="D114" s="6" t="inlineStr">
        <is>
          <t>Adjusted plan EP by combo (0 when blank)</t>
        </is>
      </c>
    </row>
    <row r="115">
      <c r="B115" s="221" t="inlineStr">
        <is>
          <t>calc_key</t>
        </is>
      </c>
      <c r="C115" s="6" t="inlineStr">
        <is>
          <t>_calc!$A$4:$A$72</t>
        </is>
      </c>
      <c r="D115" s="6" t="inlineStr">
        <is>
          <t>Combo keys, aligned 1:1 with tbl_LR rows</t>
        </is>
      </c>
    </row>
    <row r="116">
      <c r="B116" s="221" t="inlineStr">
        <is>
          <t>calc_lrcur</t>
        </is>
      </c>
      <c r="C116" s="6" t="inlineStr">
        <is>
          <t>_calc!$M$4:$M$72</t>
        </is>
      </c>
      <c r="D116" s="6" t="inlineStr">
        <is>
          <t>LR at current rate level by combo</t>
        </is>
      </c>
    </row>
    <row r="117">
      <c r="B117" s="221" t="inlineStr">
        <is>
          <t>calc_mbar_p</t>
        </is>
      </c>
      <c r="C117" s="6" t="inlineStr">
        <is>
          <t>_calc!$G$4:$G$72</t>
        </is>
      </c>
      <c r="D117" s="6" t="inlineStr">
        <is>
          <t>CY P earned mod by combo</t>
        </is>
      </c>
    </row>
    <row r="118">
      <c r="B118" s="221" t="inlineStr">
        <is>
          <t>calc_mbar_p1</t>
        </is>
      </c>
      <c r="C118" s="6" t="inlineStr">
        <is>
          <t>_calc!$H$4:$H$72</t>
        </is>
      </c>
      <c r="D118" s="6" t="inlineStr">
        <is>
          <t>CY P+1 earned mod by combo</t>
        </is>
      </c>
    </row>
    <row r="119">
      <c r="B119" s="221" t="inlineStr">
        <is>
          <t>calc_netmode</t>
        </is>
      </c>
      <c r="C119" s="6" t="inlineStr">
        <is>
          <t>_calc!$AK$4:$AK$72</t>
        </is>
      </c>
      <c r="D119" s="6" t="inlineStr">
        <is>
          <t>1 when the combo carries a net rate selection (D39)</t>
        </is>
      </c>
    </row>
    <row r="120">
      <c r="B120" s="221" t="inlineStr">
        <is>
          <t>calc_netx</t>
        </is>
      </c>
      <c r="C120" s="6" t="inlineStr">
        <is>
          <t>_calc!$AL$4:$AL$72</t>
        </is>
      </c>
      <c r="D120" s="6" t="inlineStr">
        <is>
          <t>Net selection x(P) by combo (0 when off)</t>
        </is>
      </c>
    </row>
    <row r="121">
      <c r="B121" s="221" t="inlineStr">
        <is>
          <t>calc_state</t>
        </is>
      </c>
      <c r="C121" s="6" t="inlineStr">
        <is>
          <t>_calc!$T$4:$T$72</t>
        </is>
      </c>
      <c r="D121" s="6" t="inlineStr">
        <is>
          <t>State echo, aligned with tbl_LR rows</t>
        </is>
      </c>
    </row>
    <row r="122">
      <c r="B122" s="221" t="inlineStr">
        <is>
          <t>calc_term</t>
        </is>
      </c>
      <c r="C122" s="6" t="inlineStr">
        <is>
          <t>_calc!$B$4:$B$72</t>
        </is>
      </c>
      <c r="D122" s="6" t="inlineStr">
        <is>
          <t>Policy term by combo</t>
        </is>
      </c>
    </row>
    <row r="123">
      <c r="B123" s="221" t="inlineStr">
        <is>
          <t>calc_trend</t>
        </is>
      </c>
      <c r="C123" s="6" t="inlineStr">
        <is>
          <t>_calc!$S$4:$S$72</t>
        </is>
      </c>
      <c r="D123" s="6" t="inlineStr">
        <is>
          <t>Effective P+1 net trend by combo (blank inherits the default)</t>
        </is>
      </c>
    </row>
    <row r="124">
      <c r="B124" s="221" t="inlineStr">
        <is>
          <t>calc_w_amod</t>
        </is>
      </c>
      <c r="C124" s="6" t="inlineStr">
        <is>
          <t>_calc!$AD$4:$AD$72</t>
        </is>
      </c>
      <c r="D124" s="6" t="inlineStr">
        <is>
          <t>A_mod(P) x EP</t>
        </is>
      </c>
    </row>
    <row r="125">
      <c r="B125" s="221" t="inlineStr">
        <is>
          <t>calc_w_amod1</t>
        </is>
      </c>
      <c r="C125" s="6" t="inlineStr">
        <is>
          <t>_calc!$AI$4:$AI$72</t>
        </is>
      </c>
      <c r="D125" s="6" t="inlineStr">
        <is>
          <t>A_mod(P+1) x EP</t>
        </is>
      </c>
    </row>
    <row r="126">
      <c r="B126" s="221" t="inlineStr">
        <is>
          <t>calc_w_arate</t>
        </is>
      </c>
      <c r="C126" s="6" t="inlineStr">
        <is>
          <t>_calc!$AB$4:$AB$72</t>
        </is>
      </c>
      <c r="D126" s="6" t="inlineStr">
        <is>
          <t>A_rate(P) x EP</t>
        </is>
      </c>
    </row>
    <row r="127">
      <c r="B127" s="221" t="inlineStr">
        <is>
          <t>calc_w_arate1</t>
        </is>
      </c>
      <c r="C127" s="6" t="inlineStr">
        <is>
          <t>_calc!$AH$4:$AH$72</t>
        </is>
      </c>
      <c r="D127" s="6" t="inlineStr">
        <is>
          <t>A_rate(P+1) x EP</t>
        </is>
      </c>
    </row>
    <row r="128">
      <c r="B128" s="221" t="inlineStr">
        <is>
          <t>calc_w_crl</t>
        </is>
      </c>
      <c r="C128" s="6" t="inlineStr">
        <is>
          <t>_calc!$Z$4:$Z$72</t>
        </is>
      </c>
      <c r="D128" s="6" t="inlineStr">
        <is>
          <t>CRL_ind x EP</t>
        </is>
      </c>
    </row>
    <row r="129">
      <c r="B129" s="221" t="inlineStr">
        <is>
          <t>calc_w_cylr</t>
        </is>
      </c>
      <c r="C129" s="6" t="inlineStr">
        <is>
          <t>_calc!$AF$4:$AF$72</t>
        </is>
      </c>
      <c r="D129" s="6" t="inlineStr">
        <is>
          <t>CY plan LR(P) x EP</t>
        </is>
      </c>
    </row>
    <row r="130">
      <c r="B130" s="221" t="inlineStr">
        <is>
          <t>calc_w_cylr1</t>
        </is>
      </c>
      <c r="C130" s="6" t="inlineStr">
        <is>
          <t>_calc!$AJ$4:$AJ$72</t>
        </is>
      </c>
      <c r="D130" s="6" t="inlineStr">
        <is>
          <t>CY LR(P+1) x EP</t>
        </is>
      </c>
    </row>
    <row r="131">
      <c r="B131" s="221" t="inlineStr">
        <is>
          <t>calc_w_ecy</t>
        </is>
      </c>
      <c r="C131" s="6" t="inlineStr">
        <is>
          <t>_calc!$AA$4:$AA$72</t>
        </is>
      </c>
      <c r="D131" s="6" t="inlineStr">
        <is>
          <t>E_CY(P) x EP</t>
        </is>
      </c>
    </row>
    <row r="132">
      <c r="B132" s="221" t="inlineStr">
        <is>
          <t>calc_w_lrcur</t>
        </is>
      </c>
      <c r="C132" s="6" t="inlineStr">
        <is>
          <t>_calc!$AE$4:$AE$72</t>
        </is>
      </c>
      <c r="D132" s="6" t="inlineStr">
        <is>
          <t>LR_current x EP</t>
        </is>
      </c>
    </row>
    <row r="133">
      <c r="B133" s="221" t="inlineStr">
        <is>
          <t>calc_w_m0</t>
        </is>
      </c>
      <c r="C133" s="6" t="inlineStr">
        <is>
          <t>_calc!$X$4:$X$72</t>
        </is>
      </c>
      <c r="D133" s="6" t="inlineStr">
        <is>
          <t>M_0 x EP</t>
        </is>
      </c>
    </row>
    <row r="134">
      <c r="B134" s="221" t="inlineStr">
        <is>
          <t>calc_w_m1</t>
        </is>
      </c>
      <c r="C134" s="6" t="inlineStr">
        <is>
          <t>_calc!$Y$4:$Y$72</t>
        </is>
      </c>
      <c r="D134" s="6" t="inlineStr">
        <is>
          <t>M_1 x EP</t>
        </is>
      </c>
    </row>
    <row r="135">
      <c r="B135" s="221" t="inlineStr">
        <is>
          <t>calc_w_mbar</t>
        </is>
      </c>
      <c r="C135" s="6" t="inlineStr">
        <is>
          <t>_calc!$AC$4:$AC$72</t>
        </is>
      </c>
      <c r="D135" s="6" t="inlineStr">
        <is>
          <t>Earned mod(P) x EP</t>
        </is>
      </c>
    </row>
    <row r="136">
      <c r="B136" s="221" t="inlineStr">
        <is>
          <t>calc_w_mind</t>
        </is>
      </c>
      <c r="C136" s="6" t="inlineStr">
        <is>
          <t>_calc!$W$4:$W$72</t>
        </is>
      </c>
      <c r="D136" s="6" t="inlineStr">
        <is>
          <t>M_ind x EP (State Summary weighting)</t>
        </is>
      </c>
    </row>
    <row r="137">
      <c r="B137" s="221" t="inlineStr">
        <is>
          <t>calc_w_trend</t>
        </is>
      </c>
      <c r="C137" s="6" t="inlineStr">
        <is>
          <t>_calc!$AG$4:$AG$72</t>
        </is>
      </c>
      <c r="D137" s="6" t="inlineStr">
        <is>
          <t>Net trend x EP</t>
        </is>
      </c>
    </row>
    <row r="138">
      <c r="B138" s="221" t="inlineStr">
        <is>
          <t>ck_overall</t>
        </is>
      </c>
      <c r="C138" s="6" t="inlineStr">
        <is>
          <t>Checks!$C$3</t>
        </is>
      </c>
      <c r="D138" s="6" t="inlineStr">
        <is>
          <t>Overall PASS/FAIL status (shown on Control)</t>
        </is>
      </c>
    </row>
    <row r="139">
      <c r="B139" s="221" t="inlineStr">
        <is>
          <t>lr_aother</t>
        </is>
      </c>
      <c r="C139" s="6" t="inlineStr">
        <is>
          <t>Inputs!$N$12:$N$80</t>
        </is>
      </c>
      <c r="D139" s="6" t="inlineStr">
        <is>
          <t>A_other manual adjustment factor</t>
        </is>
      </c>
    </row>
    <row r="140">
      <c r="B140" s="221" t="inlineStr">
        <is>
          <t>lr_aotherlbl</t>
        </is>
      </c>
      <c r="C140" s="6" t="inlineStr">
        <is>
          <t>Inputs!$O$12:$O$80</t>
        </is>
      </c>
      <c r="D140" s="6" t="inlineStr">
        <is>
          <t>Label required when A_other &lt;&gt; 1</t>
        </is>
      </c>
    </row>
    <row r="141">
      <c r="B141" s="221" t="inlineStr">
        <is>
          <t>lr_basis</t>
        </is>
      </c>
      <c r="C141" s="6" t="inlineStr">
        <is>
          <t>Inputs!$D$12:$D$80</t>
        </is>
      </c>
      <c r="D141" s="6" t="inlineStr">
        <is>
          <t>LR basis: current | proposed</t>
        </is>
      </c>
    </row>
    <row r="142">
      <c r="B142" s="221" t="inlineStr">
        <is>
          <t>lr_bu</t>
        </is>
      </c>
      <c r="C142" s="6" t="inlineStr">
        <is>
          <t>Inputs!$A$12:$A$80</t>
        </is>
      </c>
      <c r="D142" s="6" t="inlineStr">
        <is>
          <t>tbl_LR business unit</t>
        </is>
      </c>
    </row>
    <row r="143">
      <c r="B143" s="221" t="inlineStr">
        <is>
          <t>lr_ep</t>
        </is>
      </c>
      <c r="C143" s="6" t="inlineStr">
        <is>
          <t>Inputs!$L$12:$L$80</t>
        </is>
      </c>
      <c r="D143" s="6" t="inlineStr">
        <is>
          <t>ADJUSTED plan earned premium (000s) — the weight behind Portfolio totals and State Summary aggregates</t>
        </is>
      </c>
    </row>
    <row r="144">
      <c r="B144" s="221" t="inlineStr">
        <is>
          <t>lr_key</t>
        </is>
      </c>
      <c r="C144" s="6" t="inlineStr">
        <is>
          <t>Inputs!$T$12:$T$80</t>
        </is>
      </c>
      <c r="D144" s="6" t="inlineStr">
        <is>
          <t>Helper: concatenated BU|State key (right of the paste block, D40)</t>
        </is>
      </c>
    </row>
    <row r="145">
      <c r="B145" s="221" t="inlineStr">
        <is>
          <t>lr_lrproj</t>
        </is>
      </c>
      <c r="C145" s="6" t="inlineStr">
        <is>
          <t>Inputs!$C$12:$C$80</t>
        </is>
      </c>
      <c r="D145" s="6" t="inlineStr">
        <is>
          <t>Projected loss ratio from the indication</t>
        </is>
      </c>
    </row>
    <row r="146">
      <c r="B146" s="221" t="inlineStr">
        <is>
          <t>lr_m0</t>
        </is>
      </c>
      <c r="C146" s="6" t="inlineStr">
        <is>
          <t>Inputs!$G$12:$G$80</t>
        </is>
      </c>
      <c r="D146" s="6" t="inlineStr">
        <is>
          <t>M_0: current avg written mod</t>
        </is>
      </c>
    </row>
    <row r="147">
      <c r="B147" s="221" t="inlineStr">
        <is>
          <t>lr_m0asof</t>
        </is>
      </c>
      <c r="C147" s="6" t="inlineStr">
        <is>
          <t>Inputs!$H$12:$H$80</t>
        </is>
      </c>
      <c r="D147" s="6" t="inlineStr">
        <is>
          <t>M_0 as-of date (close of day)</t>
        </is>
      </c>
    </row>
    <row r="148">
      <c r="B148" s="221" t="inlineStr">
        <is>
          <t>lr_m1</t>
        </is>
      </c>
      <c r="C148" s="6" t="inlineStr">
        <is>
          <t>Inputs!$I$12:$I$80</t>
        </is>
      </c>
      <c r="D148" s="6" t="inlineStr">
        <is>
          <t>M_1: projected avg written mod at 12/31/P</t>
        </is>
      </c>
    </row>
    <row r="149">
      <c r="B149" s="221" t="inlineStr">
        <is>
          <t>lr_m2</t>
        </is>
      </c>
      <c r="C149" s="6" t="inlineStr">
        <is>
          <t>Inputs!$K$12:$K$80</t>
        </is>
      </c>
      <c r="D149" s="6" t="inlineStr">
        <is>
          <t>M_2: projected avg written mod at 12/31/(P+1); blank = M_1</t>
        </is>
      </c>
    </row>
    <row r="150">
      <c r="B150" s="221" t="inlineStr">
        <is>
          <t>lr_mind</t>
        </is>
      </c>
      <c r="C150" s="6" t="inlineStr">
        <is>
          <t>Inputs!$F$12:$F$80</t>
        </is>
      </c>
      <c r="D150" s="6" t="inlineStr">
        <is>
          <t>M_ind: avg schedule mod assumed in the indication</t>
        </is>
      </c>
    </row>
    <row r="151">
      <c r="B151" s="221" t="inlineStr">
        <is>
          <t>lr_modadj</t>
        </is>
      </c>
      <c r="C151" s="6" t="inlineStr">
        <is>
          <t>Inputs!$P$12:$P$80</t>
        </is>
      </c>
      <c r="D151" s="6" t="inlineStr">
        <is>
          <t>Per-combo mod adjustment toggle (ON/OFF)</t>
        </is>
      </c>
    </row>
    <row r="152">
      <c r="B152" s="221" t="inlineStr">
        <is>
          <t>lr_mprior</t>
        </is>
      </c>
      <c r="C152" s="6" t="inlineStr">
        <is>
          <t>Inputs!$J$12:$J$80</t>
        </is>
      </c>
      <c r="D152" s="6" t="inlineStr">
        <is>
          <t>M_prior: avg mod ~12 months before M_0 (optional)</t>
        </is>
      </c>
    </row>
    <row r="153">
      <c r="B153" s="221" t="inlineStr">
        <is>
          <t>lr_netp</t>
        </is>
      </c>
      <c r="C153" s="6" t="inlineStr">
        <is>
          <t>Inputs!$Q$12:$Q$80</t>
        </is>
      </c>
      <c r="D153" s="6" t="inlineStr">
        <is>
          <t>OPTIONAL net rate selection for P: YoY combined rate x mod target from 1/1/P (blank = explicit program, D39)</t>
        </is>
      </c>
    </row>
    <row r="154">
      <c r="B154" s="221" t="inlineStr">
        <is>
          <t>lr_netp1</t>
        </is>
      </c>
      <c r="C154" s="6" t="inlineStr">
        <is>
          <t>Inputs!$R$12:$R$80</t>
        </is>
      </c>
      <c r="D154" s="6" t="inlineStr">
        <is>
          <t>OPTIONAL net selection for P+1 (blank = carry the P selection)</t>
        </is>
      </c>
    </row>
    <row r="155">
      <c r="B155" s="221" t="inlineStr">
        <is>
          <t>lr_s</t>
        </is>
      </c>
      <c r="C155" s="6" t="inlineStr">
        <is>
          <t>Inputs!$E$12:$E$80</t>
        </is>
      </c>
      <c r="D155" s="6" t="inlineStr">
        <is>
          <t>Selected/indicated change s (used when basis = proposed)</t>
        </is>
      </c>
    </row>
    <row r="156">
      <c r="B156" s="221" t="inlineStr">
        <is>
          <t>lr_state</t>
        </is>
      </c>
      <c r="C156" s="6" t="inlineStr">
        <is>
          <t>Inputs!$B$12:$B$80</t>
        </is>
      </c>
      <c r="D156" s="6" t="inlineStr">
        <is>
          <t>tbl_LR state</t>
        </is>
      </c>
    </row>
    <row r="157">
      <c r="B157" s="221" t="inlineStr">
        <is>
          <t>lr_trend</t>
        </is>
      </c>
      <c r="C157" s="6" t="inlineStr">
        <is>
          <t>Inputs!$M$12:$M$80</t>
        </is>
      </c>
      <c r="D157" s="6" t="inlineStr">
        <is>
          <t>Annual net loss-over-premium trend for the P+1 view</t>
        </is>
      </c>
    </row>
    <row r="158">
      <c r="B158" s="221" t="inlineStr">
        <is>
          <t>lst_basis</t>
        </is>
      </c>
      <c r="C158" s="6" t="inlineStr">
        <is>
          <t>_lists!$E$3:$E$4</t>
        </is>
      </c>
      <c r="D158" s="6" t="inlineStr">
        <is>
          <t>LR basis</t>
        </is>
      </c>
    </row>
    <row r="159">
      <c r="B159" s="221" t="inlineStr">
        <is>
          <t>lst_basisdisp</t>
        </is>
      </c>
      <c r="C159" s="6" t="inlineStr">
        <is>
          <t>_lists!$H$3:$H$4</t>
        </is>
      </c>
      <c r="D159" s="6" t="inlineStr">
        <is>
          <t>Projected-LR KPI display</t>
        </is>
      </c>
    </row>
    <row r="160">
      <c r="B160" s="221" t="inlineStr">
        <is>
          <t>lst_bu</t>
        </is>
      </c>
      <c r="C160" s="6" t="inlineStr">
        <is>
          <t>_lists!$A$3:INDEX(_lists!$A$3:$A$71,MAX(1,_lists!$N$1))</t>
        </is>
      </c>
      <c r="D160" s="6" t="inlineStr">
        <is>
          <t>LIVE unique business units from tbl_LR (self-sizing, D42)</t>
        </is>
      </c>
    </row>
    <row r="161">
      <c r="B161" s="221" t="inlineStr">
        <is>
          <t>lst_bu_all</t>
        </is>
      </c>
      <c r="C161" s="6" t="inlineStr">
        <is>
          <t>_lists!$I$3:INDEX(_lists!$I$3:$I$72,MAX(1,_lists!$N$1+1))</t>
        </is>
      </c>
      <c r="D161" s="6" t="inlineStr">
        <is>
          <t>State Summary BU filter: 'All' + live business units (D42)</t>
        </is>
      </c>
    </row>
    <row r="162">
      <c r="B162" s="221" t="inlineStr">
        <is>
          <t>lst_onoff</t>
        </is>
      </c>
      <c r="C162" s="6" t="inlineStr">
        <is>
          <t>_lists!$F$3:$F$4</t>
        </is>
      </c>
      <c r="D162" s="6" t="inlineStr">
        <is>
          <t>Toggles</t>
        </is>
      </c>
    </row>
    <row r="163">
      <c r="B163" s="221" t="inlineStr">
        <is>
          <t>lst_scenario</t>
        </is>
      </c>
      <c r="C163" s="6" t="inlineStr">
        <is>
          <t>_lists!$G$3:$G$7</t>
        </is>
      </c>
      <c r="D163" s="6" t="inlineStr">
        <is>
          <t>Scenario selector</t>
        </is>
      </c>
    </row>
    <row r="164">
      <c r="B164" s="221" t="inlineStr">
        <is>
          <t>lst_state</t>
        </is>
      </c>
      <c r="C164" s="6" t="inlineStr">
        <is>
          <t>_lists!$B$3:INDEX(_lists!$B$3:$B$71,MAX(1,_lists!$P$1))</t>
        </is>
      </c>
      <c r="D164" s="6" t="inlineStr">
        <is>
          <t>LIVE unique states from tbl_LR (self-sizing, D42)</t>
        </is>
      </c>
    </row>
    <row r="165">
      <c r="B165" s="221" t="inlineStr">
        <is>
          <t>lst_state_cnt</t>
        </is>
      </c>
      <c r="C165" s="6" t="inlineStr">
        <is>
          <t>_lists!$P$1</t>
        </is>
      </c>
      <c r="D165" s="6" t="inlineStr">
        <is>
          <t>Count of distinct states currently in tbl_LR</t>
        </is>
      </c>
    </row>
    <row r="166">
      <c r="B166" s="221" t="inlineStr">
        <is>
          <t>lst_status</t>
        </is>
      </c>
      <c r="C166" s="6" t="inlineStr">
        <is>
          <t>_lists!$C$3:$C$4</t>
        </is>
      </c>
      <c r="D166" s="6" t="inlineStr">
        <is>
          <t>Rate change status</t>
        </is>
      </c>
    </row>
    <row r="167">
      <c r="B167" s="221" t="inlineStr">
        <is>
          <t>lst_yn</t>
        </is>
      </c>
      <c r="C167" s="6" t="inlineStr">
        <is>
          <t>_lists!$D$3:$D$4</t>
        </is>
      </c>
      <c r="D167" s="6" t="inlineStr">
        <is>
          <t>Yes/No flags</t>
        </is>
      </c>
    </row>
    <row r="168">
      <c r="B168" s="221" t="inlineStr">
        <is>
          <t>me_identity</t>
        </is>
      </c>
      <c r="C168" s="6" t="inlineStr">
        <is>
          <t>'Mod Engine'!$L$11</t>
        </is>
      </c>
      <c r="D168" s="6" t="inlineStr">
        <is>
          <t>Written mod at 1/1/P — equals CY P earned mod under the §3.3.5 identity</t>
        </is>
      </c>
    </row>
    <row r="169">
      <c r="B169" s="221" t="inlineStr">
        <is>
          <t>me_identity_ok</t>
        </is>
      </c>
      <c r="C169" s="6" t="inlineStr">
        <is>
          <t>'Mod Engine'!$L$12</t>
        </is>
      </c>
      <c r="D169" s="6" t="inlineStr">
        <is>
          <t>TRUE when the linear-mod identity preconditions hold (no M_prior kink, annual term, uniform writings)</t>
        </is>
      </c>
    </row>
    <row r="170">
      <c r="B170" s="221" t="inlineStr">
        <is>
          <t>me_mw_col</t>
        </is>
      </c>
      <c r="C170" s="6" t="inlineStr">
        <is>
          <t>'Mod Engine'!$E$17:$E$64</t>
        </is>
      </c>
      <c r="D170" s="6" t="inlineStr">
        <is>
          <t>Written mod M_w(k) by cohort</t>
        </is>
      </c>
    </row>
    <row r="171">
      <c r="B171" s="221" t="inlineStr">
        <is>
          <t>nr_AOther</t>
        </is>
      </c>
      <c r="C171" s="6" t="inlineStr">
        <is>
          <t>Bridge!$C$51</t>
        </is>
      </c>
      <c r="D171" s="6" t="inlineStr">
        <is>
          <t>Manual adjustment factor (label required when &lt;&gt; 1)</t>
        </is>
      </c>
    </row>
    <row r="172">
      <c r="B172" s="221" t="inlineStr">
        <is>
          <t>nr_AOtherLbl</t>
        </is>
      </c>
      <c r="C172" s="6" t="inlineStr">
        <is>
          <t>Bridge!$C$52</t>
        </is>
      </c>
      <c r="D172" s="6" t="inlineStr">
        <is>
          <t>Reason for A_other</t>
        </is>
      </c>
    </row>
    <row r="173">
      <c r="B173" s="221" t="inlineStr">
        <is>
          <t>nr_Amod_P</t>
        </is>
      </c>
      <c r="C173" s="6" t="inlineStr">
        <is>
          <t>'Mod Engine'!$L$8</t>
        </is>
      </c>
      <c r="D173" s="6" t="inlineStr">
        <is>
          <t>Mod adjustment factor for the plan year (1 under a net selection, D39)</t>
        </is>
      </c>
    </row>
    <row r="174">
      <c r="B174" s="221" t="inlineStr">
        <is>
          <t>nr_Amod_P1</t>
        </is>
      </c>
      <c r="C174" s="6" t="inlineStr">
        <is>
          <t>'Mod Engine'!$L$9</t>
        </is>
      </c>
      <c r="D174" s="6" t="inlineStr">
        <is>
          <t>Mod adjustment factor for plan year + 1 (1 under a net selection)</t>
        </is>
      </c>
    </row>
    <row r="175">
      <c r="B175" s="221" t="inlineStr">
        <is>
          <t>nr_Arate_P</t>
        </is>
      </c>
      <c r="C175" s="6" t="inlineStr">
        <is>
          <t>'Rate Engine'!$C$9</t>
        </is>
      </c>
      <c r="D175" s="6" t="inlineStr">
        <is>
          <t>Rate adjustment factor for the plan year</t>
        </is>
      </c>
    </row>
    <row r="176">
      <c r="B176" s="221" t="inlineStr">
        <is>
          <t>nr_Arate_P1</t>
        </is>
      </c>
      <c r="C176" s="6" t="inlineStr">
        <is>
          <t>'Rate Engine'!$C$10</t>
        </is>
      </c>
      <c r="D176" s="6" t="inlineStr">
        <is>
          <t>Rate adjustment factor for plan year + 1</t>
        </is>
      </c>
    </row>
    <row r="177">
      <c r="B177" s="221" t="inlineStr">
        <is>
          <t>nr_Basis</t>
        </is>
      </c>
      <c r="C177" s="6" t="inlineStr">
        <is>
          <t>Bridge!$C$41</t>
        </is>
      </c>
      <c r="D177" s="6" t="inlineStr">
        <is>
          <t>Basis of the input LR: current | proposed</t>
        </is>
      </c>
    </row>
    <row r="178">
      <c r="B178" s="221" t="inlineStr">
        <is>
          <t>nr_BasisDisp</t>
        </is>
      </c>
      <c r="C178" s="6" t="inlineStr">
        <is>
          <t>Control!$C$14</t>
        </is>
      </c>
      <c r="D178" s="6" t="inlineStr">
        <is>
          <t>Projected-LR KPI display basis</t>
        </is>
      </c>
    </row>
    <row r="179">
      <c r="B179" s="221" t="inlineStr">
        <is>
          <t>nr_CRLind</t>
        </is>
      </c>
      <c r="C179" s="6" t="inlineStr">
        <is>
          <t>'Rate Engine'!$C$5</t>
        </is>
      </c>
      <c r="D179" s="6" t="inlineStr">
        <is>
          <t>Cumulative rate level in the indication: product over considered rows</t>
        </is>
      </c>
    </row>
    <row r="180">
      <c r="B180" s="221" t="inlineStr">
        <is>
          <t>nr_CYLR_P</t>
        </is>
      </c>
      <c r="C180" s="6" t="inlineStr">
        <is>
          <t>Bridge!$D$15</t>
        </is>
      </c>
      <c r="D180" s="6" t="inlineStr">
        <is>
          <t>CY plan loss ratio for the plan year</t>
        </is>
      </c>
    </row>
    <row r="181">
      <c r="B181" s="221" t="inlineStr">
        <is>
          <t>nr_CYLR_P1</t>
        </is>
      </c>
      <c r="C181" s="6" t="inlineStr">
        <is>
          <t>Bridge!$G$15</t>
        </is>
      </c>
      <c r="D181" s="6" t="inlineStr">
        <is>
          <t>Indicative CY LR for plan year + 1 (assumes no new indication)</t>
        </is>
      </c>
    </row>
    <row r="182">
      <c r="B182" s="221" t="inlineStr">
        <is>
          <t>nr_ECY_P</t>
        </is>
      </c>
      <c r="C182" s="6" t="inlineStr">
        <is>
          <t>'Rate Engine'!$C$7</t>
        </is>
      </c>
      <c r="D182" s="6" t="inlineStr">
        <is>
          <t>Calendar-year earned rate index, plan year</t>
        </is>
      </c>
    </row>
    <row r="183">
      <c r="B183" s="221" t="inlineStr">
        <is>
          <t>nr_ECY_P1</t>
        </is>
      </c>
      <c r="C183" s="6" t="inlineStr">
        <is>
          <t>'Rate Engine'!$C$8</t>
        </is>
      </c>
      <c r="D183" s="6" t="inlineStr">
        <is>
          <t>Calendar-year earned rate index, plan year + 1</t>
        </is>
      </c>
    </row>
    <row r="184">
      <c r="B184" s="221" t="inlineStr">
        <is>
          <t>nr_ECY_Pm1</t>
        </is>
      </c>
      <c r="C184" s="6" t="inlineStr">
        <is>
          <t>'Rate Engine'!$C$6</t>
        </is>
      </c>
      <c r="D184" s="6" t="inlineStr">
        <is>
          <t>Calendar-year earned rate index, plan year minus 1</t>
        </is>
      </c>
    </row>
    <row r="185">
      <c r="B185" s="221" t="inlineStr">
        <is>
          <t>nr_EChgVsInd</t>
        </is>
      </c>
      <c r="C185" s="6" t="inlineStr">
        <is>
          <t>'Rate Engine'!$C$11</t>
        </is>
      </c>
      <c r="D185" s="6" t="inlineStr">
        <is>
          <t>E_CY(P)/CRL_ind - 1</t>
        </is>
      </c>
    </row>
    <row r="186">
      <c r="B186" s="221" t="inlineStr">
        <is>
          <t>nr_LRcur</t>
        </is>
      </c>
      <c r="C186" s="6" t="inlineStr">
        <is>
          <t>Bridge!$C$43</t>
        </is>
      </c>
      <c r="D186" s="6" t="inlineStr">
        <is>
          <t>Basis-normalized projected LR (§3.4.1)</t>
        </is>
      </c>
    </row>
    <row r="187">
      <c r="B187" s="221" t="inlineStr">
        <is>
          <t>nr_LRproj</t>
        </is>
      </c>
      <c r="C187" s="6" t="inlineStr">
        <is>
          <t>Bridge!$C$40</t>
        </is>
      </c>
      <c r="D187" s="6" t="inlineStr">
        <is>
          <t>Projected loss ratio from the indication, as entered</t>
        </is>
      </c>
    </row>
    <row r="188">
      <c r="B188" s="221" t="inlineStr">
        <is>
          <t>nr_M0</t>
        </is>
      </c>
      <c r="C188" s="6" t="inlineStr">
        <is>
          <t>Bridge!$C$45</t>
        </is>
      </c>
      <c r="D188" s="6" t="inlineStr">
        <is>
          <t>Current average written mod</t>
        </is>
      </c>
    </row>
    <row r="189">
      <c r="B189" s="221" t="inlineStr">
        <is>
          <t>nr_M0Asof</t>
        </is>
      </c>
      <c r="C189" s="6" t="inlineStr">
        <is>
          <t>Bridge!$C$46</t>
        </is>
      </c>
      <c r="D189" s="6" t="inlineStr">
        <is>
          <t>As-of date of M_0 (anchored close-of-day, D2)</t>
        </is>
      </c>
    </row>
    <row r="190">
      <c r="B190" s="221" t="inlineStr">
        <is>
          <t>nr_M1</t>
        </is>
      </c>
      <c r="C190" s="6" t="inlineStr">
        <is>
          <t>Bridge!$C$47</t>
        </is>
      </c>
      <c r="D190" s="6" t="inlineStr">
        <is>
          <t>Projected average written mod at 12/31/P</t>
        </is>
      </c>
    </row>
    <row r="191">
      <c r="B191" s="221" t="inlineStr">
        <is>
          <t>nr_M2</t>
        </is>
      </c>
      <c r="C191" s="6" t="inlineStr">
        <is>
          <t>Bridge!$C$49</t>
        </is>
      </c>
      <c r="D191" s="6" t="inlineStr">
        <is>
          <t>Projected written mod at 12/31/(P+1); 0/blank = M_1</t>
        </is>
      </c>
    </row>
    <row r="192">
      <c r="B192" s="221" t="inlineStr">
        <is>
          <t>nr_MEarned_P</t>
        </is>
      </c>
      <c r="C192" s="6" t="inlineStr">
        <is>
          <t>'Mod Engine'!$L$6</t>
        </is>
      </c>
      <c r="D192" s="6" t="inlineStr">
        <is>
          <t>Exposure-weighted CY P earned schedule mod</t>
        </is>
      </c>
    </row>
    <row r="193">
      <c r="B193" s="221" t="inlineStr">
        <is>
          <t>nr_MEarned_P1</t>
        </is>
      </c>
      <c r="C193" s="6" t="inlineStr">
        <is>
          <t>'Mod Engine'!$L$7</t>
        </is>
      </c>
      <c r="D193" s="6" t="inlineStr">
        <is>
          <t>Exposure-weighted CY P+1 earned schedule mod</t>
        </is>
      </c>
    </row>
    <row r="194">
      <c r="B194" s="221" t="inlineStr">
        <is>
          <t>nr_MEarned_Pm1</t>
        </is>
      </c>
      <c r="C194" s="6" t="inlineStr">
        <is>
          <t>'Mod Engine'!$L$5</t>
        </is>
      </c>
      <c r="D194" s="6" t="inlineStr">
        <is>
          <t>Exposure-weighted CY P-1 earned schedule mod</t>
        </is>
      </c>
    </row>
    <row r="195">
      <c r="B195" s="221" t="inlineStr">
        <is>
          <t>nr_MEndP</t>
        </is>
      </c>
      <c r="C195" s="6" t="inlineStr">
        <is>
          <t>'Rate Engine'!$G$10</t>
        </is>
      </c>
      <c r="D195" s="6" t="inlineStr">
        <is>
          <t>Abs month index of Dec P</t>
        </is>
      </c>
    </row>
    <row r="196">
      <c r="B196" s="221" t="inlineStr">
        <is>
          <t>nr_MEndP1</t>
        </is>
      </c>
      <c r="C196" s="6" t="inlineStr">
        <is>
          <t>'Rate Engine'!$G$11</t>
        </is>
      </c>
      <c r="D196" s="6" t="inlineStr">
        <is>
          <t>Abs month index of Dec (P+1)</t>
        </is>
      </c>
    </row>
    <row r="197">
      <c r="B197" s="221" t="inlineStr">
        <is>
          <t>nr_MEndPm1</t>
        </is>
      </c>
      <c r="C197" s="6" t="inlineStr">
        <is>
          <t>'Rate Engine'!$G$9</t>
        </is>
      </c>
      <c r="D197" s="6" t="inlineStr">
        <is>
          <t>Abs month index of Dec (P-1)</t>
        </is>
      </c>
    </row>
    <row r="198">
      <c r="B198" s="221" t="inlineStr">
        <is>
          <t>nr_MInd</t>
        </is>
      </c>
      <c r="C198" s="6" t="inlineStr">
        <is>
          <t>Bridge!$C$44</t>
        </is>
      </c>
      <c r="D198" s="6" t="inlineStr">
        <is>
          <t>Average schedule mod assumed in the indication</t>
        </is>
      </c>
    </row>
    <row r="199">
      <c r="B199" s="221" t="inlineStr">
        <is>
          <t>nr_MPrior</t>
        </is>
      </c>
      <c r="C199" s="6" t="inlineStr">
        <is>
          <t>Bridge!$C$48</t>
        </is>
      </c>
      <c r="D199" s="6" t="inlineStr">
        <is>
          <t>Average mod ~12 months before M_0; 0/blank = extrapolate backward</t>
        </is>
      </c>
    </row>
    <row r="200">
      <c r="B200" s="221" t="inlineStr">
        <is>
          <t>nr_MStartP</t>
        </is>
      </c>
      <c r="C200" s="6" t="inlineStr">
        <is>
          <t>'Rate Engine'!$F$10</t>
        </is>
      </c>
      <c r="D200" s="6" t="inlineStr">
        <is>
          <t>Absolute month index of Jan P</t>
        </is>
      </c>
    </row>
    <row r="201">
      <c r="B201" s="221" t="inlineStr">
        <is>
          <t>nr_MStartP1</t>
        </is>
      </c>
      <c r="C201" s="6" t="inlineStr">
        <is>
          <t>'Rate Engine'!$F$11</t>
        </is>
      </c>
      <c r="D201" s="6" t="inlineStr">
        <is>
          <t>Absolute month index of Jan (P+1)</t>
        </is>
      </c>
    </row>
    <row r="202">
      <c r="B202" s="221" t="inlineStr">
        <is>
          <t>nr_MStartPm1</t>
        </is>
      </c>
      <c r="C202" s="6" t="inlineStr">
        <is>
          <t>'Rate Engine'!$F$9</t>
        </is>
      </c>
      <c r="D202" s="6" t="inlineStr">
        <is>
          <t>Absolute month index of Jan (P-1); year*12+month-1 convention</t>
        </is>
      </c>
    </row>
    <row r="203">
      <c r="B203" s="221" t="inlineStr">
        <is>
          <t>nr_ModAdjEff</t>
        </is>
      </c>
      <c r="C203" s="6" t="inlineStr">
        <is>
          <t>Bridge!$C$54</t>
        </is>
      </c>
      <c r="D203" s="6" t="inlineStr">
        <is>
          <t>TRUE state of the mod adjustment (master AND combo row)</t>
        </is>
      </c>
    </row>
    <row r="204">
      <c r="B204" s="221" t="inlineStr">
        <is>
          <t>nr_ModAdjMaster</t>
        </is>
      </c>
      <c r="C204" s="6" t="inlineStr">
        <is>
          <t>Control!$C$13</t>
        </is>
      </c>
      <c r="D204" s="6" t="inlineStr">
        <is>
          <t>Master mod-adjustment toggle (ON/OFF)</t>
        </is>
      </c>
    </row>
    <row r="205">
      <c r="B205" s="221" t="inlineStr">
        <is>
          <t>nr_ModAdjRow</t>
        </is>
      </c>
      <c r="C205" s="6" t="inlineStr">
        <is>
          <t>Bridge!$C$53</t>
        </is>
      </c>
      <c r="D205" s="6" t="inlineStr">
        <is>
          <t>Per-combo mod adjustment toggle from tbl_LR</t>
        </is>
      </c>
    </row>
    <row r="206">
      <c r="B206" s="221" t="inlineStr">
        <is>
          <t>nr_NetMode</t>
        </is>
      </c>
      <c r="C206" s="6" t="inlineStr">
        <is>
          <t>Bridge!$C$55</t>
        </is>
      </c>
      <c r="D206" s="6" t="inlineStr">
        <is>
          <t>TRUE when this combo carries a net rate selection (D39)</t>
        </is>
      </c>
    </row>
    <row r="207">
      <c r="B207" s="221" t="inlineStr">
        <is>
          <t>nr_NetSelP</t>
        </is>
      </c>
      <c r="C207" s="6" t="inlineStr">
        <is>
          <t>Bridge!$C$56</t>
        </is>
      </c>
      <c r="D207" s="6" t="inlineStr">
        <is>
          <t>YoY combined net price target for cohorts written from 1/1/P</t>
        </is>
      </c>
    </row>
    <row r="208">
      <c r="B208" s="221" t="inlineStr">
        <is>
          <t>nr_NetSelP1</t>
        </is>
      </c>
      <c r="C208" s="6" t="inlineStr">
        <is>
          <t>Bridge!$C$57</t>
        </is>
      </c>
      <c r="D208" s="6" t="inlineStr">
        <is>
          <t>Net selection for P+1 cohorts (defaults to the P selection)</t>
        </is>
      </c>
    </row>
    <row r="209">
      <c r="B209" s="221" t="inlineStr">
        <is>
          <t>nr_PlanYear</t>
        </is>
      </c>
      <c r="C209" s="6" t="inlineStr">
        <is>
          <t>Control!$C$6</t>
        </is>
      </c>
      <c r="D209" s="6" t="inlineStr">
        <is>
          <t>Plan year P</t>
        </is>
      </c>
    </row>
    <row r="210">
      <c r="B210" s="221" t="inlineStr">
        <is>
          <t>nr_SeasonOn</t>
        </is>
      </c>
      <c r="C210" s="6" t="inlineStr">
        <is>
          <t>Control!$C$12</t>
        </is>
      </c>
      <c r="D210" s="6" t="inlineStr">
        <is>
          <t>Global seasonality toggle (ON/OFF)</t>
        </is>
      </c>
    </row>
    <row r="211">
      <c r="B211" s="221" t="inlineStr">
        <is>
          <t>nr_SelBU</t>
        </is>
      </c>
      <c r="C211" s="6" t="inlineStr">
        <is>
          <t>Control!$C$7</t>
        </is>
      </c>
      <c r="D211" s="6" t="inlineStr">
        <is>
          <t>Selected business unit</t>
        </is>
      </c>
    </row>
    <row r="212">
      <c r="B212" s="221" t="inlineStr">
        <is>
          <t>nr_SelKey</t>
        </is>
      </c>
      <c r="C212" s="6" t="inlineStr">
        <is>
          <t>Control!$F$6</t>
        </is>
      </c>
      <c r="D212" s="6" t="inlineStr">
        <is>
          <t>Selected BU|State key</t>
        </is>
      </c>
    </row>
    <row r="213">
      <c r="B213" s="221" t="inlineStr">
        <is>
          <t>nr_SelOK</t>
        </is>
      </c>
      <c r="C213" s="6" t="inlineStr">
        <is>
          <t>Control!$G$7</t>
        </is>
      </c>
      <c r="D213" s="6" t="inlineStr">
        <is>
          <t>TRUE when the selected combo exists in tbl_LR</t>
        </is>
      </c>
    </row>
    <row r="214">
      <c r="B214" s="221" t="inlineStr">
        <is>
          <t>nr_SelS</t>
        </is>
      </c>
      <c r="C214" s="6" t="inlineStr">
        <is>
          <t>Bridge!$C$42</t>
        </is>
      </c>
      <c r="D214" s="6" t="inlineStr">
        <is>
          <t>Selected/indicated change used for basis normalization</t>
        </is>
      </c>
    </row>
    <row r="215">
      <c r="B215" s="221" t="inlineStr">
        <is>
          <t>nr_SelScenario</t>
        </is>
      </c>
      <c r="C215" s="6" t="inlineStr">
        <is>
          <t>Control!$C$9</t>
        </is>
      </c>
      <c r="D215" s="6" t="inlineStr">
        <is>
          <t>Scenario surfaced in the Control KPI row</t>
        </is>
      </c>
    </row>
    <row r="216">
      <c r="B216" s="221" t="inlineStr">
        <is>
          <t>nr_SelState</t>
        </is>
      </c>
      <c r="C216" s="6" t="inlineStr">
        <is>
          <t>Control!$C$8</t>
        </is>
      </c>
      <c r="D216" s="6" t="inlineStr">
        <is>
          <t>Selected state</t>
        </is>
      </c>
    </row>
    <row r="217">
      <c r="B217" s="221" t="inlineStr">
        <is>
          <t>nr_SolvMaxRate</t>
        </is>
      </c>
      <c r="C217" s="6" t="inlineStr">
        <is>
          <t>Solver!$C$21</t>
        </is>
      </c>
      <c r="D217" s="6" t="inlineStr">
        <is>
          <t>Solver reasonability bound (config)</t>
        </is>
      </c>
    </row>
    <row r="218">
      <c r="B218" s="221" t="inlineStr">
        <is>
          <t>nr_SolvMinShare</t>
        </is>
      </c>
      <c r="C218" s="6" t="inlineStr">
        <is>
          <t>Solver!$C$22</t>
        </is>
      </c>
      <c r="D218" s="6" t="inlineStr">
        <is>
          <t>Solver post-share warning threshold (config)</t>
        </is>
      </c>
    </row>
    <row r="219">
      <c r="B219" s="221" t="inlineStr">
        <is>
          <t>nr_SolverR</t>
        </is>
      </c>
      <c r="C219" s="6" t="inlineStr">
        <is>
          <t>Solver!$C$17</t>
        </is>
      </c>
      <c r="D219" s="6" t="inlineStr">
        <is>
          <t>Mode A required rate change</t>
        </is>
      </c>
    </row>
    <row r="220">
      <c r="B220" s="221" t="inlineStr">
        <is>
          <t>nr_SumBU</t>
        </is>
      </c>
      <c r="C220" s="6" t="inlineStr">
        <is>
          <t>'State Summary'!$B$4</t>
        </is>
      </c>
      <c r="D220" s="6" t="inlineStr">
        <is>
          <t>State Summary business-unit filter (All = EP-weighted across BUs)</t>
        </is>
      </c>
    </row>
    <row r="221">
      <c r="B221" s="221" t="inlineStr">
        <is>
          <t>nr_TermMonths</t>
        </is>
      </c>
      <c r="C221" s="6" t="inlineStr">
        <is>
          <t>Inputs!$B$8</t>
        </is>
      </c>
      <c r="D221" s="6" t="inlineStr">
        <is>
          <t>Workbook policy term in months (this workbook covers one LOB)</t>
        </is>
      </c>
    </row>
    <row r="222">
      <c r="B222" s="221" t="inlineStr">
        <is>
          <t>nr_Trend</t>
        </is>
      </c>
      <c r="C222" s="6" t="inlineStr">
        <is>
          <t>Bridge!$C$50</t>
        </is>
      </c>
      <c r="D222" s="6" t="inlineStr">
        <is>
          <t>Effective P+1 net trend: tbl_LR value, or the Control default when blank</t>
        </is>
      </c>
    </row>
    <row r="223">
      <c r="B223" s="221" t="inlineStr">
        <is>
          <t>nr_TrendDefault</t>
        </is>
      </c>
      <c r="C223" s="6" t="inlineStr">
        <is>
          <t>Control!$C$15</t>
        </is>
      </c>
      <c r="D223" s="6" t="inlineStr">
        <is>
          <t>Default net trend for the P+1 view (per-combo blank cells inherit it)</t>
        </is>
      </c>
    </row>
    <row r="224">
      <c r="B224" s="221" t="inlineStr">
        <is>
          <t>nr_WalkLR</t>
        </is>
      </c>
      <c r="C224" s="6" t="inlineStr">
        <is>
          <t>Walkthrough!$D$70</t>
        </is>
      </c>
      <c r="D224" s="6" t="inlineStr">
        <is>
          <t>Walkthrough assembled CY plan LR (must tie nr_CYLR_P; Checks-enforced)</t>
        </is>
      </c>
    </row>
    <row r="225">
      <c r="B225" s="221" t="inlineStr">
        <is>
          <t>nr_YoY_P</t>
        </is>
      </c>
      <c r="C225" s="6" t="inlineStr">
        <is>
          <t>'Rate Engine'!$C$12</t>
        </is>
      </c>
      <c r="D225" s="6" t="inlineStr">
        <is>
          <t>Year-over-year earned rate change into P</t>
        </is>
      </c>
    </row>
    <row r="226">
      <c r="B226" s="221" t="inlineStr">
        <is>
          <t>nr_YoY_P1</t>
        </is>
      </c>
      <c r="C226" s="6" t="inlineStr">
        <is>
          <t>'Rate Engine'!$C$13</t>
        </is>
      </c>
      <c r="D226" s="6" t="inlineStr">
        <is>
          <t>Year-over-year earned rate change into P+1</t>
        </is>
      </c>
    </row>
    <row r="227">
      <c r="B227" s="221" t="inlineStr">
        <is>
          <t>orc_amod_p</t>
        </is>
      </c>
      <c r="C227" s="6" t="inlineStr">
        <is>
          <t>_oracle!$B$11</t>
        </is>
      </c>
      <c r="D227" s="6" t="inlineStr">
        <is>
          <t>Oracle A_mod(P) (baked at build time)</t>
        </is>
      </c>
    </row>
    <row r="228">
      <c r="B228" s="221" t="inlineStr">
        <is>
          <t>orc_arate_p</t>
        </is>
      </c>
      <c r="C228" s="6" t="inlineStr">
        <is>
          <t>_oracle!$B$9</t>
        </is>
      </c>
      <c r="D228" s="6" t="inlineStr">
        <is>
          <t>Oracle A_rate(P) (baked at build time)</t>
        </is>
      </c>
    </row>
    <row r="229">
      <c r="B229" s="221" t="inlineStr">
        <is>
          <t>orc_arate_p1</t>
        </is>
      </c>
      <c r="C229" s="6" t="inlineStr">
        <is>
          <t>_oracle!$B$10</t>
        </is>
      </c>
      <c r="D229" s="6" t="inlineStr">
        <is>
          <t>Oracle A_rate(P+1) (baked at build time)</t>
        </is>
      </c>
    </row>
    <row r="230">
      <c r="B230" s="221" t="inlineStr">
        <is>
          <t>orc_crl</t>
        </is>
      </c>
      <c r="C230" s="6" t="inlineStr">
        <is>
          <t>_oracle!$B$4</t>
        </is>
      </c>
      <c r="D230" s="6" t="inlineStr">
        <is>
          <t>Oracle CRL_ind (baked at build time)</t>
        </is>
      </c>
    </row>
    <row r="231">
      <c r="B231" s="221" t="inlineStr">
        <is>
          <t>orc_cylr_p</t>
        </is>
      </c>
      <c r="C231" s="6" t="inlineStr">
        <is>
          <t>_oracle!$B$12</t>
        </is>
      </c>
      <c r="D231" s="6" t="inlineStr">
        <is>
          <t>Oracle CY plan LR(P), monthly convention (baked at build time)</t>
        </is>
      </c>
    </row>
    <row r="232">
      <c r="B232" s="221" t="inlineStr">
        <is>
          <t>orc_cylr_p1</t>
        </is>
      </c>
      <c r="C232" s="6" t="inlineStr">
        <is>
          <t>_oracle!$B$13</t>
        </is>
      </c>
      <c r="D232" s="6" t="inlineStr">
        <is>
          <t>Oracle CY LR(P+1), monthly convention (baked at build time)</t>
        </is>
      </c>
    </row>
    <row r="233">
      <c r="B233" s="221" t="inlineStr">
        <is>
          <t>orc_cylr_p_cont</t>
        </is>
      </c>
      <c r="C233" s="6" t="inlineStr">
        <is>
          <t>_oracle!$B$15</t>
        </is>
      </c>
      <c r="D233" s="6" t="inlineStr">
        <is>
          <t>Oracle CY plan LR(P), continuous closed form (baked at build time)</t>
        </is>
      </c>
    </row>
    <row r="234">
      <c r="B234" s="221" t="inlineStr">
        <is>
          <t>orc_echg</t>
        </is>
      </c>
      <c r="C234" s="6" t="inlineStr">
        <is>
          <t>_oracle!$B$14</t>
        </is>
      </c>
      <c r="D234" s="6" t="inlineStr">
        <is>
          <t>Oracle earned chg vs indication (baked at build time)</t>
        </is>
      </c>
    </row>
    <row r="235">
      <c r="B235" s="221" t="inlineStr">
        <is>
          <t>orc_ecy_p</t>
        </is>
      </c>
      <c r="C235" s="6" t="inlineStr">
        <is>
          <t>_oracle!$B$6</t>
        </is>
      </c>
      <c r="D235" s="6" t="inlineStr">
        <is>
          <t>Oracle E_CY(P), monthly convention (baked at build time)</t>
        </is>
      </c>
    </row>
    <row r="236">
      <c r="B236" s="221" t="inlineStr">
        <is>
          <t>orc_ecy_p1</t>
        </is>
      </c>
      <c r="C236" s="6" t="inlineStr">
        <is>
          <t>_oracle!$B$7</t>
        </is>
      </c>
      <c r="D236" s="6" t="inlineStr">
        <is>
          <t>Oracle E_CY(P+1), monthly convention (baked at build time)</t>
        </is>
      </c>
    </row>
    <row r="237">
      <c r="B237" s="221" t="inlineStr">
        <is>
          <t>orc_ecy_p_cont</t>
        </is>
      </c>
      <c r="C237" s="6" t="inlineStr">
        <is>
          <t>_oracle!$B$16</t>
        </is>
      </c>
      <c r="D237" s="6" t="inlineStr">
        <is>
          <t>Oracle E_CY(P), continuous closed form (baked at build time)</t>
        </is>
      </c>
    </row>
    <row r="238">
      <c r="B238" s="221" t="inlineStr">
        <is>
          <t>orc_ecy_pm1</t>
        </is>
      </c>
      <c r="C238" s="6" t="inlineStr">
        <is>
          <t>_oracle!$B$5</t>
        </is>
      </c>
      <c r="D238" s="6" t="inlineStr">
        <is>
          <t>Oracle E_CY(P-1), monthly convention (baked at build time)</t>
        </is>
      </c>
    </row>
    <row r="239">
      <c r="B239" s="221" t="inlineStr">
        <is>
          <t>orc_fp</t>
        </is>
      </c>
      <c r="C239" s="6" t="inlineStr">
        <is>
          <t>_oracle!$B$46</t>
        </is>
      </c>
      <c r="D239" s="6" t="inlineStr">
        <is>
          <t>TRUE while the seeded worked-example inputs are unchanged (scopes oracle ties)</t>
        </is>
      </c>
    </row>
    <row r="240">
      <c r="B240" s="221" t="inlineStr">
        <is>
          <t>orc_mbar_p</t>
        </is>
      </c>
      <c r="C240" s="6" t="inlineStr">
        <is>
          <t>_oracle!$B$8</t>
        </is>
      </c>
      <c r="D240" s="6" t="inlineStr">
        <is>
          <t>Oracle CY P earned mod, monthly convention (baked at build time)</t>
        </is>
      </c>
    </row>
    <row r="241">
      <c r="B241" s="221" t="inlineStr">
        <is>
          <t>orc_solver_r</t>
        </is>
      </c>
      <c r="C241" s="6" t="inlineStr">
        <is>
          <t>_oracle!$B$17</t>
        </is>
      </c>
      <c r="D241" s="6" t="inlineStr">
        <is>
          <t>Oracle solver required change (worked example) (baked at build time)</t>
        </is>
      </c>
    </row>
    <row r="242">
      <c r="B242" s="221" t="inlineStr">
        <is>
          <t>re_den_row</t>
        </is>
      </c>
      <c r="C242" s="6" t="inlineStr">
        <is>
          <t>'Rate Engine'!$V$67:$BE$67</t>
        </is>
      </c>
      <c r="D242" s="6" t="inlineStr">
        <is>
          <t>Monthly earned-exposure denominators</t>
        </is>
      </c>
    </row>
    <row r="243">
      <c r="B243" s="221" t="inlineStr">
        <is>
          <t>re_ecy_matrix</t>
        </is>
      </c>
      <c r="C243" s="6" t="inlineStr">
        <is>
          <t>'Rate Engine'!$F$12</t>
        </is>
      </c>
      <c r="D243" s="6" t="inlineStr">
        <is>
          <t>Cross-check: E_CY(P) summed from the monthly matrix columns</t>
        </is>
      </c>
    </row>
    <row r="244">
      <c r="B244" s="221" t="inlineStr">
        <is>
          <t>re_em_row</t>
        </is>
      </c>
      <c r="C244" s="6" t="inlineStr">
        <is>
          <t>'Rate Engine'!$V$68:$BE$68</t>
        </is>
      </c>
      <c r="D244" s="6" t="inlineStr">
        <is>
          <t>Monthly earned rate index E_m, Jan (P-1) .. Dec (P+1)</t>
        </is>
      </c>
    </row>
    <row r="245">
      <c r="B245" s="221" t="inlineStr">
        <is>
          <t>re_rowsum_chk</t>
        </is>
      </c>
      <c r="C245" s="6" t="inlineStr">
        <is>
          <t>'Rate Engine'!$BF$17:$BF$64</t>
        </is>
      </c>
      <c r="D245" s="6" t="inlineStr">
        <is>
          <t>Per-cohort earning-profile row sums minus 1 (in-window cohorts; should be 0)</t>
        </is>
      </c>
    </row>
    <row r="246">
      <c r="B246" s="221" t="inlineStr">
        <is>
          <t>re_season_active</t>
        </is>
      </c>
      <c r="C246" s="6" t="inlineStr">
        <is>
          <t>'Rate Engine'!$F$8</t>
        </is>
      </c>
      <c r="D246" s="6" t="inlineStr">
        <is>
          <t>TRUE when non-uniform written weights are in force</t>
        </is>
      </c>
    </row>
    <row r="247">
      <c r="B247" s="221" t="inlineStr">
        <is>
          <t>re_srow</t>
        </is>
      </c>
      <c r="C247" s="6" t="inlineStr">
        <is>
          <t>'Rate Engine'!$F$6</t>
        </is>
      </c>
      <c r="D247" s="6" t="inlineStr">
        <is>
          <t>tbl_Seasonality row for the selected state, 0 if absent</t>
        </is>
      </c>
    </row>
    <row r="248">
      <c r="B248" s="221" t="inlineStr">
        <is>
          <t>re_ssum</t>
        </is>
      </c>
      <c r="C248" s="6" t="inlineStr">
        <is>
          <t>'Rate Engine'!$F$7</t>
        </is>
      </c>
      <c r="D248" s="6" t="inlineStr">
        <is>
          <t>Sum of the selected state's 12 seasonality weights</t>
        </is>
      </c>
    </row>
    <row r="249">
      <c r="B249" s="221" t="inlineStr">
        <is>
          <t>re_viol_row</t>
        </is>
      </c>
      <c r="C249" s="6" t="inlineStr">
        <is>
          <t>'Rate Engine'!$V$71:$BE$71</t>
        </is>
      </c>
      <c r="D249" s="6" t="inlineStr">
        <is>
          <t>Per-month earned-index bound violations (should be all 0)</t>
        </is>
      </c>
    </row>
    <row r="250">
      <c r="B250" s="221" t="inlineStr">
        <is>
          <t>rl_ach</t>
        </is>
      </c>
      <c r="C250" s="6" t="inlineStr">
        <is>
          <t>'Rate Log'!$G$7:$G$246</t>
        </is>
      </c>
      <c r="D250" s="6" t="inlineStr">
        <is>
          <t>Achievement % (planned rows; blank = 100%)</t>
        </is>
      </c>
    </row>
    <row r="251">
      <c r="B251" s="221" t="inlineStr">
        <is>
          <t>rl_bu</t>
        </is>
      </c>
      <c r="C251" s="6" t="inlineStr">
        <is>
          <t>'Rate Log'!$A$7:$A$246</t>
        </is>
      </c>
      <c r="D251" s="6" t="inlineStr">
        <is>
          <t>tbl_RateLog business unit</t>
        </is>
      </c>
    </row>
    <row r="252">
      <c r="B252" s="221" t="inlineStr">
        <is>
          <t>rl_cons</t>
        </is>
      </c>
      <c r="C252" s="6" t="inlineStr">
        <is>
          <t>'Rate Log'!$F$7:$F$246</t>
        </is>
      </c>
      <c r="D252" s="6" t="inlineStr">
        <is>
          <t>Considered in the indication? (Y/N)</t>
        </is>
      </c>
    </row>
    <row r="253">
      <c r="B253" s="221" t="inlineStr">
        <is>
          <t>rl_daysafter</t>
        </is>
      </c>
      <c r="C253" s="6" t="inlineStr">
        <is>
          <t>'Rate Log'!$N$7:$N$246</t>
        </is>
      </c>
      <c r="D253" s="6" t="inlineStr">
        <is>
          <t>Helper: days in effective month on/after the change</t>
        </is>
      </c>
    </row>
    <row r="254">
      <c r="B254" s="221" t="inlineStr">
        <is>
          <t>rl_dup</t>
        </is>
      </c>
      <c r="C254" s="6" t="inlineStr">
        <is>
          <t>'Rate Log'!$R$7:$R$246</t>
        </is>
      </c>
      <c r="D254" s="6" t="inlineStr">
        <is>
          <t>Helper: 1 when &gt;1 change shares a BU|State cohort month</t>
        </is>
      </c>
    </row>
    <row r="255">
      <c r="B255" s="221" t="inlineStr">
        <is>
          <t>rl_eff</t>
        </is>
      </c>
      <c r="C255" s="6" t="inlineStr">
        <is>
          <t>'Rate Log'!$C$7:$C$246</t>
        </is>
      </c>
      <c r="D255" s="6" t="inlineStr">
        <is>
          <t>Rate change effective date (start of day)</t>
        </is>
      </c>
    </row>
    <row r="256">
      <c r="B256" s="221" t="inlineStr">
        <is>
          <t>rl_effmonth</t>
        </is>
      </c>
      <c r="C256" s="6" t="inlineStr">
        <is>
          <t>'Rate Log'!$M$7:$M$246</t>
        </is>
      </c>
      <c r="D256" s="6" t="inlineStr">
        <is>
          <t>Helper: first day of the effective month</t>
        </is>
      </c>
    </row>
    <row r="257">
      <c r="B257" s="221" t="inlineStr">
        <is>
          <t>rl_filed</t>
        </is>
      </c>
      <c r="C257" s="6" t="inlineStr">
        <is>
          <t>'Rate Log'!$D$7:$D$246</t>
        </is>
      </c>
      <c r="D257" s="6" t="inlineStr">
        <is>
          <t>Filed rate change (decimal fraction)</t>
        </is>
      </c>
    </row>
    <row r="258">
      <c r="B258" s="221" t="inlineStr">
        <is>
          <t>rl_first</t>
        </is>
      </c>
      <c r="C258" s="6" t="inlineStr">
        <is>
          <t>'Rate Log'!$Q$7:$Q$246</t>
        </is>
      </c>
      <c r="D258" s="6" t="inlineStr">
        <is>
          <t>Helper: 1 for the first change in its BU|State cohort month</t>
        </is>
      </c>
    </row>
    <row r="259">
      <c r="B259" s="221" t="inlineStr">
        <is>
          <t>rl_key</t>
        </is>
      </c>
      <c r="C259" s="6" t="inlineStr">
        <is>
          <t>'Rate Log'!$J$7:$J$246</t>
        </is>
      </c>
      <c r="D259" s="6" t="inlineStr">
        <is>
          <t>Helper: BU|State key (right of the paste block, D40)</t>
        </is>
      </c>
    </row>
    <row r="260">
      <c r="B260" s="221" t="inlineStr">
        <is>
          <t>rl_ln1p</t>
        </is>
      </c>
      <c r="C260" s="6" t="inlineStr">
        <is>
          <t>'Rate Log'!$L$7:$L$246</t>
        </is>
      </c>
      <c r="D260" s="6" t="inlineStr">
        <is>
          <t>Helper: ln(1 + effective change); 0 for blank rows</t>
        </is>
      </c>
    </row>
    <row r="261">
      <c r="B261" s="221" t="inlineStr">
        <is>
          <t>rl_prank</t>
        </is>
      </c>
      <c r="C261" s="6" t="inlineStr">
        <is>
          <t>'Rate Log'!$T$7:$T$246</t>
        </is>
      </c>
      <c r="D261" s="6" t="inlineStr">
        <is>
          <t>Helper: chronological rank among the key's PLANNED rows</t>
        </is>
      </c>
    </row>
    <row r="262">
      <c r="B262" s="221" t="inlineStr">
        <is>
          <t>rl_reff</t>
        </is>
      </c>
      <c r="C262" s="6" t="inlineStr">
        <is>
          <t>'Rate Log'!$K$7:$K$246</t>
        </is>
      </c>
      <c r="D262" s="6" t="inlineStr">
        <is>
          <t>Helper: effective change = filed x achievement (planned only)</t>
        </is>
      </c>
    </row>
    <row r="263">
      <c r="B263" s="221" t="inlineStr">
        <is>
          <t>rl_seq</t>
        </is>
      </c>
      <c r="C263" s="6" t="inlineStr">
        <is>
          <t>'Rate Log'!$S$7:$S$246</t>
        </is>
      </c>
      <c r="D263" s="6" t="inlineStr">
        <is>
          <t>Helper: chronological rank of the change within its BU|State key</t>
        </is>
      </c>
    </row>
    <row r="264">
      <c r="B264" s="221" t="inlineStr">
        <is>
          <t>rl_state</t>
        </is>
      </c>
      <c r="C264" s="6" t="inlineStr">
        <is>
          <t>'Rate Log'!$B$7:$B$246</t>
        </is>
      </c>
      <c r="D264" s="6" t="inlineStr">
        <is>
          <t>tbl_RateLog state</t>
        </is>
      </c>
    </row>
    <row r="265">
      <c r="B265" s="221" t="inlineStr">
        <is>
          <t>rl_status</t>
        </is>
      </c>
      <c r="C265" s="6" t="inlineStr">
        <is>
          <t>'Rate Log'!$E$7:$E$246</t>
        </is>
      </c>
      <c r="D265" s="6" t="inlineStr">
        <is>
          <t>taken | planned</t>
        </is>
      </c>
    </row>
    <row r="266">
      <c r="B266" s="221" t="inlineStr">
        <is>
          <t>sc_ach</t>
        </is>
      </c>
      <c r="C266" s="6" t="inlineStr">
        <is>
          <t>Scenarios!$C$8:$F$8</t>
        </is>
      </c>
      <c r="D266" s="6" t="inlineStr">
        <is>
          <t>Scenario lever: replaces achievement % on planned rows</t>
        </is>
      </c>
    </row>
    <row r="267">
      <c r="B267" s="221" t="inlineStr">
        <is>
          <t>sc_dm1</t>
        </is>
      </c>
      <c r="C267" s="6" t="inlineStr">
        <is>
          <t>Scenarios!$C$9:$F$9</t>
        </is>
      </c>
      <c r="D267" s="6" t="inlineStr">
        <is>
          <t>Scenario lever: added to M_1 and M_2 anchors</t>
        </is>
      </c>
    </row>
    <row r="268">
      <c r="B268" s="221" t="inlineStr">
        <is>
          <t>sc_dnet</t>
        </is>
      </c>
      <c r="C268" s="6" t="inlineStr">
        <is>
          <t>Scenarios!$C$10:$F$10</t>
        </is>
      </c>
      <c r="D268" s="6" t="inlineStr">
        <is>
          <t>Scenario lever: added to the net selection x for P and P+1 (D39)</t>
        </is>
      </c>
    </row>
    <row r="269">
      <c r="B269" s="221" t="inlineStr">
        <is>
          <t>sc_dpts</t>
        </is>
      </c>
      <c r="C269" s="6" t="inlineStr">
        <is>
          <t>Scenarios!$C$6:$F$6</t>
        </is>
      </c>
      <c r="D269" s="6" t="inlineStr">
        <is>
          <t>Scenario lever: added to every planned row's filed %</t>
        </is>
      </c>
    </row>
    <row r="270">
      <c r="B270" s="221" t="inlineStr">
        <is>
          <t>sc_res_cylr</t>
        </is>
      </c>
      <c r="C270" s="6" t="inlineStr">
        <is>
          <t>Scenarios!$C$14:$G$14</t>
        </is>
      </c>
      <c r="D270" s="6" t="inlineStr">
        <is>
          <t>CY plan LR by scenario</t>
        </is>
      </c>
    </row>
    <row r="271">
      <c r="B271" s="221" t="inlineStr">
        <is>
          <t>sc_res_names</t>
        </is>
      </c>
      <c r="C271" s="6" t="inlineStr">
        <is>
          <t>Scenarios!$C$13:$G$13</t>
        </is>
      </c>
      <c r="D271" s="6" t="inlineStr">
        <is>
          <t>Scenario result column headers</t>
        </is>
      </c>
    </row>
    <row r="272">
      <c r="B272" s="221" t="inlineStr">
        <is>
          <t>sc_shift</t>
        </is>
      </c>
      <c r="C272" s="6" t="inlineStr">
        <is>
          <t>Scenarios!$C$7:$F$7</t>
        </is>
      </c>
      <c r="D272" s="6" t="inlineStr">
        <is>
          <t>Scenario lever: EDATE month shift applied to planned rows</t>
        </is>
      </c>
    </row>
    <row r="273">
      <c r="B273" s="221" t="inlineStr">
        <is>
          <t>se_block</t>
        </is>
      </c>
      <c r="C273" s="6" t="inlineStr">
        <is>
          <t>Inputs!$B$85:$M$108</t>
        </is>
      </c>
      <c r="D273" s="6" t="inlineStr">
        <is>
          <t>Seasonality 12-month weight block</t>
        </is>
      </c>
    </row>
    <row r="274">
      <c r="B274" s="221" t="inlineStr">
        <is>
          <t>se_state</t>
        </is>
      </c>
      <c r="C274" s="6" t="inlineStr">
        <is>
          <t>Inputs!$A$85:$A$108</t>
        </is>
      </c>
      <c r="D274" s="6" t="inlineStr">
        <is>
          <t>Seasonality state column</t>
        </is>
      </c>
    </row>
    <row r="275">
      <c r="B275" s="221" t="inlineStr">
        <is>
          <t>se_sum</t>
        </is>
      </c>
      <c r="C275" s="6" t="inlineStr">
        <is>
          <t>Inputs!$N$85:$N$108</t>
        </is>
      </c>
      <c r="D275" s="6" t="inlineStr">
        <is>
          <t>Helper: seasonality row sums</t>
        </is>
      </c>
    </row>
    <row r="276">
      <c r="B276" s="221" t="inlineStr">
        <is>
          <t>slv_absmi</t>
        </is>
      </c>
      <c r="C276" s="6" t="inlineStr">
        <is>
          <t>_calc!$G$4675:$G$4722</t>
        </is>
      </c>
      <c r="D276" s="6" t="inlineStr">
        <is>
          <t>Solver block: absolute cohort month indices</t>
        </is>
      </c>
    </row>
    <row r="277">
      <c r="B277" s="221" t="inlineStr">
        <is>
          <t>slv_amod</t>
        </is>
      </c>
      <c r="C277" s="6" t="inlineStr">
        <is>
          <t>Solver!$G$22</t>
        </is>
      </c>
      <c r="D277" s="6" t="inlineStr">
        <is>
          <t>Mod drift factor of the solve combo</t>
        </is>
      </c>
    </row>
    <row r="278">
      <c r="B278" s="221" t="inlineStr">
        <is>
          <t>slv_aother</t>
        </is>
      </c>
      <c r="C278" s="6" t="inlineStr">
        <is>
          <t>Solver!$G$23</t>
        </is>
      </c>
      <c r="D278" s="6" t="inlineStr">
        <is>
          <t>Other adjustment factor of the solve combo</t>
        </is>
      </c>
    </row>
    <row r="279">
      <c r="B279" s="221" t="inlineStr">
        <is>
          <t>slv_crl</t>
        </is>
      </c>
      <c r="C279" s="6" t="inlineStr">
        <is>
          <t>Solver!$G$20</t>
        </is>
      </c>
      <c r="D279" s="6" t="inlineStr">
        <is>
          <t>Indication rate level of the solve combo</t>
        </is>
      </c>
    </row>
    <row r="280">
      <c r="B280" s="221" t="inlineStr">
        <is>
          <t>slv_cum</t>
        </is>
      </c>
      <c r="C280" s="6" t="inlineStr">
        <is>
          <t>_calc!$T$4675:$T$4722</t>
        </is>
      </c>
      <c r="D280" s="6" t="inlineStr">
        <is>
          <t>Solver block: cumulative w-ec-W0</t>
        </is>
      </c>
    </row>
    <row r="281">
      <c r="B281" s="221" t="inlineStr">
        <is>
          <t>slv_den</t>
        </is>
      </c>
      <c r="C281" s="6" t="inlineStr">
        <is>
          <t>_calc!$B$4723</t>
        </is>
      </c>
      <c r="D281" s="6" t="inlineStr">
        <is>
          <t>Solver denominator D = SUM w-ec over CY P</t>
        </is>
      </c>
    </row>
    <row r="282">
      <c r="B282" s="221" t="inlineStr">
        <is>
          <t>slv_dfirst</t>
        </is>
      </c>
      <c r="C282" s="6" t="inlineStr">
        <is>
          <t>_calc!$L$4675:$L$4722</t>
        </is>
      </c>
      <c r="D282" s="6" t="inlineStr">
        <is>
          <t>Solver block: first-taken-change days on/after</t>
        </is>
      </c>
    </row>
    <row r="283">
      <c r="B283" s="221" t="inlineStr">
        <is>
          <t>slv_ecp</t>
        </is>
      </c>
      <c r="C283" s="6" t="inlineStr">
        <is>
          <t>_calc!$Q$4675:$Q$4722</t>
        </is>
      </c>
      <c r="D283" s="6" t="inlineStr">
        <is>
          <t>Solver block: CY P earning fractions</t>
        </is>
      </c>
    </row>
    <row r="284">
      <c r="B284" s="221" t="inlineStr">
        <is>
          <t>slv_key</t>
        </is>
      </c>
      <c r="C284" s="6" t="inlineStr">
        <is>
          <t>Solver!$G$4</t>
        </is>
      </c>
      <c r="D284" s="6" t="inlineStr">
        <is>
          <t>Combo the Solver solves for (Control selection, or the local override)</t>
        </is>
      </c>
    </row>
    <row r="285">
      <c r="B285" s="221" t="inlineStr">
        <is>
          <t>slv_lrcur</t>
        </is>
      </c>
      <c r="C285" s="6" t="inlineStr">
        <is>
          <t>Solver!$G$21</t>
        </is>
      </c>
      <c r="D285" s="6" t="inlineStr">
        <is>
          <t>Basis-normalized projected LR of the solve combo</t>
        </is>
      </c>
    </row>
    <row r="286">
      <c r="B286" s="221" t="inlineStr">
        <is>
          <t>slv_row</t>
        </is>
      </c>
      <c r="C286" s="6" t="inlineStr">
        <is>
          <t>Solver!$G$19</t>
        </is>
      </c>
      <c r="D286" s="6" t="inlineStr">
        <is>
          <t>Row of the solve combo in the _calc results table (0 = absent)</t>
        </is>
      </c>
    </row>
    <row r="287">
      <c r="B287" s="221" t="inlineStr">
        <is>
          <t>slv_state</t>
        </is>
      </c>
      <c r="C287" s="6" t="inlineStr">
        <is>
          <t>Solver!$G$5</t>
        </is>
      </c>
      <c r="D287" s="6" t="inlineStr">
        <is>
          <t>State of the combo the Solver solves for</t>
        </is>
      </c>
    </row>
    <row r="288">
      <c r="B288" s="221" t="inlineStr">
        <is>
          <t>slv_total</t>
        </is>
      </c>
      <c r="C288" s="6" t="inlineStr">
        <is>
          <t>_calc!$C$4723</t>
        </is>
      </c>
      <c r="D288" s="6" t="inlineStr">
        <is>
          <t>Solver total SUM w-ec-W0 over CY P</t>
        </is>
      </c>
    </row>
    <row r="289">
      <c r="B289" s="221" t="inlineStr">
        <is>
          <t>slv_w</t>
        </is>
      </c>
      <c r="C289" s="6" t="inlineStr">
        <is>
          <t>_calc!$H$4675:$H$4722</t>
        </is>
      </c>
      <c r="D289" s="6" t="inlineStr">
        <is>
          <t>Solver block: written weights</t>
        </is>
      </c>
    </row>
    <row r="290">
      <c r="B290" s="221" t="inlineStr">
        <is>
          <t>slv_weom</t>
        </is>
      </c>
      <c r="C290" s="6" t="inlineStr">
        <is>
          <t>_calc!$J$4675:$J$4722</t>
        </is>
      </c>
      <c r="D290" s="6" t="inlineStr">
        <is>
          <t>Solver block: end-of-month index W0_eom</t>
        </is>
      </c>
    </row>
    <row r="291">
      <c r="B291" s="221" t="inlineStr">
        <is>
          <t>slv_weom_c</t>
        </is>
      </c>
      <c r="C291" s="6" t="inlineStr">
        <is>
          <t>_calc!$U$4675:$U$4722</t>
        </is>
      </c>
      <c r="D291" s="6" t="inlineStr">
        <is>
          <t>Solver block: w-ec-W0_eom by cohort</t>
        </is>
      </c>
    </row>
    <row r="292">
      <c r="B292" s="221" t="inlineStr">
        <is>
          <t>slv_widx</t>
        </is>
      </c>
      <c r="C292" s="6" t="inlineStr">
        <is>
          <t>_calc!$N$4675:$N$4722</t>
        </is>
      </c>
      <c r="D292" s="6" t="inlineStr">
        <is>
          <t>Solver block: taken-only written index W0 (blended)</t>
        </is>
      </c>
    </row>
    <row r="293">
      <c r="B293" s="221"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2" t="inlineStr">
        <is>
          <t>_calc (hidden): per-combo engine blocks generated by src/build_workbook.py. Same formula pattern as the visible Rate Engine; do not edit.</t>
        </is>
      </c>
    </row>
    <row r="3">
      <c r="A3" s="222" t="inlineStr">
        <is>
          <t>key</t>
        </is>
      </c>
      <c r="B3" s="222" t="inlineStr">
        <is>
          <t>T</t>
        </is>
      </c>
      <c r="C3" s="222" t="inlineStr">
        <is>
          <t>CRL</t>
        </is>
      </c>
      <c r="D3" s="222" t="inlineStr">
        <is>
          <t>E_CY(P-1)</t>
        </is>
      </c>
      <c r="E3" s="222" t="inlineStr">
        <is>
          <t>E_CY(P)</t>
        </is>
      </c>
      <c r="F3" s="222" t="inlineStr">
        <is>
          <t>E_CY(P+1)</t>
        </is>
      </c>
      <c r="G3" s="222" t="inlineStr">
        <is>
          <t>Mbar(P)</t>
        </is>
      </c>
      <c r="H3" s="222" t="inlineStr">
        <is>
          <t>Mbar(P+1)</t>
        </is>
      </c>
      <c r="I3" s="222" t="inlineStr">
        <is>
          <t>A_rate(P)</t>
        </is>
      </c>
      <c r="J3" s="222" t="inlineStr">
        <is>
          <t>A_rate(P+1)</t>
        </is>
      </c>
      <c r="K3" s="222" t="inlineStr">
        <is>
          <t>A_mod(P)</t>
        </is>
      </c>
      <c r="L3" s="222" t="inlineStr">
        <is>
          <t>A_mod(P+1)</t>
        </is>
      </c>
      <c r="M3" s="222" t="inlineStr">
        <is>
          <t>LR_current</t>
        </is>
      </c>
      <c r="N3" s="222" t="inlineStr">
        <is>
          <t>CY LR(P)</t>
        </is>
      </c>
      <c r="O3" s="222" t="inlineStr">
        <is>
          <t>CY LR(P+1)</t>
        </is>
      </c>
      <c r="P3" s="222" t="inlineStr">
        <is>
          <t>EChg vs ind</t>
        </is>
      </c>
      <c r="Q3" s="222" t="inlineStr">
        <is>
          <t>Carryover</t>
        </is>
      </c>
      <c r="R3" s="222" t="inlineStr">
        <is>
          <t>A_other</t>
        </is>
      </c>
      <c r="S3" s="222" t="inlineStr">
        <is>
          <t>trend</t>
        </is>
      </c>
    </row>
    <row r="4">
      <c r="A4" s="6">
        <f>$A$76</f>
        <v/>
      </c>
      <c r="B4" s="74">
        <f>$C$76</f>
        <v/>
      </c>
      <c r="C4" s="72">
        <f>$B$127</f>
        <v/>
      </c>
      <c r="D4" s="72">
        <f>$C$127</f>
        <v/>
      </c>
      <c r="E4" s="72">
        <f>$D$127</f>
        <v/>
      </c>
      <c r="F4" s="72">
        <f>$E$127</f>
        <v/>
      </c>
      <c r="G4" s="204">
        <f>$F$127</f>
        <v/>
      </c>
      <c r="H4" s="20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23">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04">
        <f>$F$181</f>
        <v/>
      </c>
      <c r="H5" s="20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23">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04">
        <f>$F$235</f>
        <v/>
      </c>
      <c r="H6" s="20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23">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04">
        <f>$F$289</f>
        <v/>
      </c>
      <c r="H7" s="20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23">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04">
        <f>$F$343</f>
        <v/>
      </c>
      <c r="H8" s="20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23">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04">
        <f>$F$397</f>
        <v/>
      </c>
      <c r="H9" s="20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23">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04">
        <f>$F$451</f>
        <v/>
      </c>
      <c r="H10" s="20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23">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04">
        <f>$F$505</f>
        <v/>
      </c>
      <c r="H11" s="20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23">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04">
        <f>$F$559</f>
        <v/>
      </c>
      <c r="H12" s="20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23">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04">
        <f>$F$613</f>
        <v/>
      </c>
      <c r="H13" s="20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23">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04">
        <f>$F$667</f>
        <v/>
      </c>
      <c r="H14" s="20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23">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04">
        <f>$F$721</f>
        <v/>
      </c>
      <c r="H15" s="20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23">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04">
        <f>$F$775</f>
        <v/>
      </c>
      <c r="H16" s="20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23">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04">
        <f>$F$829</f>
        <v/>
      </c>
      <c r="H17" s="20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23">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04">
        <f>$F$883</f>
        <v/>
      </c>
      <c r="H18" s="20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23">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04">
        <f>$F$937</f>
        <v/>
      </c>
      <c r="H19" s="20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23">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04">
        <f>$F$991</f>
        <v/>
      </c>
      <c r="H20" s="20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23">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04">
        <f>$F$1045</f>
        <v/>
      </c>
      <c r="H21" s="20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23">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04">
        <f>$F$1099</f>
        <v/>
      </c>
      <c r="H22" s="20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23">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04">
        <f>$F$1153</f>
        <v/>
      </c>
      <c r="H23" s="20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23">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04">
        <f>$F$1207</f>
        <v/>
      </c>
      <c r="H24" s="20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23">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04">
        <f>$F$1261</f>
        <v/>
      </c>
      <c r="H25" s="20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23">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04">
        <f>$F$1315</f>
        <v/>
      </c>
      <c r="H26" s="20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23">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04">
        <f>$F$1369</f>
        <v/>
      </c>
      <c r="H27" s="20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23">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04">
        <f>$F$1423</f>
        <v/>
      </c>
      <c r="H28" s="20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23">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04">
        <f>$F$1477</f>
        <v/>
      </c>
      <c r="H29" s="20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23">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04">
        <f>$F$1531</f>
        <v/>
      </c>
      <c r="H30" s="20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23">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04">
        <f>$F$1585</f>
        <v/>
      </c>
      <c r="H31" s="20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23">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04">
        <f>$F$1639</f>
        <v/>
      </c>
      <c r="H32" s="20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23">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04">
        <f>$F$1693</f>
        <v/>
      </c>
      <c r="H33" s="20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23">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04">
        <f>$F$1747</f>
        <v/>
      </c>
      <c r="H34" s="20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23">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04">
        <f>$F$1801</f>
        <v/>
      </c>
      <c r="H35" s="20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23">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04">
        <f>$F$1855</f>
        <v/>
      </c>
      <c r="H36" s="20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23">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04">
        <f>$F$1909</f>
        <v/>
      </c>
      <c r="H37" s="20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23">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04">
        <f>$F$1963</f>
        <v/>
      </c>
      <c r="H38" s="20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23">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04">
        <f>$F$2017</f>
        <v/>
      </c>
      <c r="H39" s="20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23">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04">
        <f>$F$2071</f>
        <v/>
      </c>
      <c r="H40" s="20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23">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04">
        <f>$F$2125</f>
        <v/>
      </c>
      <c r="H41" s="20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23">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04">
        <f>$F$2179</f>
        <v/>
      </c>
      <c r="H42" s="20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23">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04">
        <f>$F$2233</f>
        <v/>
      </c>
      <c r="H43" s="20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23">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04">
        <f>$F$2287</f>
        <v/>
      </c>
      <c r="H44" s="20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23">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04">
        <f>$F$2341</f>
        <v/>
      </c>
      <c r="H45" s="20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23">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04">
        <f>$F$2395</f>
        <v/>
      </c>
      <c r="H46" s="20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23">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04">
        <f>$F$2449</f>
        <v/>
      </c>
      <c r="H47" s="20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23">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04">
        <f>$F$2503</f>
        <v/>
      </c>
      <c r="H48" s="20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23">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04">
        <f>$F$2557</f>
        <v/>
      </c>
      <c r="H49" s="20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23">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04">
        <f>$F$2611</f>
        <v/>
      </c>
      <c r="H50" s="20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23">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04">
        <f>$F$2665</f>
        <v/>
      </c>
      <c r="H51" s="20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23">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04">
        <f>$F$2719</f>
        <v/>
      </c>
      <c r="H52" s="20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23">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04">
        <f>$F$2773</f>
        <v/>
      </c>
      <c r="H53" s="20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23">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04">
        <f>$F$2827</f>
        <v/>
      </c>
      <c r="H54" s="20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23">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04">
        <f>$F$2881</f>
        <v/>
      </c>
      <c r="H55" s="20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23">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04">
        <f>$F$2935</f>
        <v/>
      </c>
      <c r="H56" s="20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23">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04">
        <f>$F$2989</f>
        <v/>
      </c>
      <c r="H57" s="20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23">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04">
        <f>$F$3043</f>
        <v/>
      </c>
      <c r="H58" s="20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23">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04">
        <f>$F$3097</f>
        <v/>
      </c>
      <c r="H59" s="20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23">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04">
        <f>$F$3151</f>
        <v/>
      </c>
      <c r="H60" s="20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23">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04">
        <f>$F$3205</f>
        <v/>
      </c>
      <c r="H61" s="20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23">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04">
        <f>$F$3259</f>
        <v/>
      </c>
      <c r="H62" s="20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23">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04">
        <f>$F$3313</f>
        <v/>
      </c>
      <c r="H63" s="20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23">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04">
        <f>$F$3367</f>
        <v/>
      </c>
      <c r="H64" s="20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23">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04">
        <f>$F$3421</f>
        <v/>
      </c>
      <c r="H65" s="20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23">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04">
        <f>$F$3475</f>
        <v/>
      </c>
      <c r="H66" s="20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23">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04">
        <f>$F$3529</f>
        <v/>
      </c>
      <c r="H67" s="20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23">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04">
        <f>$F$3583</f>
        <v/>
      </c>
      <c r="H68" s="20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23">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04">
        <f>$F$3637</f>
        <v/>
      </c>
      <c r="H69" s="20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23">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04">
        <f>$F$3691</f>
        <v/>
      </c>
      <c r="H70" s="20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23">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04">
        <f>$F$3745</f>
        <v/>
      </c>
      <c r="H71" s="20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23">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04">
        <f>$F$3799</f>
        <v/>
      </c>
      <c r="H72" s="20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23">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04">
        <f>IF(N(INDEX(lr_mind,1))=0,1,INDEX(lr_mind,1))</f>
        <v/>
      </c>
      <c r="G76" s="204">
        <f>IF(N(INDEX(lr_m0,1))=0,1,INDEX(lr_m0,1))</f>
        <v/>
      </c>
      <c r="H76" s="73">
        <f>IF(N(INDEX(lr_m0asof,1))=0,DATE(nr_PlanYear-1,10,1),INDEX(lr_m0asof,1))</f>
        <v/>
      </c>
      <c r="I76" s="204">
        <f>IF(N(INDEX(lr_m1,1))=0,1,INDEX(lr_m1,1))</f>
        <v/>
      </c>
      <c r="J76" s="204">
        <f>INDEX(lr_mprior,1)</f>
        <v/>
      </c>
      <c r="K76" s="20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93">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$N79*IF($O$76=1,$O79/$F$76,1)</f>
        <v/>
      </c>
      <c r="T79" s="95">
        <f>IF($G79&lt;nr_MStartP,$S79,$T67*(1+IF($G79&lt;nr_MStartP1,$M$76,$N$76)))</f>
        <v/>
      </c>
      <c r="U79" s="95">
        <f>IF($L$76,$T79,$N79)</f>
        <v/>
      </c>
    </row>
    <row r="80">
      <c r="A80" s="90" t="n">
        <v>2</v>
      </c>
      <c r="B80" s="91">
        <f>EDATE($B79,1)</f>
        <v/>
      </c>
      <c r="C80" s="92">
        <f>EOMONTH($B80,0)</f>
        <v/>
      </c>
      <c r="D80" s="87">
        <f>$C80-$B80+1</f>
        <v/>
      </c>
      <c r="E80" s="87">
        <f>MONTH($B80)</f>
        <v/>
      </c>
      <c r="F80" s="93">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$N80*IF($O$76=1,$O80/$F$76,1)</f>
        <v/>
      </c>
      <c r="T80" s="95">
        <f>IF($G80&lt;nr_MStartP,$S80,$T68*(1+IF($G80&lt;nr_MStartP1,$M$76,$N$76)))</f>
        <v/>
      </c>
      <c r="U80" s="95">
        <f>IF($L$76,$T80,$N80)</f>
        <v/>
      </c>
    </row>
    <row r="81">
      <c r="A81" s="90" t="n">
        <v>3</v>
      </c>
      <c r="B81" s="91">
        <f>EDATE($B80,1)</f>
        <v/>
      </c>
      <c r="C81" s="92">
        <f>EOMONTH($B81,0)</f>
        <v/>
      </c>
      <c r="D81" s="87">
        <f>$C81-$B81+1</f>
        <v/>
      </c>
      <c r="E81" s="87">
        <f>MONTH($B81)</f>
        <v/>
      </c>
      <c r="F81" s="93">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$N81*IF($O$76=1,$O81/$F$76,1)</f>
        <v/>
      </c>
      <c r="T81" s="95">
        <f>IF($G81&lt;nr_MStartP,$S81,$T69*(1+IF($G81&lt;nr_MStartP1,$M$76,$N$76)))</f>
        <v/>
      </c>
      <c r="U81" s="95">
        <f>IF($L$76,$T81,$N81)</f>
        <v/>
      </c>
    </row>
    <row r="82">
      <c r="A82" s="90" t="n">
        <v>4</v>
      </c>
      <c r="B82" s="91">
        <f>EDATE($B81,1)</f>
        <v/>
      </c>
      <c r="C82" s="92">
        <f>EOMONTH($B82,0)</f>
        <v/>
      </c>
      <c r="D82" s="87">
        <f>$C82-$B82+1</f>
        <v/>
      </c>
      <c r="E82" s="87">
        <f>MONTH($B82)</f>
        <v/>
      </c>
      <c r="F82" s="93">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$N82*IF($O$76=1,$O82/$F$76,1)</f>
        <v/>
      </c>
      <c r="T82" s="95">
        <f>IF($G82&lt;nr_MStartP,$S82,$T70*(1+IF($G82&lt;nr_MStartP1,$M$76,$N$76)))</f>
        <v/>
      </c>
      <c r="U82" s="95">
        <f>IF($L$76,$T82,$N82)</f>
        <v/>
      </c>
    </row>
    <row r="83">
      <c r="A83" s="90" t="n">
        <v>5</v>
      </c>
      <c r="B83" s="91">
        <f>EDATE($B82,1)</f>
        <v/>
      </c>
      <c r="C83" s="92">
        <f>EOMONTH($B83,0)</f>
        <v/>
      </c>
      <c r="D83" s="87">
        <f>$C83-$B83+1</f>
        <v/>
      </c>
      <c r="E83" s="87">
        <f>MONTH($B83)</f>
        <v/>
      </c>
      <c r="F83" s="93">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$N83*IF($O$76=1,$O83/$F$76,1)</f>
        <v/>
      </c>
      <c r="T83" s="95">
        <f>IF($G83&lt;nr_MStartP,$S83,$T71*(1+IF($G83&lt;nr_MStartP1,$M$76,$N$76)))</f>
        <v/>
      </c>
      <c r="U83" s="95">
        <f>IF($L$76,$T83,$N83)</f>
        <v/>
      </c>
    </row>
    <row r="84">
      <c r="A84" s="90" t="n">
        <v>6</v>
      </c>
      <c r="B84" s="91">
        <f>EDATE($B83,1)</f>
        <v/>
      </c>
      <c r="C84" s="92">
        <f>EOMONTH($B84,0)</f>
        <v/>
      </c>
      <c r="D84" s="87">
        <f>$C84-$B84+1</f>
        <v/>
      </c>
      <c r="E84" s="87">
        <f>MONTH($B84)</f>
        <v/>
      </c>
      <c r="F84" s="93">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$N84*IF($O$76=1,$O84/$F$76,1)</f>
        <v/>
      </c>
      <c r="T84" s="95">
        <f>IF($G84&lt;nr_MStartP,$S84,$T72*(1+IF($G84&lt;nr_MStartP1,$M$76,$N$76)))</f>
        <v/>
      </c>
      <c r="U84" s="95">
        <f>IF($L$76,$T84,$N84)</f>
        <v/>
      </c>
    </row>
    <row r="85">
      <c r="A85" s="90" t="n">
        <v>7</v>
      </c>
      <c r="B85" s="91">
        <f>EDATE($B84,1)</f>
        <v/>
      </c>
      <c r="C85" s="92">
        <f>EOMONTH($B85,0)</f>
        <v/>
      </c>
      <c r="D85" s="87">
        <f>$C85-$B85+1</f>
        <v/>
      </c>
      <c r="E85" s="87">
        <f>MONTH($B85)</f>
        <v/>
      </c>
      <c r="F85" s="93">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$N85*IF($O$76=1,$O85/$F$76,1)</f>
        <v/>
      </c>
      <c r="T85" s="95">
        <f>IF($G85&lt;nr_MStartP,$S85,$T73*(1+IF($G85&lt;nr_MStartP1,$M$76,$N$76)))</f>
        <v/>
      </c>
      <c r="U85" s="95">
        <f>IF($L$76,$T85,$N85)</f>
        <v/>
      </c>
    </row>
    <row r="86">
      <c r="A86" s="90" t="n">
        <v>8</v>
      </c>
      <c r="B86" s="91">
        <f>EDATE($B85,1)</f>
        <v/>
      </c>
      <c r="C86" s="92">
        <f>EOMONTH($B86,0)</f>
        <v/>
      </c>
      <c r="D86" s="87">
        <f>$C86-$B86+1</f>
        <v/>
      </c>
      <c r="E86" s="87">
        <f>MONTH($B86)</f>
        <v/>
      </c>
      <c r="F86" s="93">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$N86*IF($O$76=1,$O86/$F$76,1)</f>
        <v/>
      </c>
      <c r="T86" s="95">
        <f>IF($G86&lt;nr_MStartP,$S86,$T74*(1+IF($G86&lt;nr_MStartP1,$M$76,$N$76)))</f>
        <v/>
      </c>
      <c r="U86" s="95">
        <f>IF($L$76,$T86,$N86)</f>
        <v/>
      </c>
    </row>
    <row r="87">
      <c r="A87" s="90" t="n">
        <v>9</v>
      </c>
      <c r="B87" s="91">
        <f>EDATE($B86,1)</f>
        <v/>
      </c>
      <c r="C87" s="92">
        <f>EOMONTH($B87,0)</f>
        <v/>
      </c>
      <c r="D87" s="87">
        <f>$C87-$B87+1</f>
        <v/>
      </c>
      <c r="E87" s="87">
        <f>MONTH($B87)</f>
        <v/>
      </c>
      <c r="F87" s="93">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$N87*IF($O$76=1,$O87/$F$76,1)</f>
        <v/>
      </c>
      <c r="T87" s="95">
        <f>IF($G87&lt;nr_MStartP,$S87,$T75*(1+IF($G87&lt;nr_MStartP1,$M$76,$N$76)))</f>
        <v/>
      </c>
      <c r="U87" s="95">
        <f>IF($L$76,$T87,$N87)</f>
        <v/>
      </c>
    </row>
    <row r="88">
      <c r="A88" s="90" t="n">
        <v>10</v>
      </c>
      <c r="B88" s="91">
        <f>EDATE($B87,1)</f>
        <v/>
      </c>
      <c r="C88" s="92">
        <f>EOMONTH($B88,0)</f>
        <v/>
      </c>
      <c r="D88" s="87">
        <f>$C88-$B88+1</f>
        <v/>
      </c>
      <c r="E88" s="87">
        <f>MONTH($B88)</f>
        <v/>
      </c>
      <c r="F88" s="93">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$N88*IF($O$76=1,$O88/$F$76,1)</f>
        <v/>
      </c>
      <c r="T88" s="95">
        <f>IF($G88&lt;nr_MStartP,$S88,$T76*(1+IF($G88&lt;nr_MStartP1,$M$76,$N$76)))</f>
        <v/>
      </c>
      <c r="U88" s="95">
        <f>IF($L$76,$T88,$N88)</f>
        <v/>
      </c>
    </row>
    <row r="89">
      <c r="A89" s="90" t="n">
        <v>11</v>
      </c>
      <c r="B89" s="91">
        <f>EDATE($B88,1)</f>
        <v/>
      </c>
      <c r="C89" s="92">
        <f>EOMONTH($B89,0)</f>
        <v/>
      </c>
      <c r="D89" s="87">
        <f>$C89-$B89+1</f>
        <v/>
      </c>
      <c r="E89" s="87">
        <f>MONTH($B89)</f>
        <v/>
      </c>
      <c r="F89" s="93">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$N89*IF($O$76=1,$O89/$F$76,1)</f>
        <v/>
      </c>
      <c r="T89" s="95">
        <f>IF($G89&lt;nr_MStartP,$S89,$T77*(1+IF($G89&lt;nr_MStartP1,$M$76,$N$76)))</f>
        <v/>
      </c>
      <c r="U89" s="95">
        <f>IF($L$76,$T89,$N89)</f>
        <v/>
      </c>
    </row>
    <row r="90">
      <c r="A90" s="90" t="n">
        <v>12</v>
      </c>
      <c r="B90" s="91">
        <f>EDATE($B89,1)</f>
        <v/>
      </c>
      <c r="C90" s="92">
        <f>EOMONTH($B90,0)</f>
        <v/>
      </c>
      <c r="D90" s="87">
        <f>$C90-$B90+1</f>
        <v/>
      </c>
      <c r="E90" s="87">
        <f>MONTH($B90)</f>
        <v/>
      </c>
      <c r="F90" s="93">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$N90*IF($O$76=1,$O90/$F$76,1)</f>
        <v/>
      </c>
      <c r="T90" s="95">
        <f>IF($G90&lt;nr_MStartP,$S90,$T78*(1+IF($G90&lt;nr_MStartP1,$M$76,$N$76)))</f>
        <v/>
      </c>
      <c r="U90" s="95">
        <f>IF($L$76,$T90,$N90)</f>
        <v/>
      </c>
    </row>
    <row r="91">
      <c r="A91" s="90" t="n">
        <v>13</v>
      </c>
      <c r="B91" s="91">
        <f>EDATE($B90,1)</f>
        <v/>
      </c>
      <c r="C91" s="92">
        <f>EOMONTH($B91,0)</f>
        <v/>
      </c>
      <c r="D91" s="87">
        <f>$C91-$B91+1</f>
        <v/>
      </c>
      <c r="E91" s="87">
        <f>MONTH($B91)</f>
        <v/>
      </c>
      <c r="F91" s="93">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$N91*IF($O$76=1,$O91/$F$76,1)</f>
        <v/>
      </c>
      <c r="T91" s="95">
        <f>IF($G91&lt;nr_MStartP,$S91,$T79*(1+IF($G91&lt;nr_MStartP1,$M$76,$N$76)))</f>
        <v/>
      </c>
      <c r="U91" s="95">
        <f>IF($L$76,$T91,$N91)</f>
        <v/>
      </c>
    </row>
    <row r="92">
      <c r="A92" s="90" t="n">
        <v>14</v>
      </c>
      <c r="B92" s="91">
        <f>EDATE($B91,1)</f>
        <v/>
      </c>
      <c r="C92" s="92">
        <f>EOMONTH($B92,0)</f>
        <v/>
      </c>
      <c r="D92" s="87">
        <f>$C92-$B92+1</f>
        <v/>
      </c>
      <c r="E92" s="87">
        <f>MONTH($B92)</f>
        <v/>
      </c>
      <c r="F92" s="93">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$N92*IF($O$76=1,$O92/$F$76,1)</f>
        <v/>
      </c>
      <c r="T92" s="95">
        <f>IF($G92&lt;nr_MStartP,$S92,$T80*(1+IF($G92&lt;nr_MStartP1,$M$76,$N$76)))</f>
        <v/>
      </c>
      <c r="U92" s="95">
        <f>IF($L$76,$T92,$N92)</f>
        <v/>
      </c>
    </row>
    <row r="93">
      <c r="A93" s="90" t="n">
        <v>15</v>
      </c>
      <c r="B93" s="91">
        <f>EDATE($B92,1)</f>
        <v/>
      </c>
      <c r="C93" s="92">
        <f>EOMONTH($B93,0)</f>
        <v/>
      </c>
      <c r="D93" s="87">
        <f>$C93-$B93+1</f>
        <v/>
      </c>
      <c r="E93" s="87">
        <f>MONTH($B93)</f>
        <v/>
      </c>
      <c r="F93" s="93">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$N93*IF($O$76=1,$O93/$F$76,1)</f>
        <v/>
      </c>
      <c r="T93" s="95">
        <f>IF($G93&lt;nr_MStartP,$S93,$T81*(1+IF($G93&lt;nr_MStartP1,$M$76,$N$76)))</f>
        <v/>
      </c>
      <c r="U93" s="95">
        <f>IF($L$76,$T93,$N93)</f>
        <v/>
      </c>
    </row>
    <row r="94">
      <c r="A94" s="90" t="n">
        <v>16</v>
      </c>
      <c r="B94" s="91">
        <f>EDATE($B93,1)</f>
        <v/>
      </c>
      <c r="C94" s="92">
        <f>EOMONTH($B94,0)</f>
        <v/>
      </c>
      <c r="D94" s="87">
        <f>$C94-$B94+1</f>
        <v/>
      </c>
      <c r="E94" s="87">
        <f>MONTH($B94)</f>
        <v/>
      </c>
      <c r="F94" s="93">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$N94*IF($O$76=1,$O94/$F$76,1)</f>
        <v/>
      </c>
      <c r="T94" s="95">
        <f>IF($G94&lt;nr_MStartP,$S94,$T82*(1+IF($G94&lt;nr_MStartP1,$M$76,$N$76)))</f>
        <v/>
      </c>
      <c r="U94" s="95">
        <f>IF($L$76,$T94,$N94)</f>
        <v/>
      </c>
    </row>
    <row r="95">
      <c r="A95" s="90" t="n">
        <v>17</v>
      </c>
      <c r="B95" s="91">
        <f>EDATE($B94,1)</f>
        <v/>
      </c>
      <c r="C95" s="92">
        <f>EOMONTH($B95,0)</f>
        <v/>
      </c>
      <c r="D95" s="87">
        <f>$C95-$B95+1</f>
        <v/>
      </c>
      <c r="E95" s="87">
        <f>MONTH($B95)</f>
        <v/>
      </c>
      <c r="F95" s="93">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$N95*IF($O$76=1,$O95/$F$76,1)</f>
        <v/>
      </c>
      <c r="T95" s="95">
        <f>IF($G95&lt;nr_MStartP,$S95,$T83*(1+IF($G95&lt;nr_MStartP1,$M$76,$N$76)))</f>
        <v/>
      </c>
      <c r="U95" s="95">
        <f>IF($L$76,$T95,$N95)</f>
        <v/>
      </c>
    </row>
    <row r="96">
      <c r="A96" s="90" t="n">
        <v>18</v>
      </c>
      <c r="B96" s="91">
        <f>EDATE($B95,1)</f>
        <v/>
      </c>
      <c r="C96" s="92">
        <f>EOMONTH($B96,0)</f>
        <v/>
      </c>
      <c r="D96" s="87">
        <f>$C96-$B96+1</f>
        <v/>
      </c>
      <c r="E96" s="87">
        <f>MONTH($B96)</f>
        <v/>
      </c>
      <c r="F96" s="93">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$N96*IF($O$76=1,$O96/$F$76,1)</f>
        <v/>
      </c>
      <c r="T96" s="95">
        <f>IF($G96&lt;nr_MStartP,$S96,$T84*(1+IF($G96&lt;nr_MStartP1,$M$76,$N$76)))</f>
        <v/>
      </c>
      <c r="U96" s="95">
        <f>IF($L$76,$T96,$N96)</f>
        <v/>
      </c>
    </row>
    <row r="97">
      <c r="A97" s="90" t="n">
        <v>19</v>
      </c>
      <c r="B97" s="91">
        <f>EDATE($B96,1)</f>
        <v/>
      </c>
      <c r="C97" s="92">
        <f>EOMONTH($B97,0)</f>
        <v/>
      </c>
      <c r="D97" s="87">
        <f>$C97-$B97+1</f>
        <v/>
      </c>
      <c r="E97" s="87">
        <f>MONTH($B97)</f>
        <v/>
      </c>
      <c r="F97" s="93">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$N97*IF($O$76=1,$O97/$F$76,1)</f>
        <v/>
      </c>
      <c r="T97" s="95">
        <f>IF($G97&lt;nr_MStartP,$S97,$T85*(1+IF($G97&lt;nr_MStartP1,$M$76,$N$76)))</f>
        <v/>
      </c>
      <c r="U97" s="95">
        <f>IF($L$76,$T97,$N97)</f>
        <v/>
      </c>
    </row>
    <row r="98">
      <c r="A98" s="90" t="n">
        <v>20</v>
      </c>
      <c r="B98" s="91">
        <f>EDATE($B97,1)</f>
        <v/>
      </c>
      <c r="C98" s="92">
        <f>EOMONTH($B98,0)</f>
        <v/>
      </c>
      <c r="D98" s="87">
        <f>$C98-$B98+1</f>
        <v/>
      </c>
      <c r="E98" s="87">
        <f>MONTH($B98)</f>
        <v/>
      </c>
      <c r="F98" s="93">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$N98*IF($O$76=1,$O98/$F$76,1)</f>
        <v/>
      </c>
      <c r="T98" s="95">
        <f>IF($G98&lt;nr_MStartP,$S98,$T86*(1+IF($G98&lt;nr_MStartP1,$M$76,$N$76)))</f>
        <v/>
      </c>
      <c r="U98" s="95">
        <f>IF($L$76,$T98,$N98)</f>
        <v/>
      </c>
    </row>
    <row r="99">
      <c r="A99" s="90" t="n">
        <v>21</v>
      </c>
      <c r="B99" s="91">
        <f>EDATE($B98,1)</f>
        <v/>
      </c>
      <c r="C99" s="92">
        <f>EOMONTH($B99,0)</f>
        <v/>
      </c>
      <c r="D99" s="87">
        <f>$C99-$B99+1</f>
        <v/>
      </c>
      <c r="E99" s="87">
        <f>MONTH($B99)</f>
        <v/>
      </c>
      <c r="F99" s="93">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$N99*IF($O$76=1,$O99/$F$76,1)</f>
        <v/>
      </c>
      <c r="T99" s="95">
        <f>IF($G99&lt;nr_MStartP,$S99,$T87*(1+IF($G99&lt;nr_MStartP1,$M$76,$N$76)))</f>
        <v/>
      </c>
      <c r="U99" s="95">
        <f>IF($L$76,$T99,$N99)</f>
        <v/>
      </c>
    </row>
    <row r="100">
      <c r="A100" s="90" t="n">
        <v>22</v>
      </c>
      <c r="B100" s="91">
        <f>EDATE($B99,1)</f>
        <v/>
      </c>
      <c r="C100" s="92">
        <f>EOMONTH($B100,0)</f>
        <v/>
      </c>
      <c r="D100" s="87">
        <f>$C100-$B100+1</f>
        <v/>
      </c>
      <c r="E100" s="87">
        <f>MONTH($B100)</f>
        <v/>
      </c>
      <c r="F100" s="93">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$N100*IF($O$76=1,$O100/$F$76,1)</f>
        <v/>
      </c>
      <c r="T100" s="95">
        <f>IF($G100&lt;nr_MStartP,$S100,$T88*(1+IF($G100&lt;nr_MStartP1,$M$76,$N$76)))</f>
        <v/>
      </c>
      <c r="U100" s="95">
        <f>IF($L$76,$T100,$N100)</f>
        <v/>
      </c>
    </row>
    <row r="101">
      <c r="A101" s="90" t="n">
        <v>23</v>
      </c>
      <c r="B101" s="91">
        <f>EDATE($B100,1)</f>
        <v/>
      </c>
      <c r="C101" s="92">
        <f>EOMONTH($B101,0)</f>
        <v/>
      </c>
      <c r="D101" s="87">
        <f>$C101-$B101+1</f>
        <v/>
      </c>
      <c r="E101" s="87">
        <f>MONTH($B101)</f>
        <v/>
      </c>
      <c r="F101" s="93">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$N101*IF($O$76=1,$O101/$F$76,1)</f>
        <v/>
      </c>
      <c r="T101" s="95">
        <f>IF($G101&lt;nr_MStartP,$S101,$T89*(1+IF($G101&lt;nr_MStartP1,$M$76,$N$76)))</f>
        <v/>
      </c>
      <c r="U101" s="95">
        <f>IF($L$76,$T101,$N101)</f>
        <v/>
      </c>
    </row>
    <row r="102">
      <c r="A102" s="90" t="n">
        <v>24</v>
      </c>
      <c r="B102" s="91">
        <f>EDATE($B101,1)</f>
        <v/>
      </c>
      <c r="C102" s="92">
        <f>EOMONTH($B102,0)</f>
        <v/>
      </c>
      <c r="D102" s="87">
        <f>$C102-$B102+1</f>
        <v/>
      </c>
      <c r="E102" s="87">
        <f>MONTH($B102)</f>
        <v/>
      </c>
      <c r="F102" s="93">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$N102*IF($O$76=1,$O102/$F$76,1)</f>
        <v/>
      </c>
      <c r="T102" s="95">
        <f>IF($G102&lt;nr_MStartP,$S102,$T90*(1+IF($G102&lt;nr_MStartP1,$M$76,$N$76)))</f>
        <v/>
      </c>
      <c r="U102" s="95">
        <f>IF($L$76,$T102,$N102)</f>
        <v/>
      </c>
    </row>
    <row r="103">
      <c r="A103" s="90" t="n">
        <v>25</v>
      </c>
      <c r="B103" s="91">
        <f>EDATE($B102,1)</f>
        <v/>
      </c>
      <c r="C103" s="92">
        <f>EOMONTH($B103,0)</f>
        <v/>
      </c>
      <c r="D103" s="87">
        <f>$C103-$B103+1</f>
        <v/>
      </c>
      <c r="E103" s="87">
        <f>MONTH($B103)</f>
        <v/>
      </c>
      <c r="F103" s="93">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$N103*IF($O$76=1,$O103/$F$76,1)</f>
        <v/>
      </c>
      <c r="T103" s="95">
        <f>IF($G103&lt;nr_MStartP,$S103,$T91*(1+IF($G103&lt;nr_MStartP1,$M$76,$N$76)))</f>
        <v/>
      </c>
      <c r="U103" s="95">
        <f>IF($L$76,$T103,$N103)</f>
        <v/>
      </c>
    </row>
    <row r="104">
      <c r="A104" s="90" t="n">
        <v>26</v>
      </c>
      <c r="B104" s="91">
        <f>EDATE($B103,1)</f>
        <v/>
      </c>
      <c r="C104" s="92">
        <f>EOMONTH($B104,0)</f>
        <v/>
      </c>
      <c r="D104" s="87">
        <f>$C104-$B104+1</f>
        <v/>
      </c>
      <c r="E104" s="87">
        <f>MONTH($B104)</f>
        <v/>
      </c>
      <c r="F104" s="93">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$N104*IF($O$76=1,$O104/$F$76,1)</f>
        <v/>
      </c>
      <c r="T104" s="95">
        <f>IF($G104&lt;nr_MStartP,$S104,$T92*(1+IF($G104&lt;nr_MStartP1,$M$76,$N$76)))</f>
        <v/>
      </c>
      <c r="U104" s="95">
        <f>IF($L$76,$T104,$N104)</f>
        <v/>
      </c>
    </row>
    <row r="105">
      <c r="A105" s="90" t="n">
        <v>27</v>
      </c>
      <c r="B105" s="91">
        <f>EDATE($B104,1)</f>
        <v/>
      </c>
      <c r="C105" s="92">
        <f>EOMONTH($B105,0)</f>
        <v/>
      </c>
      <c r="D105" s="87">
        <f>$C105-$B105+1</f>
        <v/>
      </c>
      <c r="E105" s="87">
        <f>MONTH($B105)</f>
        <v/>
      </c>
      <c r="F105" s="93">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$N105*IF($O$76=1,$O105/$F$76,1)</f>
        <v/>
      </c>
      <c r="T105" s="95">
        <f>IF($G105&lt;nr_MStartP,$S105,$T93*(1+IF($G105&lt;nr_MStartP1,$M$76,$N$76)))</f>
        <v/>
      </c>
      <c r="U105" s="95">
        <f>IF($L$76,$T105,$N105)</f>
        <v/>
      </c>
    </row>
    <row r="106">
      <c r="A106" s="90" t="n">
        <v>28</v>
      </c>
      <c r="B106" s="91">
        <f>EDATE($B105,1)</f>
        <v/>
      </c>
      <c r="C106" s="92">
        <f>EOMONTH($B106,0)</f>
        <v/>
      </c>
      <c r="D106" s="87">
        <f>$C106-$B106+1</f>
        <v/>
      </c>
      <c r="E106" s="87">
        <f>MONTH($B106)</f>
        <v/>
      </c>
      <c r="F106" s="93">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$N106*IF($O$76=1,$O106/$F$76,1)</f>
        <v/>
      </c>
      <c r="T106" s="95">
        <f>IF($G106&lt;nr_MStartP,$S106,$T94*(1+IF($G106&lt;nr_MStartP1,$M$76,$N$76)))</f>
        <v/>
      </c>
      <c r="U106" s="95">
        <f>IF($L$76,$T106,$N106)</f>
        <v/>
      </c>
    </row>
    <row r="107">
      <c r="A107" s="90" t="n">
        <v>29</v>
      </c>
      <c r="B107" s="91">
        <f>EDATE($B106,1)</f>
        <v/>
      </c>
      <c r="C107" s="92">
        <f>EOMONTH($B107,0)</f>
        <v/>
      </c>
      <c r="D107" s="87">
        <f>$C107-$B107+1</f>
        <v/>
      </c>
      <c r="E107" s="87">
        <f>MONTH($B107)</f>
        <v/>
      </c>
      <c r="F107" s="93">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$N107*IF($O$76=1,$O107/$F$76,1)</f>
        <v/>
      </c>
      <c r="T107" s="95">
        <f>IF($G107&lt;nr_MStartP,$S107,$T95*(1+IF($G107&lt;nr_MStartP1,$M$76,$N$76)))</f>
        <v/>
      </c>
      <c r="U107" s="95">
        <f>IF($L$76,$T107,$N107)</f>
        <v/>
      </c>
    </row>
    <row r="108">
      <c r="A108" s="90" t="n">
        <v>30</v>
      </c>
      <c r="B108" s="91">
        <f>EDATE($B107,1)</f>
        <v/>
      </c>
      <c r="C108" s="92">
        <f>EOMONTH($B108,0)</f>
        <v/>
      </c>
      <c r="D108" s="87">
        <f>$C108-$B108+1</f>
        <v/>
      </c>
      <c r="E108" s="87">
        <f>MONTH($B108)</f>
        <v/>
      </c>
      <c r="F108" s="93">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$N108*IF($O$76=1,$O108/$F$76,1)</f>
        <v/>
      </c>
      <c r="T108" s="95">
        <f>IF($G108&lt;nr_MStartP,$S108,$T96*(1+IF($G108&lt;nr_MStartP1,$M$76,$N$76)))</f>
        <v/>
      </c>
      <c r="U108" s="95">
        <f>IF($L$76,$T108,$N108)</f>
        <v/>
      </c>
    </row>
    <row r="109">
      <c r="A109" s="90" t="n">
        <v>31</v>
      </c>
      <c r="B109" s="91">
        <f>EDATE($B108,1)</f>
        <v/>
      </c>
      <c r="C109" s="92">
        <f>EOMONTH($B109,0)</f>
        <v/>
      </c>
      <c r="D109" s="87">
        <f>$C109-$B109+1</f>
        <v/>
      </c>
      <c r="E109" s="87">
        <f>MONTH($B109)</f>
        <v/>
      </c>
      <c r="F109" s="93">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$N109*IF($O$76=1,$O109/$F$76,1)</f>
        <v/>
      </c>
      <c r="T109" s="95">
        <f>IF($G109&lt;nr_MStartP,$S109,$T97*(1+IF($G109&lt;nr_MStartP1,$M$76,$N$76)))</f>
        <v/>
      </c>
      <c r="U109" s="95">
        <f>IF($L$76,$T109,$N109)</f>
        <v/>
      </c>
    </row>
    <row r="110">
      <c r="A110" s="90" t="n">
        <v>32</v>
      </c>
      <c r="B110" s="91">
        <f>EDATE($B109,1)</f>
        <v/>
      </c>
      <c r="C110" s="92">
        <f>EOMONTH($B110,0)</f>
        <v/>
      </c>
      <c r="D110" s="87">
        <f>$C110-$B110+1</f>
        <v/>
      </c>
      <c r="E110" s="87">
        <f>MONTH($B110)</f>
        <v/>
      </c>
      <c r="F110" s="93">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$N110*IF($O$76=1,$O110/$F$76,1)</f>
        <v/>
      </c>
      <c r="T110" s="95">
        <f>IF($G110&lt;nr_MStartP,$S110,$T98*(1+IF($G110&lt;nr_MStartP1,$M$76,$N$76)))</f>
        <v/>
      </c>
      <c r="U110" s="95">
        <f>IF($L$76,$T110,$N110)</f>
        <v/>
      </c>
    </row>
    <row r="111">
      <c r="A111" s="90" t="n">
        <v>33</v>
      </c>
      <c r="B111" s="91">
        <f>EDATE($B110,1)</f>
        <v/>
      </c>
      <c r="C111" s="92">
        <f>EOMONTH($B111,0)</f>
        <v/>
      </c>
      <c r="D111" s="87">
        <f>$C111-$B111+1</f>
        <v/>
      </c>
      <c r="E111" s="87">
        <f>MONTH($B111)</f>
        <v/>
      </c>
      <c r="F111" s="93">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$N111*IF($O$76=1,$O111/$F$76,1)</f>
        <v/>
      </c>
      <c r="T111" s="95">
        <f>IF($G111&lt;nr_MStartP,$S111,$T99*(1+IF($G111&lt;nr_MStartP1,$M$76,$N$76)))</f>
        <v/>
      </c>
      <c r="U111" s="95">
        <f>IF($L$76,$T111,$N111)</f>
        <v/>
      </c>
    </row>
    <row r="112">
      <c r="A112" s="90" t="n">
        <v>34</v>
      </c>
      <c r="B112" s="91">
        <f>EDATE($B111,1)</f>
        <v/>
      </c>
      <c r="C112" s="92">
        <f>EOMONTH($B112,0)</f>
        <v/>
      </c>
      <c r="D112" s="87">
        <f>$C112-$B112+1</f>
        <v/>
      </c>
      <c r="E112" s="87">
        <f>MONTH($B112)</f>
        <v/>
      </c>
      <c r="F112" s="93">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$N112*IF($O$76=1,$O112/$F$76,1)</f>
        <v/>
      </c>
      <c r="T112" s="95">
        <f>IF($G112&lt;nr_MStartP,$S112,$T100*(1+IF($G112&lt;nr_MStartP1,$M$76,$N$76)))</f>
        <v/>
      </c>
      <c r="U112" s="95">
        <f>IF($L$76,$T112,$N112)</f>
        <v/>
      </c>
    </row>
    <row r="113">
      <c r="A113" s="90" t="n">
        <v>35</v>
      </c>
      <c r="B113" s="91">
        <f>EDATE($B112,1)</f>
        <v/>
      </c>
      <c r="C113" s="92">
        <f>EOMONTH($B113,0)</f>
        <v/>
      </c>
      <c r="D113" s="87">
        <f>$C113-$B113+1</f>
        <v/>
      </c>
      <c r="E113" s="87">
        <f>MONTH($B113)</f>
        <v/>
      </c>
      <c r="F113" s="93">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$N113*IF($O$76=1,$O113/$F$76,1)</f>
        <v/>
      </c>
      <c r="T113" s="95">
        <f>IF($G113&lt;nr_MStartP,$S113,$T101*(1+IF($G113&lt;nr_MStartP1,$M$76,$N$76)))</f>
        <v/>
      </c>
      <c r="U113" s="95">
        <f>IF($L$76,$T113,$N113)</f>
        <v/>
      </c>
    </row>
    <row r="114">
      <c r="A114" s="90" t="n">
        <v>36</v>
      </c>
      <c r="B114" s="91">
        <f>EDATE($B113,1)</f>
        <v/>
      </c>
      <c r="C114" s="92">
        <f>EOMONTH($B114,0)</f>
        <v/>
      </c>
      <c r="D114" s="87">
        <f>$C114-$B114+1</f>
        <v/>
      </c>
      <c r="E114" s="87">
        <f>MONTH($B114)</f>
        <v/>
      </c>
      <c r="F114" s="93">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$N114*IF($O$76=1,$O114/$F$76,1)</f>
        <v/>
      </c>
      <c r="T114" s="95">
        <f>IF($G114&lt;nr_MStartP,$S114,$T102*(1+IF($G114&lt;nr_MStartP1,$M$76,$N$76)))</f>
        <v/>
      </c>
      <c r="U114" s="95">
        <f>IF($L$76,$T114,$N114)</f>
        <v/>
      </c>
    </row>
    <row r="115">
      <c r="A115" s="90" t="n">
        <v>37</v>
      </c>
      <c r="B115" s="91">
        <f>EDATE($B114,1)</f>
        <v/>
      </c>
      <c r="C115" s="92">
        <f>EOMONTH($B115,0)</f>
        <v/>
      </c>
      <c r="D115" s="87">
        <f>$C115-$B115+1</f>
        <v/>
      </c>
      <c r="E115" s="87">
        <f>MONTH($B115)</f>
        <v/>
      </c>
      <c r="F115" s="93">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$N115*IF($O$76=1,$O115/$F$76,1)</f>
        <v/>
      </c>
      <c r="T115" s="95">
        <f>IF($G115&lt;nr_MStartP,$S115,$T103*(1+IF($G115&lt;nr_MStartP1,$M$76,$N$76)))</f>
        <v/>
      </c>
      <c r="U115" s="95">
        <f>IF($L$76,$T115,$N115)</f>
        <v/>
      </c>
    </row>
    <row r="116">
      <c r="A116" s="90" t="n">
        <v>38</v>
      </c>
      <c r="B116" s="91">
        <f>EDATE($B115,1)</f>
        <v/>
      </c>
      <c r="C116" s="92">
        <f>EOMONTH($B116,0)</f>
        <v/>
      </c>
      <c r="D116" s="87">
        <f>$C116-$B116+1</f>
        <v/>
      </c>
      <c r="E116" s="87">
        <f>MONTH($B116)</f>
        <v/>
      </c>
      <c r="F116" s="93">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$N116*IF($O$76=1,$O116/$F$76,1)</f>
        <v/>
      </c>
      <c r="T116" s="95">
        <f>IF($G116&lt;nr_MStartP,$S116,$T104*(1+IF($G116&lt;nr_MStartP1,$M$76,$N$76)))</f>
        <v/>
      </c>
      <c r="U116" s="95">
        <f>IF($L$76,$T116,$N116)</f>
        <v/>
      </c>
    </row>
    <row r="117">
      <c r="A117" s="90" t="n">
        <v>39</v>
      </c>
      <c r="B117" s="91">
        <f>EDATE($B116,1)</f>
        <v/>
      </c>
      <c r="C117" s="92">
        <f>EOMONTH($B117,0)</f>
        <v/>
      </c>
      <c r="D117" s="87">
        <f>$C117-$B117+1</f>
        <v/>
      </c>
      <c r="E117" s="87">
        <f>MONTH($B117)</f>
        <v/>
      </c>
      <c r="F117" s="93">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$N117*IF($O$76=1,$O117/$F$76,1)</f>
        <v/>
      </c>
      <c r="T117" s="95">
        <f>IF($G117&lt;nr_MStartP,$S117,$T105*(1+IF($G117&lt;nr_MStartP1,$M$76,$N$76)))</f>
        <v/>
      </c>
      <c r="U117" s="95">
        <f>IF($L$76,$T117,$N117)</f>
        <v/>
      </c>
    </row>
    <row r="118">
      <c r="A118" s="90" t="n">
        <v>40</v>
      </c>
      <c r="B118" s="91">
        <f>EDATE($B117,1)</f>
        <v/>
      </c>
      <c r="C118" s="92">
        <f>EOMONTH($B118,0)</f>
        <v/>
      </c>
      <c r="D118" s="87">
        <f>$C118-$B118+1</f>
        <v/>
      </c>
      <c r="E118" s="87">
        <f>MONTH($B118)</f>
        <v/>
      </c>
      <c r="F118" s="93">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$N118*IF($O$76=1,$O118/$F$76,1)</f>
        <v/>
      </c>
      <c r="T118" s="95">
        <f>IF($G118&lt;nr_MStartP,$S118,$T106*(1+IF($G118&lt;nr_MStartP1,$M$76,$N$76)))</f>
        <v/>
      </c>
      <c r="U118" s="95">
        <f>IF($L$76,$T118,$N118)</f>
        <v/>
      </c>
    </row>
    <row r="119">
      <c r="A119" s="90" t="n">
        <v>41</v>
      </c>
      <c r="B119" s="91">
        <f>EDATE($B118,1)</f>
        <v/>
      </c>
      <c r="C119" s="92">
        <f>EOMONTH($B119,0)</f>
        <v/>
      </c>
      <c r="D119" s="87">
        <f>$C119-$B119+1</f>
        <v/>
      </c>
      <c r="E119" s="87">
        <f>MONTH($B119)</f>
        <v/>
      </c>
      <c r="F119" s="93">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$N119*IF($O$76=1,$O119/$F$76,1)</f>
        <v/>
      </c>
      <c r="T119" s="95">
        <f>IF($G119&lt;nr_MStartP,$S119,$T107*(1+IF($G119&lt;nr_MStartP1,$M$76,$N$76)))</f>
        <v/>
      </c>
      <c r="U119" s="95">
        <f>IF($L$76,$T119,$N119)</f>
        <v/>
      </c>
    </row>
    <row r="120">
      <c r="A120" s="90" t="n">
        <v>42</v>
      </c>
      <c r="B120" s="91">
        <f>EDATE($B119,1)</f>
        <v/>
      </c>
      <c r="C120" s="92">
        <f>EOMONTH($B120,0)</f>
        <v/>
      </c>
      <c r="D120" s="87">
        <f>$C120-$B120+1</f>
        <v/>
      </c>
      <c r="E120" s="87">
        <f>MONTH($B120)</f>
        <v/>
      </c>
      <c r="F120" s="93">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$N120*IF($O$76=1,$O120/$F$76,1)</f>
        <v/>
      </c>
      <c r="T120" s="95">
        <f>IF($G120&lt;nr_MStartP,$S120,$T108*(1+IF($G120&lt;nr_MStartP1,$M$76,$N$76)))</f>
        <v/>
      </c>
      <c r="U120" s="95">
        <f>IF($L$76,$T120,$N120)</f>
        <v/>
      </c>
    </row>
    <row r="121">
      <c r="A121" s="90" t="n">
        <v>43</v>
      </c>
      <c r="B121" s="91">
        <f>EDATE($B120,1)</f>
        <v/>
      </c>
      <c r="C121" s="92">
        <f>EOMONTH($B121,0)</f>
        <v/>
      </c>
      <c r="D121" s="87">
        <f>$C121-$B121+1</f>
        <v/>
      </c>
      <c r="E121" s="87">
        <f>MONTH($B121)</f>
        <v/>
      </c>
      <c r="F121" s="93">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$N121*IF($O$76=1,$O121/$F$76,1)</f>
        <v/>
      </c>
      <c r="T121" s="95">
        <f>IF($G121&lt;nr_MStartP,$S121,$T109*(1+IF($G121&lt;nr_MStartP1,$M$76,$N$76)))</f>
        <v/>
      </c>
      <c r="U121" s="95">
        <f>IF($L$76,$T121,$N121)</f>
        <v/>
      </c>
    </row>
    <row r="122">
      <c r="A122" s="90" t="n">
        <v>44</v>
      </c>
      <c r="B122" s="91">
        <f>EDATE($B121,1)</f>
        <v/>
      </c>
      <c r="C122" s="92">
        <f>EOMONTH($B122,0)</f>
        <v/>
      </c>
      <c r="D122" s="87">
        <f>$C122-$B122+1</f>
        <v/>
      </c>
      <c r="E122" s="87">
        <f>MONTH($B122)</f>
        <v/>
      </c>
      <c r="F122" s="93">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$N122*IF($O$76=1,$O122/$F$76,1)</f>
        <v/>
      </c>
      <c r="T122" s="95">
        <f>IF($G122&lt;nr_MStartP,$S122,$T110*(1+IF($G122&lt;nr_MStartP1,$M$76,$N$76)))</f>
        <v/>
      </c>
      <c r="U122" s="95">
        <f>IF($L$76,$T122,$N122)</f>
        <v/>
      </c>
    </row>
    <row r="123">
      <c r="A123" s="90" t="n">
        <v>45</v>
      </c>
      <c r="B123" s="91">
        <f>EDATE($B122,1)</f>
        <v/>
      </c>
      <c r="C123" s="92">
        <f>EOMONTH($B123,0)</f>
        <v/>
      </c>
      <c r="D123" s="87">
        <f>$C123-$B123+1</f>
        <v/>
      </c>
      <c r="E123" s="87">
        <f>MONTH($B123)</f>
        <v/>
      </c>
      <c r="F123" s="93">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$N123*IF($O$76=1,$O123/$F$76,1)</f>
        <v/>
      </c>
      <c r="T123" s="95">
        <f>IF($G123&lt;nr_MStartP,$S123,$T111*(1+IF($G123&lt;nr_MStartP1,$M$76,$N$76)))</f>
        <v/>
      </c>
      <c r="U123" s="95">
        <f>IF($L$76,$T123,$N123)</f>
        <v/>
      </c>
    </row>
    <row r="124">
      <c r="A124" s="90" t="n">
        <v>46</v>
      </c>
      <c r="B124" s="91">
        <f>EDATE($B123,1)</f>
        <v/>
      </c>
      <c r="C124" s="92">
        <f>EOMONTH($B124,0)</f>
        <v/>
      </c>
      <c r="D124" s="87">
        <f>$C124-$B124+1</f>
        <v/>
      </c>
      <c r="E124" s="87">
        <f>MONTH($B124)</f>
        <v/>
      </c>
      <c r="F124" s="93">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$N124*IF($O$76=1,$O124/$F$76,1)</f>
        <v/>
      </c>
      <c r="T124" s="95">
        <f>IF($G124&lt;nr_MStartP,$S124,$T112*(1+IF($G124&lt;nr_MStartP1,$M$76,$N$76)))</f>
        <v/>
      </c>
      <c r="U124" s="95">
        <f>IF($L$76,$T124,$N124)</f>
        <v/>
      </c>
    </row>
    <row r="125">
      <c r="A125" s="90" t="n">
        <v>47</v>
      </c>
      <c r="B125" s="91">
        <f>EDATE($B124,1)</f>
        <v/>
      </c>
      <c r="C125" s="92">
        <f>EOMONTH($B125,0)</f>
        <v/>
      </c>
      <c r="D125" s="87">
        <f>$C125-$B125+1</f>
        <v/>
      </c>
      <c r="E125" s="87">
        <f>MONTH($B125)</f>
        <v/>
      </c>
      <c r="F125" s="93">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$N125*IF($O$76=1,$O125/$F$76,1)</f>
        <v/>
      </c>
      <c r="T125" s="95">
        <f>IF($G125&lt;nr_MStartP,$S125,$T113*(1+IF($G125&lt;nr_MStartP1,$M$76,$N$76)))</f>
        <v/>
      </c>
      <c r="U125" s="95">
        <f>IF($L$76,$T125,$N125)</f>
        <v/>
      </c>
    </row>
    <row r="126">
      <c r="A126" s="90" t="n">
        <v>48</v>
      </c>
      <c r="B126" s="91">
        <f>EDATE($B125,1)</f>
        <v/>
      </c>
      <c r="C126" s="92">
        <f>EOMONTH($B126,0)</f>
        <v/>
      </c>
      <c r="D126" s="87">
        <f>$C126-$B126+1</f>
        <v/>
      </c>
      <c r="E126" s="87">
        <f>MONTH($B126)</f>
        <v/>
      </c>
      <c r="F126" s="93">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$N126*IF($O$76=1,$O126/$F$76,1)</f>
        <v/>
      </c>
      <c r="T126" s="95">
        <f>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04">
        <f>SUMPRODUCT($H$79:$H$126,$Q$79:$Q$126,$O$79:$O$126)/SUMPRODUCT($H$79:$H$126,$Q$79:$Q$126)</f>
        <v/>
      </c>
      <c r="G127" s="20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04">
        <f>IF(N(INDEX(lr_mind,2))=0,1,INDEX(lr_mind,2))</f>
        <v/>
      </c>
      <c r="G130" s="204">
        <f>IF(N(INDEX(lr_m0,2))=0,1,INDEX(lr_m0,2))</f>
        <v/>
      </c>
      <c r="H130" s="73">
        <f>IF(N(INDEX(lr_m0asof,2))=0,DATE(nr_PlanYear-1,10,1),INDEX(lr_m0asof,2))</f>
        <v/>
      </c>
      <c r="I130" s="204">
        <f>IF(N(INDEX(lr_m1,2))=0,1,INDEX(lr_m1,2))</f>
        <v/>
      </c>
      <c r="J130" s="204">
        <f>INDEX(lr_mprior,2)</f>
        <v/>
      </c>
      <c r="K130" s="20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93">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$N133*IF($O$130=1,$O133/$F$130,1)</f>
        <v/>
      </c>
      <c r="T133" s="95">
        <f>IF($G133&lt;nr_MStartP,$S133,$T121*(1+IF($G133&lt;nr_MStartP1,$M$130,$N$130)))</f>
        <v/>
      </c>
      <c r="U133" s="95">
        <f>IF($L$130,$T133,$N133)</f>
        <v/>
      </c>
    </row>
    <row r="134">
      <c r="A134" s="90" t="n">
        <v>2</v>
      </c>
      <c r="B134" s="91">
        <f>EDATE($B133,1)</f>
        <v/>
      </c>
      <c r="C134" s="92">
        <f>EOMONTH($B134,0)</f>
        <v/>
      </c>
      <c r="D134" s="87">
        <f>$C134-$B134+1</f>
        <v/>
      </c>
      <c r="E134" s="87">
        <f>MONTH($B134)</f>
        <v/>
      </c>
      <c r="F134" s="93">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$N134*IF($O$130=1,$O134/$F$130,1)</f>
        <v/>
      </c>
      <c r="T134" s="95">
        <f>IF($G134&lt;nr_MStartP,$S134,$T122*(1+IF($G134&lt;nr_MStartP1,$M$130,$N$130)))</f>
        <v/>
      </c>
      <c r="U134" s="95">
        <f>IF($L$130,$T134,$N134)</f>
        <v/>
      </c>
    </row>
    <row r="135">
      <c r="A135" s="90" t="n">
        <v>3</v>
      </c>
      <c r="B135" s="91">
        <f>EDATE($B134,1)</f>
        <v/>
      </c>
      <c r="C135" s="92">
        <f>EOMONTH($B135,0)</f>
        <v/>
      </c>
      <c r="D135" s="87">
        <f>$C135-$B135+1</f>
        <v/>
      </c>
      <c r="E135" s="87">
        <f>MONTH($B135)</f>
        <v/>
      </c>
      <c r="F135" s="93">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$N135*IF($O$130=1,$O135/$F$130,1)</f>
        <v/>
      </c>
      <c r="T135" s="95">
        <f>IF($G135&lt;nr_MStartP,$S135,$T123*(1+IF($G135&lt;nr_MStartP1,$M$130,$N$130)))</f>
        <v/>
      </c>
      <c r="U135" s="95">
        <f>IF($L$130,$T135,$N135)</f>
        <v/>
      </c>
    </row>
    <row r="136">
      <c r="A136" s="90" t="n">
        <v>4</v>
      </c>
      <c r="B136" s="91">
        <f>EDATE($B135,1)</f>
        <v/>
      </c>
      <c r="C136" s="92">
        <f>EOMONTH($B136,0)</f>
        <v/>
      </c>
      <c r="D136" s="87">
        <f>$C136-$B136+1</f>
        <v/>
      </c>
      <c r="E136" s="87">
        <f>MONTH($B136)</f>
        <v/>
      </c>
      <c r="F136" s="93">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$N136*IF($O$130=1,$O136/$F$130,1)</f>
        <v/>
      </c>
      <c r="T136" s="95">
        <f>IF($G136&lt;nr_MStartP,$S136,$T124*(1+IF($G136&lt;nr_MStartP1,$M$130,$N$130)))</f>
        <v/>
      </c>
      <c r="U136" s="95">
        <f>IF($L$130,$T136,$N136)</f>
        <v/>
      </c>
    </row>
    <row r="137">
      <c r="A137" s="90" t="n">
        <v>5</v>
      </c>
      <c r="B137" s="91">
        <f>EDATE($B136,1)</f>
        <v/>
      </c>
      <c r="C137" s="92">
        <f>EOMONTH($B137,0)</f>
        <v/>
      </c>
      <c r="D137" s="87">
        <f>$C137-$B137+1</f>
        <v/>
      </c>
      <c r="E137" s="87">
        <f>MONTH($B137)</f>
        <v/>
      </c>
      <c r="F137" s="93">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$N137*IF($O$130=1,$O137/$F$130,1)</f>
        <v/>
      </c>
      <c r="T137" s="95">
        <f>IF($G137&lt;nr_MStartP,$S137,$T125*(1+IF($G137&lt;nr_MStartP1,$M$130,$N$130)))</f>
        <v/>
      </c>
      <c r="U137" s="95">
        <f>IF($L$130,$T137,$N137)</f>
        <v/>
      </c>
    </row>
    <row r="138">
      <c r="A138" s="90" t="n">
        <v>6</v>
      </c>
      <c r="B138" s="91">
        <f>EDATE($B137,1)</f>
        <v/>
      </c>
      <c r="C138" s="92">
        <f>EOMONTH($B138,0)</f>
        <v/>
      </c>
      <c r="D138" s="87">
        <f>$C138-$B138+1</f>
        <v/>
      </c>
      <c r="E138" s="87">
        <f>MONTH($B138)</f>
        <v/>
      </c>
      <c r="F138" s="93">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$N138*IF($O$130=1,$O138/$F$130,1)</f>
        <v/>
      </c>
      <c r="T138" s="95">
        <f>IF($G138&lt;nr_MStartP,$S138,$T126*(1+IF($G138&lt;nr_MStartP1,$M$130,$N$130)))</f>
        <v/>
      </c>
      <c r="U138" s="95">
        <f>IF($L$130,$T138,$N138)</f>
        <v/>
      </c>
    </row>
    <row r="139">
      <c r="A139" s="90" t="n">
        <v>7</v>
      </c>
      <c r="B139" s="91">
        <f>EDATE($B138,1)</f>
        <v/>
      </c>
      <c r="C139" s="92">
        <f>EOMONTH($B139,0)</f>
        <v/>
      </c>
      <c r="D139" s="87">
        <f>$C139-$B139+1</f>
        <v/>
      </c>
      <c r="E139" s="87">
        <f>MONTH($B139)</f>
        <v/>
      </c>
      <c r="F139" s="93">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$N139*IF($O$130=1,$O139/$F$130,1)</f>
        <v/>
      </c>
      <c r="T139" s="95">
        <f>IF($G139&lt;nr_MStartP,$S139,$T127*(1+IF($G139&lt;nr_MStartP1,$M$130,$N$130)))</f>
        <v/>
      </c>
      <c r="U139" s="95">
        <f>IF($L$130,$T139,$N139)</f>
        <v/>
      </c>
    </row>
    <row r="140">
      <c r="A140" s="90" t="n">
        <v>8</v>
      </c>
      <c r="B140" s="91">
        <f>EDATE($B139,1)</f>
        <v/>
      </c>
      <c r="C140" s="92">
        <f>EOMONTH($B140,0)</f>
        <v/>
      </c>
      <c r="D140" s="87">
        <f>$C140-$B140+1</f>
        <v/>
      </c>
      <c r="E140" s="87">
        <f>MONTH($B140)</f>
        <v/>
      </c>
      <c r="F140" s="93">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$N140*IF($O$130=1,$O140/$F$130,1)</f>
        <v/>
      </c>
      <c r="T140" s="95">
        <f>IF($G140&lt;nr_MStartP,$S140,$T128*(1+IF($G140&lt;nr_MStartP1,$M$130,$N$130)))</f>
        <v/>
      </c>
      <c r="U140" s="95">
        <f>IF($L$130,$T140,$N140)</f>
        <v/>
      </c>
    </row>
    <row r="141">
      <c r="A141" s="90" t="n">
        <v>9</v>
      </c>
      <c r="B141" s="91">
        <f>EDATE($B140,1)</f>
        <v/>
      </c>
      <c r="C141" s="92">
        <f>EOMONTH($B141,0)</f>
        <v/>
      </c>
      <c r="D141" s="87">
        <f>$C141-$B141+1</f>
        <v/>
      </c>
      <c r="E141" s="87">
        <f>MONTH($B141)</f>
        <v/>
      </c>
      <c r="F141" s="93">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$N141*IF($O$130=1,$O141/$F$130,1)</f>
        <v/>
      </c>
      <c r="T141" s="95">
        <f>IF($G141&lt;nr_MStartP,$S141,$T129*(1+IF($G141&lt;nr_MStartP1,$M$130,$N$130)))</f>
        <v/>
      </c>
      <c r="U141" s="95">
        <f>IF($L$130,$T141,$N141)</f>
        <v/>
      </c>
    </row>
    <row r="142">
      <c r="A142" s="90" t="n">
        <v>10</v>
      </c>
      <c r="B142" s="91">
        <f>EDATE($B141,1)</f>
        <v/>
      </c>
      <c r="C142" s="92">
        <f>EOMONTH($B142,0)</f>
        <v/>
      </c>
      <c r="D142" s="87">
        <f>$C142-$B142+1</f>
        <v/>
      </c>
      <c r="E142" s="87">
        <f>MONTH($B142)</f>
        <v/>
      </c>
      <c r="F142" s="93">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$N142*IF($O$130=1,$O142/$F$130,1)</f>
        <v/>
      </c>
      <c r="T142" s="95">
        <f>IF($G142&lt;nr_MStartP,$S142,$T130*(1+IF($G142&lt;nr_MStartP1,$M$130,$N$130)))</f>
        <v/>
      </c>
      <c r="U142" s="95">
        <f>IF($L$130,$T142,$N142)</f>
        <v/>
      </c>
    </row>
    <row r="143">
      <c r="A143" s="90" t="n">
        <v>11</v>
      </c>
      <c r="B143" s="91">
        <f>EDATE($B142,1)</f>
        <v/>
      </c>
      <c r="C143" s="92">
        <f>EOMONTH($B143,0)</f>
        <v/>
      </c>
      <c r="D143" s="87">
        <f>$C143-$B143+1</f>
        <v/>
      </c>
      <c r="E143" s="87">
        <f>MONTH($B143)</f>
        <v/>
      </c>
      <c r="F143" s="93">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$N143*IF($O$130=1,$O143/$F$130,1)</f>
        <v/>
      </c>
      <c r="T143" s="95">
        <f>IF($G143&lt;nr_MStartP,$S143,$T131*(1+IF($G143&lt;nr_MStartP1,$M$130,$N$130)))</f>
        <v/>
      </c>
      <c r="U143" s="95">
        <f>IF($L$130,$T143,$N143)</f>
        <v/>
      </c>
    </row>
    <row r="144">
      <c r="A144" s="90" t="n">
        <v>12</v>
      </c>
      <c r="B144" s="91">
        <f>EDATE($B143,1)</f>
        <v/>
      </c>
      <c r="C144" s="92">
        <f>EOMONTH($B144,0)</f>
        <v/>
      </c>
      <c r="D144" s="87">
        <f>$C144-$B144+1</f>
        <v/>
      </c>
      <c r="E144" s="87">
        <f>MONTH($B144)</f>
        <v/>
      </c>
      <c r="F144" s="93">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$N144*IF($O$130=1,$O144/$F$130,1)</f>
        <v/>
      </c>
      <c r="T144" s="95">
        <f>IF($G144&lt;nr_MStartP,$S144,$T132*(1+IF($G144&lt;nr_MStartP1,$M$130,$N$130)))</f>
        <v/>
      </c>
      <c r="U144" s="95">
        <f>IF($L$130,$T144,$N144)</f>
        <v/>
      </c>
    </row>
    <row r="145">
      <c r="A145" s="90" t="n">
        <v>13</v>
      </c>
      <c r="B145" s="91">
        <f>EDATE($B144,1)</f>
        <v/>
      </c>
      <c r="C145" s="92">
        <f>EOMONTH($B145,0)</f>
        <v/>
      </c>
      <c r="D145" s="87">
        <f>$C145-$B145+1</f>
        <v/>
      </c>
      <c r="E145" s="87">
        <f>MONTH($B145)</f>
        <v/>
      </c>
      <c r="F145" s="93">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$N145*IF($O$130=1,$O145/$F$130,1)</f>
        <v/>
      </c>
      <c r="T145" s="95">
        <f>IF($G145&lt;nr_MStartP,$S145,$T133*(1+IF($G145&lt;nr_MStartP1,$M$130,$N$130)))</f>
        <v/>
      </c>
      <c r="U145" s="95">
        <f>IF($L$130,$T145,$N145)</f>
        <v/>
      </c>
    </row>
    <row r="146">
      <c r="A146" s="90" t="n">
        <v>14</v>
      </c>
      <c r="B146" s="91">
        <f>EDATE($B145,1)</f>
        <v/>
      </c>
      <c r="C146" s="92">
        <f>EOMONTH($B146,0)</f>
        <v/>
      </c>
      <c r="D146" s="87">
        <f>$C146-$B146+1</f>
        <v/>
      </c>
      <c r="E146" s="87">
        <f>MONTH($B146)</f>
        <v/>
      </c>
      <c r="F146" s="93">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$N146*IF($O$130=1,$O146/$F$130,1)</f>
        <v/>
      </c>
      <c r="T146" s="95">
        <f>IF($G146&lt;nr_MStartP,$S146,$T134*(1+IF($G146&lt;nr_MStartP1,$M$130,$N$130)))</f>
        <v/>
      </c>
      <c r="U146" s="95">
        <f>IF($L$130,$T146,$N146)</f>
        <v/>
      </c>
    </row>
    <row r="147">
      <c r="A147" s="90" t="n">
        <v>15</v>
      </c>
      <c r="B147" s="91">
        <f>EDATE($B146,1)</f>
        <v/>
      </c>
      <c r="C147" s="92">
        <f>EOMONTH($B147,0)</f>
        <v/>
      </c>
      <c r="D147" s="87">
        <f>$C147-$B147+1</f>
        <v/>
      </c>
      <c r="E147" s="87">
        <f>MONTH($B147)</f>
        <v/>
      </c>
      <c r="F147" s="93">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$N147*IF($O$130=1,$O147/$F$130,1)</f>
        <v/>
      </c>
      <c r="T147" s="95">
        <f>IF($G147&lt;nr_MStartP,$S147,$T135*(1+IF($G147&lt;nr_MStartP1,$M$130,$N$130)))</f>
        <v/>
      </c>
      <c r="U147" s="95">
        <f>IF($L$130,$T147,$N147)</f>
        <v/>
      </c>
    </row>
    <row r="148">
      <c r="A148" s="90" t="n">
        <v>16</v>
      </c>
      <c r="B148" s="91">
        <f>EDATE($B147,1)</f>
        <v/>
      </c>
      <c r="C148" s="92">
        <f>EOMONTH($B148,0)</f>
        <v/>
      </c>
      <c r="D148" s="87">
        <f>$C148-$B148+1</f>
        <v/>
      </c>
      <c r="E148" s="87">
        <f>MONTH($B148)</f>
        <v/>
      </c>
      <c r="F148" s="93">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$N148*IF($O$130=1,$O148/$F$130,1)</f>
        <v/>
      </c>
      <c r="T148" s="95">
        <f>IF($G148&lt;nr_MStartP,$S148,$T136*(1+IF($G148&lt;nr_MStartP1,$M$130,$N$130)))</f>
        <v/>
      </c>
      <c r="U148" s="95">
        <f>IF($L$130,$T148,$N148)</f>
        <v/>
      </c>
    </row>
    <row r="149">
      <c r="A149" s="90" t="n">
        <v>17</v>
      </c>
      <c r="B149" s="91">
        <f>EDATE($B148,1)</f>
        <v/>
      </c>
      <c r="C149" s="92">
        <f>EOMONTH($B149,0)</f>
        <v/>
      </c>
      <c r="D149" s="87">
        <f>$C149-$B149+1</f>
        <v/>
      </c>
      <c r="E149" s="87">
        <f>MONTH($B149)</f>
        <v/>
      </c>
      <c r="F149" s="93">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$N149*IF($O$130=1,$O149/$F$130,1)</f>
        <v/>
      </c>
      <c r="T149" s="95">
        <f>IF($G149&lt;nr_MStartP,$S149,$T137*(1+IF($G149&lt;nr_MStartP1,$M$130,$N$130)))</f>
        <v/>
      </c>
      <c r="U149" s="95">
        <f>IF($L$130,$T149,$N149)</f>
        <v/>
      </c>
    </row>
    <row r="150">
      <c r="A150" s="90" t="n">
        <v>18</v>
      </c>
      <c r="B150" s="91">
        <f>EDATE($B149,1)</f>
        <v/>
      </c>
      <c r="C150" s="92">
        <f>EOMONTH($B150,0)</f>
        <v/>
      </c>
      <c r="D150" s="87">
        <f>$C150-$B150+1</f>
        <v/>
      </c>
      <c r="E150" s="87">
        <f>MONTH($B150)</f>
        <v/>
      </c>
      <c r="F150" s="93">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$N150*IF($O$130=1,$O150/$F$130,1)</f>
        <v/>
      </c>
      <c r="T150" s="95">
        <f>IF($G150&lt;nr_MStartP,$S150,$T138*(1+IF($G150&lt;nr_MStartP1,$M$130,$N$130)))</f>
        <v/>
      </c>
      <c r="U150" s="95">
        <f>IF($L$130,$T150,$N150)</f>
        <v/>
      </c>
    </row>
    <row r="151">
      <c r="A151" s="90" t="n">
        <v>19</v>
      </c>
      <c r="B151" s="91">
        <f>EDATE($B150,1)</f>
        <v/>
      </c>
      <c r="C151" s="92">
        <f>EOMONTH($B151,0)</f>
        <v/>
      </c>
      <c r="D151" s="87">
        <f>$C151-$B151+1</f>
        <v/>
      </c>
      <c r="E151" s="87">
        <f>MONTH($B151)</f>
        <v/>
      </c>
      <c r="F151" s="93">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$N151*IF($O$130=1,$O151/$F$130,1)</f>
        <v/>
      </c>
      <c r="T151" s="95">
        <f>IF($G151&lt;nr_MStartP,$S151,$T139*(1+IF($G151&lt;nr_MStartP1,$M$130,$N$130)))</f>
        <v/>
      </c>
      <c r="U151" s="95">
        <f>IF($L$130,$T151,$N151)</f>
        <v/>
      </c>
    </row>
    <row r="152">
      <c r="A152" s="90" t="n">
        <v>20</v>
      </c>
      <c r="B152" s="91">
        <f>EDATE($B151,1)</f>
        <v/>
      </c>
      <c r="C152" s="92">
        <f>EOMONTH($B152,0)</f>
        <v/>
      </c>
      <c r="D152" s="87">
        <f>$C152-$B152+1</f>
        <v/>
      </c>
      <c r="E152" s="87">
        <f>MONTH($B152)</f>
        <v/>
      </c>
      <c r="F152" s="93">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$N152*IF($O$130=1,$O152/$F$130,1)</f>
        <v/>
      </c>
      <c r="T152" s="95">
        <f>IF($G152&lt;nr_MStartP,$S152,$T140*(1+IF($G152&lt;nr_MStartP1,$M$130,$N$130)))</f>
        <v/>
      </c>
      <c r="U152" s="95">
        <f>IF($L$130,$T152,$N152)</f>
        <v/>
      </c>
    </row>
    <row r="153">
      <c r="A153" s="90" t="n">
        <v>21</v>
      </c>
      <c r="B153" s="91">
        <f>EDATE($B152,1)</f>
        <v/>
      </c>
      <c r="C153" s="92">
        <f>EOMONTH($B153,0)</f>
        <v/>
      </c>
      <c r="D153" s="87">
        <f>$C153-$B153+1</f>
        <v/>
      </c>
      <c r="E153" s="87">
        <f>MONTH($B153)</f>
        <v/>
      </c>
      <c r="F153" s="93">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$N153*IF($O$130=1,$O153/$F$130,1)</f>
        <v/>
      </c>
      <c r="T153" s="95">
        <f>IF($G153&lt;nr_MStartP,$S153,$T141*(1+IF($G153&lt;nr_MStartP1,$M$130,$N$130)))</f>
        <v/>
      </c>
      <c r="U153" s="95">
        <f>IF($L$130,$T153,$N153)</f>
        <v/>
      </c>
    </row>
    <row r="154">
      <c r="A154" s="90" t="n">
        <v>22</v>
      </c>
      <c r="B154" s="91">
        <f>EDATE($B153,1)</f>
        <v/>
      </c>
      <c r="C154" s="92">
        <f>EOMONTH($B154,0)</f>
        <v/>
      </c>
      <c r="D154" s="87">
        <f>$C154-$B154+1</f>
        <v/>
      </c>
      <c r="E154" s="87">
        <f>MONTH($B154)</f>
        <v/>
      </c>
      <c r="F154" s="93">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$N154*IF($O$130=1,$O154/$F$130,1)</f>
        <v/>
      </c>
      <c r="T154" s="95">
        <f>IF($G154&lt;nr_MStartP,$S154,$T142*(1+IF($G154&lt;nr_MStartP1,$M$130,$N$130)))</f>
        <v/>
      </c>
      <c r="U154" s="95">
        <f>IF($L$130,$T154,$N154)</f>
        <v/>
      </c>
    </row>
    <row r="155">
      <c r="A155" s="90" t="n">
        <v>23</v>
      </c>
      <c r="B155" s="91">
        <f>EDATE($B154,1)</f>
        <v/>
      </c>
      <c r="C155" s="92">
        <f>EOMONTH($B155,0)</f>
        <v/>
      </c>
      <c r="D155" s="87">
        <f>$C155-$B155+1</f>
        <v/>
      </c>
      <c r="E155" s="87">
        <f>MONTH($B155)</f>
        <v/>
      </c>
      <c r="F155" s="93">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$N155*IF($O$130=1,$O155/$F$130,1)</f>
        <v/>
      </c>
      <c r="T155" s="95">
        <f>IF($G155&lt;nr_MStartP,$S155,$T143*(1+IF($G155&lt;nr_MStartP1,$M$130,$N$130)))</f>
        <v/>
      </c>
      <c r="U155" s="95">
        <f>IF($L$130,$T155,$N155)</f>
        <v/>
      </c>
    </row>
    <row r="156">
      <c r="A156" s="90" t="n">
        <v>24</v>
      </c>
      <c r="B156" s="91">
        <f>EDATE($B155,1)</f>
        <v/>
      </c>
      <c r="C156" s="92">
        <f>EOMONTH($B156,0)</f>
        <v/>
      </c>
      <c r="D156" s="87">
        <f>$C156-$B156+1</f>
        <v/>
      </c>
      <c r="E156" s="87">
        <f>MONTH($B156)</f>
        <v/>
      </c>
      <c r="F156" s="93">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$N156*IF($O$130=1,$O156/$F$130,1)</f>
        <v/>
      </c>
      <c r="T156" s="95">
        <f>IF($G156&lt;nr_MStartP,$S156,$T144*(1+IF($G156&lt;nr_MStartP1,$M$130,$N$130)))</f>
        <v/>
      </c>
      <c r="U156" s="95">
        <f>IF($L$130,$T156,$N156)</f>
        <v/>
      </c>
    </row>
    <row r="157">
      <c r="A157" s="90" t="n">
        <v>25</v>
      </c>
      <c r="B157" s="91">
        <f>EDATE($B156,1)</f>
        <v/>
      </c>
      <c r="C157" s="92">
        <f>EOMONTH($B157,0)</f>
        <v/>
      </c>
      <c r="D157" s="87">
        <f>$C157-$B157+1</f>
        <v/>
      </c>
      <c r="E157" s="87">
        <f>MONTH($B157)</f>
        <v/>
      </c>
      <c r="F157" s="93">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$N157*IF($O$130=1,$O157/$F$130,1)</f>
        <v/>
      </c>
      <c r="T157" s="95">
        <f>IF($G157&lt;nr_MStartP,$S157,$T145*(1+IF($G157&lt;nr_MStartP1,$M$130,$N$130)))</f>
        <v/>
      </c>
      <c r="U157" s="95">
        <f>IF($L$130,$T157,$N157)</f>
        <v/>
      </c>
    </row>
    <row r="158">
      <c r="A158" s="90" t="n">
        <v>26</v>
      </c>
      <c r="B158" s="91">
        <f>EDATE($B157,1)</f>
        <v/>
      </c>
      <c r="C158" s="92">
        <f>EOMONTH($B158,0)</f>
        <v/>
      </c>
      <c r="D158" s="87">
        <f>$C158-$B158+1</f>
        <v/>
      </c>
      <c r="E158" s="87">
        <f>MONTH($B158)</f>
        <v/>
      </c>
      <c r="F158" s="93">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$N158*IF($O$130=1,$O158/$F$130,1)</f>
        <v/>
      </c>
      <c r="T158" s="95">
        <f>IF($G158&lt;nr_MStartP,$S158,$T146*(1+IF($G158&lt;nr_MStartP1,$M$130,$N$130)))</f>
        <v/>
      </c>
      <c r="U158" s="95">
        <f>IF($L$130,$T158,$N158)</f>
        <v/>
      </c>
    </row>
    <row r="159">
      <c r="A159" s="90" t="n">
        <v>27</v>
      </c>
      <c r="B159" s="91">
        <f>EDATE($B158,1)</f>
        <v/>
      </c>
      <c r="C159" s="92">
        <f>EOMONTH($B159,0)</f>
        <v/>
      </c>
      <c r="D159" s="87">
        <f>$C159-$B159+1</f>
        <v/>
      </c>
      <c r="E159" s="87">
        <f>MONTH($B159)</f>
        <v/>
      </c>
      <c r="F159" s="93">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$N159*IF($O$130=1,$O159/$F$130,1)</f>
        <v/>
      </c>
      <c r="T159" s="95">
        <f>IF($G159&lt;nr_MStartP,$S159,$T147*(1+IF($G159&lt;nr_MStartP1,$M$130,$N$130)))</f>
        <v/>
      </c>
      <c r="U159" s="95">
        <f>IF($L$130,$T159,$N159)</f>
        <v/>
      </c>
    </row>
    <row r="160">
      <c r="A160" s="90" t="n">
        <v>28</v>
      </c>
      <c r="B160" s="91">
        <f>EDATE($B159,1)</f>
        <v/>
      </c>
      <c r="C160" s="92">
        <f>EOMONTH($B160,0)</f>
        <v/>
      </c>
      <c r="D160" s="87">
        <f>$C160-$B160+1</f>
        <v/>
      </c>
      <c r="E160" s="87">
        <f>MONTH($B160)</f>
        <v/>
      </c>
      <c r="F160" s="93">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$N160*IF($O$130=1,$O160/$F$130,1)</f>
        <v/>
      </c>
      <c r="T160" s="95">
        <f>IF($G160&lt;nr_MStartP,$S160,$T148*(1+IF($G160&lt;nr_MStartP1,$M$130,$N$130)))</f>
        <v/>
      </c>
      <c r="U160" s="95">
        <f>IF($L$130,$T160,$N160)</f>
        <v/>
      </c>
    </row>
    <row r="161">
      <c r="A161" s="90" t="n">
        <v>29</v>
      </c>
      <c r="B161" s="91">
        <f>EDATE($B160,1)</f>
        <v/>
      </c>
      <c r="C161" s="92">
        <f>EOMONTH($B161,0)</f>
        <v/>
      </c>
      <c r="D161" s="87">
        <f>$C161-$B161+1</f>
        <v/>
      </c>
      <c r="E161" s="87">
        <f>MONTH($B161)</f>
        <v/>
      </c>
      <c r="F161" s="93">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$N161*IF($O$130=1,$O161/$F$130,1)</f>
        <v/>
      </c>
      <c r="T161" s="95">
        <f>IF($G161&lt;nr_MStartP,$S161,$T149*(1+IF($G161&lt;nr_MStartP1,$M$130,$N$130)))</f>
        <v/>
      </c>
      <c r="U161" s="95">
        <f>IF($L$130,$T161,$N161)</f>
        <v/>
      </c>
    </row>
    <row r="162">
      <c r="A162" s="90" t="n">
        <v>30</v>
      </c>
      <c r="B162" s="91">
        <f>EDATE($B161,1)</f>
        <v/>
      </c>
      <c r="C162" s="92">
        <f>EOMONTH($B162,0)</f>
        <v/>
      </c>
      <c r="D162" s="87">
        <f>$C162-$B162+1</f>
        <v/>
      </c>
      <c r="E162" s="87">
        <f>MONTH($B162)</f>
        <v/>
      </c>
      <c r="F162" s="93">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$N162*IF($O$130=1,$O162/$F$130,1)</f>
        <v/>
      </c>
      <c r="T162" s="95">
        <f>IF($G162&lt;nr_MStartP,$S162,$T150*(1+IF($G162&lt;nr_MStartP1,$M$130,$N$130)))</f>
        <v/>
      </c>
      <c r="U162" s="95">
        <f>IF($L$130,$T162,$N162)</f>
        <v/>
      </c>
    </row>
    <row r="163">
      <c r="A163" s="90" t="n">
        <v>31</v>
      </c>
      <c r="B163" s="91">
        <f>EDATE($B162,1)</f>
        <v/>
      </c>
      <c r="C163" s="92">
        <f>EOMONTH($B163,0)</f>
        <v/>
      </c>
      <c r="D163" s="87">
        <f>$C163-$B163+1</f>
        <v/>
      </c>
      <c r="E163" s="87">
        <f>MONTH($B163)</f>
        <v/>
      </c>
      <c r="F163" s="93">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$N163*IF($O$130=1,$O163/$F$130,1)</f>
        <v/>
      </c>
      <c r="T163" s="95">
        <f>IF($G163&lt;nr_MStartP,$S163,$T151*(1+IF($G163&lt;nr_MStartP1,$M$130,$N$130)))</f>
        <v/>
      </c>
      <c r="U163" s="95">
        <f>IF($L$130,$T163,$N163)</f>
        <v/>
      </c>
    </row>
    <row r="164">
      <c r="A164" s="90" t="n">
        <v>32</v>
      </c>
      <c r="B164" s="91">
        <f>EDATE($B163,1)</f>
        <v/>
      </c>
      <c r="C164" s="92">
        <f>EOMONTH($B164,0)</f>
        <v/>
      </c>
      <c r="D164" s="87">
        <f>$C164-$B164+1</f>
        <v/>
      </c>
      <c r="E164" s="87">
        <f>MONTH($B164)</f>
        <v/>
      </c>
      <c r="F164" s="93">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$N164*IF($O$130=1,$O164/$F$130,1)</f>
        <v/>
      </c>
      <c r="T164" s="95">
        <f>IF($G164&lt;nr_MStartP,$S164,$T152*(1+IF($G164&lt;nr_MStartP1,$M$130,$N$130)))</f>
        <v/>
      </c>
      <c r="U164" s="95">
        <f>IF($L$130,$T164,$N164)</f>
        <v/>
      </c>
    </row>
    <row r="165">
      <c r="A165" s="90" t="n">
        <v>33</v>
      </c>
      <c r="B165" s="91">
        <f>EDATE($B164,1)</f>
        <v/>
      </c>
      <c r="C165" s="92">
        <f>EOMONTH($B165,0)</f>
        <v/>
      </c>
      <c r="D165" s="87">
        <f>$C165-$B165+1</f>
        <v/>
      </c>
      <c r="E165" s="87">
        <f>MONTH($B165)</f>
        <v/>
      </c>
      <c r="F165" s="93">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$N165*IF($O$130=1,$O165/$F$130,1)</f>
        <v/>
      </c>
      <c r="T165" s="95">
        <f>IF($G165&lt;nr_MStartP,$S165,$T153*(1+IF($G165&lt;nr_MStartP1,$M$130,$N$130)))</f>
        <v/>
      </c>
      <c r="U165" s="95">
        <f>IF($L$130,$T165,$N165)</f>
        <v/>
      </c>
    </row>
    <row r="166">
      <c r="A166" s="90" t="n">
        <v>34</v>
      </c>
      <c r="B166" s="91">
        <f>EDATE($B165,1)</f>
        <v/>
      </c>
      <c r="C166" s="92">
        <f>EOMONTH($B166,0)</f>
        <v/>
      </c>
      <c r="D166" s="87">
        <f>$C166-$B166+1</f>
        <v/>
      </c>
      <c r="E166" s="87">
        <f>MONTH($B166)</f>
        <v/>
      </c>
      <c r="F166" s="93">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$N166*IF($O$130=1,$O166/$F$130,1)</f>
        <v/>
      </c>
      <c r="T166" s="95">
        <f>IF($G166&lt;nr_MStartP,$S166,$T154*(1+IF($G166&lt;nr_MStartP1,$M$130,$N$130)))</f>
        <v/>
      </c>
      <c r="U166" s="95">
        <f>IF($L$130,$T166,$N166)</f>
        <v/>
      </c>
    </row>
    <row r="167">
      <c r="A167" s="90" t="n">
        <v>35</v>
      </c>
      <c r="B167" s="91">
        <f>EDATE($B166,1)</f>
        <v/>
      </c>
      <c r="C167" s="92">
        <f>EOMONTH($B167,0)</f>
        <v/>
      </c>
      <c r="D167" s="87">
        <f>$C167-$B167+1</f>
        <v/>
      </c>
      <c r="E167" s="87">
        <f>MONTH($B167)</f>
        <v/>
      </c>
      <c r="F167" s="93">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$N167*IF($O$130=1,$O167/$F$130,1)</f>
        <v/>
      </c>
      <c r="T167" s="95">
        <f>IF($G167&lt;nr_MStartP,$S167,$T155*(1+IF($G167&lt;nr_MStartP1,$M$130,$N$130)))</f>
        <v/>
      </c>
      <c r="U167" s="95">
        <f>IF($L$130,$T167,$N167)</f>
        <v/>
      </c>
    </row>
    <row r="168">
      <c r="A168" s="90" t="n">
        <v>36</v>
      </c>
      <c r="B168" s="91">
        <f>EDATE($B167,1)</f>
        <v/>
      </c>
      <c r="C168" s="92">
        <f>EOMONTH($B168,0)</f>
        <v/>
      </c>
      <c r="D168" s="87">
        <f>$C168-$B168+1</f>
        <v/>
      </c>
      <c r="E168" s="87">
        <f>MONTH($B168)</f>
        <v/>
      </c>
      <c r="F168" s="93">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$N168*IF($O$130=1,$O168/$F$130,1)</f>
        <v/>
      </c>
      <c r="T168" s="95">
        <f>IF($G168&lt;nr_MStartP,$S168,$T156*(1+IF($G168&lt;nr_MStartP1,$M$130,$N$130)))</f>
        <v/>
      </c>
      <c r="U168" s="95">
        <f>IF($L$130,$T168,$N168)</f>
        <v/>
      </c>
    </row>
    <row r="169">
      <c r="A169" s="90" t="n">
        <v>37</v>
      </c>
      <c r="B169" s="91">
        <f>EDATE($B168,1)</f>
        <v/>
      </c>
      <c r="C169" s="92">
        <f>EOMONTH($B169,0)</f>
        <v/>
      </c>
      <c r="D169" s="87">
        <f>$C169-$B169+1</f>
        <v/>
      </c>
      <c r="E169" s="87">
        <f>MONTH($B169)</f>
        <v/>
      </c>
      <c r="F169" s="93">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$N169*IF($O$130=1,$O169/$F$130,1)</f>
        <v/>
      </c>
      <c r="T169" s="95">
        <f>IF($G169&lt;nr_MStartP,$S169,$T157*(1+IF($G169&lt;nr_MStartP1,$M$130,$N$130)))</f>
        <v/>
      </c>
      <c r="U169" s="95">
        <f>IF($L$130,$T169,$N169)</f>
        <v/>
      </c>
    </row>
    <row r="170">
      <c r="A170" s="90" t="n">
        <v>38</v>
      </c>
      <c r="B170" s="91">
        <f>EDATE($B169,1)</f>
        <v/>
      </c>
      <c r="C170" s="92">
        <f>EOMONTH($B170,0)</f>
        <v/>
      </c>
      <c r="D170" s="87">
        <f>$C170-$B170+1</f>
        <v/>
      </c>
      <c r="E170" s="87">
        <f>MONTH($B170)</f>
        <v/>
      </c>
      <c r="F170" s="93">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$N170*IF($O$130=1,$O170/$F$130,1)</f>
        <v/>
      </c>
      <c r="T170" s="95">
        <f>IF($G170&lt;nr_MStartP,$S170,$T158*(1+IF($G170&lt;nr_MStartP1,$M$130,$N$130)))</f>
        <v/>
      </c>
      <c r="U170" s="95">
        <f>IF($L$130,$T170,$N170)</f>
        <v/>
      </c>
    </row>
    <row r="171">
      <c r="A171" s="90" t="n">
        <v>39</v>
      </c>
      <c r="B171" s="91">
        <f>EDATE($B170,1)</f>
        <v/>
      </c>
      <c r="C171" s="92">
        <f>EOMONTH($B171,0)</f>
        <v/>
      </c>
      <c r="D171" s="87">
        <f>$C171-$B171+1</f>
        <v/>
      </c>
      <c r="E171" s="87">
        <f>MONTH($B171)</f>
        <v/>
      </c>
      <c r="F171" s="93">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$N171*IF($O$130=1,$O171/$F$130,1)</f>
        <v/>
      </c>
      <c r="T171" s="95">
        <f>IF($G171&lt;nr_MStartP,$S171,$T159*(1+IF($G171&lt;nr_MStartP1,$M$130,$N$130)))</f>
        <v/>
      </c>
      <c r="U171" s="95">
        <f>IF($L$130,$T171,$N171)</f>
        <v/>
      </c>
    </row>
    <row r="172">
      <c r="A172" s="90" t="n">
        <v>40</v>
      </c>
      <c r="B172" s="91">
        <f>EDATE($B171,1)</f>
        <v/>
      </c>
      <c r="C172" s="92">
        <f>EOMONTH($B172,0)</f>
        <v/>
      </c>
      <c r="D172" s="87">
        <f>$C172-$B172+1</f>
        <v/>
      </c>
      <c r="E172" s="87">
        <f>MONTH($B172)</f>
        <v/>
      </c>
      <c r="F172" s="93">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$N172*IF($O$130=1,$O172/$F$130,1)</f>
        <v/>
      </c>
      <c r="T172" s="95">
        <f>IF($G172&lt;nr_MStartP,$S172,$T160*(1+IF($G172&lt;nr_MStartP1,$M$130,$N$130)))</f>
        <v/>
      </c>
      <c r="U172" s="95">
        <f>IF($L$130,$T172,$N172)</f>
        <v/>
      </c>
    </row>
    <row r="173">
      <c r="A173" s="90" t="n">
        <v>41</v>
      </c>
      <c r="B173" s="91">
        <f>EDATE($B172,1)</f>
        <v/>
      </c>
      <c r="C173" s="92">
        <f>EOMONTH($B173,0)</f>
        <v/>
      </c>
      <c r="D173" s="87">
        <f>$C173-$B173+1</f>
        <v/>
      </c>
      <c r="E173" s="87">
        <f>MONTH($B173)</f>
        <v/>
      </c>
      <c r="F173" s="93">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$N173*IF($O$130=1,$O173/$F$130,1)</f>
        <v/>
      </c>
      <c r="T173" s="95">
        <f>IF($G173&lt;nr_MStartP,$S173,$T161*(1+IF($G173&lt;nr_MStartP1,$M$130,$N$130)))</f>
        <v/>
      </c>
      <c r="U173" s="95">
        <f>IF($L$130,$T173,$N173)</f>
        <v/>
      </c>
    </row>
    <row r="174">
      <c r="A174" s="90" t="n">
        <v>42</v>
      </c>
      <c r="B174" s="91">
        <f>EDATE($B173,1)</f>
        <v/>
      </c>
      <c r="C174" s="92">
        <f>EOMONTH($B174,0)</f>
        <v/>
      </c>
      <c r="D174" s="87">
        <f>$C174-$B174+1</f>
        <v/>
      </c>
      <c r="E174" s="87">
        <f>MONTH($B174)</f>
        <v/>
      </c>
      <c r="F174" s="93">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$N174*IF($O$130=1,$O174/$F$130,1)</f>
        <v/>
      </c>
      <c r="T174" s="95">
        <f>IF($G174&lt;nr_MStartP,$S174,$T162*(1+IF($G174&lt;nr_MStartP1,$M$130,$N$130)))</f>
        <v/>
      </c>
      <c r="U174" s="95">
        <f>IF($L$130,$T174,$N174)</f>
        <v/>
      </c>
    </row>
    <row r="175">
      <c r="A175" s="90" t="n">
        <v>43</v>
      </c>
      <c r="B175" s="91">
        <f>EDATE($B174,1)</f>
        <v/>
      </c>
      <c r="C175" s="92">
        <f>EOMONTH($B175,0)</f>
        <v/>
      </c>
      <c r="D175" s="87">
        <f>$C175-$B175+1</f>
        <v/>
      </c>
      <c r="E175" s="87">
        <f>MONTH($B175)</f>
        <v/>
      </c>
      <c r="F175" s="93">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$N175*IF($O$130=1,$O175/$F$130,1)</f>
        <v/>
      </c>
      <c r="T175" s="95">
        <f>IF($G175&lt;nr_MStartP,$S175,$T163*(1+IF($G175&lt;nr_MStartP1,$M$130,$N$130)))</f>
        <v/>
      </c>
      <c r="U175" s="95">
        <f>IF($L$130,$T175,$N175)</f>
        <v/>
      </c>
    </row>
    <row r="176">
      <c r="A176" s="90" t="n">
        <v>44</v>
      </c>
      <c r="B176" s="91">
        <f>EDATE($B175,1)</f>
        <v/>
      </c>
      <c r="C176" s="92">
        <f>EOMONTH($B176,0)</f>
        <v/>
      </c>
      <c r="D176" s="87">
        <f>$C176-$B176+1</f>
        <v/>
      </c>
      <c r="E176" s="87">
        <f>MONTH($B176)</f>
        <v/>
      </c>
      <c r="F176" s="93">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$N176*IF($O$130=1,$O176/$F$130,1)</f>
        <v/>
      </c>
      <c r="T176" s="95">
        <f>IF($G176&lt;nr_MStartP,$S176,$T164*(1+IF($G176&lt;nr_MStartP1,$M$130,$N$130)))</f>
        <v/>
      </c>
      <c r="U176" s="95">
        <f>IF($L$130,$T176,$N176)</f>
        <v/>
      </c>
    </row>
    <row r="177">
      <c r="A177" s="90" t="n">
        <v>45</v>
      </c>
      <c r="B177" s="91">
        <f>EDATE($B176,1)</f>
        <v/>
      </c>
      <c r="C177" s="92">
        <f>EOMONTH($B177,0)</f>
        <v/>
      </c>
      <c r="D177" s="87">
        <f>$C177-$B177+1</f>
        <v/>
      </c>
      <c r="E177" s="87">
        <f>MONTH($B177)</f>
        <v/>
      </c>
      <c r="F177" s="93">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$N177*IF($O$130=1,$O177/$F$130,1)</f>
        <v/>
      </c>
      <c r="T177" s="95">
        <f>IF($G177&lt;nr_MStartP,$S177,$T165*(1+IF($G177&lt;nr_MStartP1,$M$130,$N$130)))</f>
        <v/>
      </c>
      <c r="U177" s="95">
        <f>IF($L$130,$T177,$N177)</f>
        <v/>
      </c>
    </row>
    <row r="178">
      <c r="A178" s="90" t="n">
        <v>46</v>
      </c>
      <c r="B178" s="91">
        <f>EDATE($B177,1)</f>
        <v/>
      </c>
      <c r="C178" s="92">
        <f>EOMONTH($B178,0)</f>
        <v/>
      </c>
      <c r="D178" s="87">
        <f>$C178-$B178+1</f>
        <v/>
      </c>
      <c r="E178" s="87">
        <f>MONTH($B178)</f>
        <v/>
      </c>
      <c r="F178" s="93">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$N178*IF($O$130=1,$O178/$F$130,1)</f>
        <v/>
      </c>
      <c r="T178" s="95">
        <f>IF($G178&lt;nr_MStartP,$S178,$T166*(1+IF($G178&lt;nr_MStartP1,$M$130,$N$130)))</f>
        <v/>
      </c>
      <c r="U178" s="95">
        <f>IF($L$130,$T178,$N178)</f>
        <v/>
      </c>
    </row>
    <row r="179">
      <c r="A179" s="90" t="n">
        <v>47</v>
      </c>
      <c r="B179" s="91">
        <f>EDATE($B178,1)</f>
        <v/>
      </c>
      <c r="C179" s="92">
        <f>EOMONTH($B179,0)</f>
        <v/>
      </c>
      <c r="D179" s="87">
        <f>$C179-$B179+1</f>
        <v/>
      </c>
      <c r="E179" s="87">
        <f>MONTH($B179)</f>
        <v/>
      </c>
      <c r="F179" s="93">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$N179*IF($O$130=1,$O179/$F$130,1)</f>
        <v/>
      </c>
      <c r="T179" s="95">
        <f>IF($G179&lt;nr_MStartP,$S179,$T167*(1+IF($G179&lt;nr_MStartP1,$M$130,$N$130)))</f>
        <v/>
      </c>
      <c r="U179" s="95">
        <f>IF($L$130,$T179,$N179)</f>
        <v/>
      </c>
    </row>
    <row r="180">
      <c r="A180" s="90" t="n">
        <v>48</v>
      </c>
      <c r="B180" s="91">
        <f>EDATE($B179,1)</f>
        <v/>
      </c>
      <c r="C180" s="92">
        <f>EOMONTH($B180,0)</f>
        <v/>
      </c>
      <c r="D180" s="87">
        <f>$C180-$B180+1</f>
        <v/>
      </c>
      <c r="E180" s="87">
        <f>MONTH($B180)</f>
        <v/>
      </c>
      <c r="F180" s="93">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$N180*IF($O$130=1,$O180/$F$130,1)</f>
        <v/>
      </c>
      <c r="T180" s="95">
        <f>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04">
        <f>SUMPRODUCT($H$133:$H$180,$Q$133:$Q$180,$O$133:$O$180)/SUMPRODUCT($H$133:$H$180,$Q$133:$Q$180)</f>
        <v/>
      </c>
      <c r="G181" s="20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04">
        <f>IF(N(INDEX(lr_mind,3))=0,1,INDEX(lr_mind,3))</f>
        <v/>
      </c>
      <c r="G184" s="204">
        <f>IF(N(INDEX(lr_m0,3))=0,1,INDEX(lr_m0,3))</f>
        <v/>
      </c>
      <c r="H184" s="73">
        <f>IF(N(INDEX(lr_m0asof,3))=0,DATE(nr_PlanYear-1,10,1),INDEX(lr_m0asof,3))</f>
        <v/>
      </c>
      <c r="I184" s="204">
        <f>IF(N(INDEX(lr_m1,3))=0,1,INDEX(lr_m1,3))</f>
        <v/>
      </c>
      <c r="J184" s="204">
        <f>INDEX(lr_mprior,3)</f>
        <v/>
      </c>
      <c r="K184" s="20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93">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$N187*IF($O$184=1,$O187/$F$184,1)</f>
        <v/>
      </c>
      <c r="T187" s="95">
        <f>IF($G187&lt;nr_MStartP,$S187,$T175*(1+IF($G187&lt;nr_MStartP1,$M$184,$N$184)))</f>
        <v/>
      </c>
      <c r="U187" s="95">
        <f>IF($L$184,$T187,$N187)</f>
        <v/>
      </c>
    </row>
    <row r="188">
      <c r="A188" s="90" t="n">
        <v>2</v>
      </c>
      <c r="B188" s="91">
        <f>EDATE($B187,1)</f>
        <v/>
      </c>
      <c r="C188" s="92">
        <f>EOMONTH($B188,0)</f>
        <v/>
      </c>
      <c r="D188" s="87">
        <f>$C188-$B188+1</f>
        <v/>
      </c>
      <c r="E188" s="87">
        <f>MONTH($B188)</f>
        <v/>
      </c>
      <c r="F188" s="93">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$N188*IF($O$184=1,$O188/$F$184,1)</f>
        <v/>
      </c>
      <c r="T188" s="95">
        <f>IF($G188&lt;nr_MStartP,$S188,$T176*(1+IF($G188&lt;nr_MStartP1,$M$184,$N$184)))</f>
        <v/>
      </c>
      <c r="U188" s="95">
        <f>IF($L$184,$T188,$N188)</f>
        <v/>
      </c>
    </row>
    <row r="189">
      <c r="A189" s="90" t="n">
        <v>3</v>
      </c>
      <c r="B189" s="91">
        <f>EDATE($B188,1)</f>
        <v/>
      </c>
      <c r="C189" s="92">
        <f>EOMONTH($B189,0)</f>
        <v/>
      </c>
      <c r="D189" s="87">
        <f>$C189-$B189+1</f>
        <v/>
      </c>
      <c r="E189" s="87">
        <f>MONTH($B189)</f>
        <v/>
      </c>
      <c r="F189" s="93">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$N189*IF($O$184=1,$O189/$F$184,1)</f>
        <v/>
      </c>
      <c r="T189" s="95">
        <f>IF($G189&lt;nr_MStartP,$S189,$T177*(1+IF($G189&lt;nr_MStartP1,$M$184,$N$184)))</f>
        <v/>
      </c>
      <c r="U189" s="95">
        <f>IF($L$184,$T189,$N189)</f>
        <v/>
      </c>
    </row>
    <row r="190">
      <c r="A190" s="90" t="n">
        <v>4</v>
      </c>
      <c r="B190" s="91">
        <f>EDATE($B189,1)</f>
        <v/>
      </c>
      <c r="C190" s="92">
        <f>EOMONTH($B190,0)</f>
        <v/>
      </c>
      <c r="D190" s="87">
        <f>$C190-$B190+1</f>
        <v/>
      </c>
      <c r="E190" s="87">
        <f>MONTH($B190)</f>
        <v/>
      </c>
      <c r="F190" s="93">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$N190*IF($O$184=1,$O190/$F$184,1)</f>
        <v/>
      </c>
      <c r="T190" s="95">
        <f>IF($G190&lt;nr_MStartP,$S190,$T178*(1+IF($G190&lt;nr_MStartP1,$M$184,$N$184)))</f>
        <v/>
      </c>
      <c r="U190" s="95">
        <f>IF($L$184,$T190,$N190)</f>
        <v/>
      </c>
    </row>
    <row r="191">
      <c r="A191" s="90" t="n">
        <v>5</v>
      </c>
      <c r="B191" s="91">
        <f>EDATE($B190,1)</f>
        <v/>
      </c>
      <c r="C191" s="92">
        <f>EOMONTH($B191,0)</f>
        <v/>
      </c>
      <c r="D191" s="87">
        <f>$C191-$B191+1</f>
        <v/>
      </c>
      <c r="E191" s="87">
        <f>MONTH($B191)</f>
        <v/>
      </c>
      <c r="F191" s="93">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$N191*IF($O$184=1,$O191/$F$184,1)</f>
        <v/>
      </c>
      <c r="T191" s="95">
        <f>IF($G191&lt;nr_MStartP,$S191,$T179*(1+IF($G191&lt;nr_MStartP1,$M$184,$N$184)))</f>
        <v/>
      </c>
      <c r="U191" s="95">
        <f>IF($L$184,$T191,$N191)</f>
        <v/>
      </c>
    </row>
    <row r="192">
      <c r="A192" s="90" t="n">
        <v>6</v>
      </c>
      <c r="B192" s="91">
        <f>EDATE($B191,1)</f>
        <v/>
      </c>
      <c r="C192" s="92">
        <f>EOMONTH($B192,0)</f>
        <v/>
      </c>
      <c r="D192" s="87">
        <f>$C192-$B192+1</f>
        <v/>
      </c>
      <c r="E192" s="87">
        <f>MONTH($B192)</f>
        <v/>
      </c>
      <c r="F192" s="93">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$N192*IF($O$184=1,$O192/$F$184,1)</f>
        <v/>
      </c>
      <c r="T192" s="95">
        <f>IF($G192&lt;nr_MStartP,$S192,$T180*(1+IF($G192&lt;nr_MStartP1,$M$184,$N$184)))</f>
        <v/>
      </c>
      <c r="U192" s="95">
        <f>IF($L$184,$T192,$N192)</f>
        <v/>
      </c>
    </row>
    <row r="193">
      <c r="A193" s="90" t="n">
        <v>7</v>
      </c>
      <c r="B193" s="91">
        <f>EDATE($B192,1)</f>
        <v/>
      </c>
      <c r="C193" s="92">
        <f>EOMONTH($B193,0)</f>
        <v/>
      </c>
      <c r="D193" s="87">
        <f>$C193-$B193+1</f>
        <v/>
      </c>
      <c r="E193" s="87">
        <f>MONTH($B193)</f>
        <v/>
      </c>
      <c r="F193" s="93">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$N193*IF($O$184=1,$O193/$F$184,1)</f>
        <v/>
      </c>
      <c r="T193" s="95">
        <f>IF($G193&lt;nr_MStartP,$S193,$T181*(1+IF($G193&lt;nr_MStartP1,$M$184,$N$184)))</f>
        <v/>
      </c>
      <c r="U193" s="95">
        <f>IF($L$184,$T193,$N193)</f>
        <v/>
      </c>
    </row>
    <row r="194">
      <c r="A194" s="90" t="n">
        <v>8</v>
      </c>
      <c r="B194" s="91">
        <f>EDATE($B193,1)</f>
        <v/>
      </c>
      <c r="C194" s="92">
        <f>EOMONTH($B194,0)</f>
        <v/>
      </c>
      <c r="D194" s="87">
        <f>$C194-$B194+1</f>
        <v/>
      </c>
      <c r="E194" s="87">
        <f>MONTH($B194)</f>
        <v/>
      </c>
      <c r="F194" s="93">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$N194*IF($O$184=1,$O194/$F$184,1)</f>
        <v/>
      </c>
      <c r="T194" s="95">
        <f>IF($G194&lt;nr_MStartP,$S194,$T182*(1+IF($G194&lt;nr_MStartP1,$M$184,$N$184)))</f>
        <v/>
      </c>
      <c r="U194" s="95">
        <f>IF($L$184,$T194,$N194)</f>
        <v/>
      </c>
    </row>
    <row r="195">
      <c r="A195" s="90" t="n">
        <v>9</v>
      </c>
      <c r="B195" s="91">
        <f>EDATE($B194,1)</f>
        <v/>
      </c>
      <c r="C195" s="92">
        <f>EOMONTH($B195,0)</f>
        <v/>
      </c>
      <c r="D195" s="87">
        <f>$C195-$B195+1</f>
        <v/>
      </c>
      <c r="E195" s="87">
        <f>MONTH($B195)</f>
        <v/>
      </c>
      <c r="F195" s="93">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$N195*IF($O$184=1,$O195/$F$184,1)</f>
        <v/>
      </c>
      <c r="T195" s="95">
        <f>IF($G195&lt;nr_MStartP,$S195,$T183*(1+IF($G195&lt;nr_MStartP1,$M$184,$N$184)))</f>
        <v/>
      </c>
      <c r="U195" s="95">
        <f>IF($L$184,$T195,$N195)</f>
        <v/>
      </c>
    </row>
    <row r="196">
      <c r="A196" s="90" t="n">
        <v>10</v>
      </c>
      <c r="B196" s="91">
        <f>EDATE($B195,1)</f>
        <v/>
      </c>
      <c r="C196" s="92">
        <f>EOMONTH($B196,0)</f>
        <v/>
      </c>
      <c r="D196" s="87">
        <f>$C196-$B196+1</f>
        <v/>
      </c>
      <c r="E196" s="87">
        <f>MONTH($B196)</f>
        <v/>
      </c>
      <c r="F196" s="93">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$N196*IF($O$184=1,$O196/$F$184,1)</f>
        <v/>
      </c>
      <c r="T196" s="95">
        <f>IF($G196&lt;nr_MStartP,$S196,$T184*(1+IF($G196&lt;nr_MStartP1,$M$184,$N$184)))</f>
        <v/>
      </c>
      <c r="U196" s="95">
        <f>IF($L$184,$T196,$N196)</f>
        <v/>
      </c>
    </row>
    <row r="197">
      <c r="A197" s="90" t="n">
        <v>11</v>
      </c>
      <c r="B197" s="91">
        <f>EDATE($B196,1)</f>
        <v/>
      </c>
      <c r="C197" s="92">
        <f>EOMONTH($B197,0)</f>
        <v/>
      </c>
      <c r="D197" s="87">
        <f>$C197-$B197+1</f>
        <v/>
      </c>
      <c r="E197" s="87">
        <f>MONTH($B197)</f>
        <v/>
      </c>
      <c r="F197" s="93">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$N197*IF($O$184=1,$O197/$F$184,1)</f>
        <v/>
      </c>
      <c r="T197" s="95">
        <f>IF($G197&lt;nr_MStartP,$S197,$T185*(1+IF($G197&lt;nr_MStartP1,$M$184,$N$184)))</f>
        <v/>
      </c>
      <c r="U197" s="95">
        <f>IF($L$184,$T197,$N197)</f>
        <v/>
      </c>
    </row>
    <row r="198">
      <c r="A198" s="90" t="n">
        <v>12</v>
      </c>
      <c r="B198" s="91">
        <f>EDATE($B197,1)</f>
        <v/>
      </c>
      <c r="C198" s="92">
        <f>EOMONTH($B198,0)</f>
        <v/>
      </c>
      <c r="D198" s="87">
        <f>$C198-$B198+1</f>
        <v/>
      </c>
      <c r="E198" s="87">
        <f>MONTH($B198)</f>
        <v/>
      </c>
      <c r="F198" s="93">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$N198*IF($O$184=1,$O198/$F$184,1)</f>
        <v/>
      </c>
      <c r="T198" s="95">
        <f>IF($G198&lt;nr_MStartP,$S198,$T186*(1+IF($G198&lt;nr_MStartP1,$M$184,$N$184)))</f>
        <v/>
      </c>
      <c r="U198" s="95">
        <f>IF($L$184,$T198,$N198)</f>
        <v/>
      </c>
    </row>
    <row r="199">
      <c r="A199" s="90" t="n">
        <v>13</v>
      </c>
      <c r="B199" s="91">
        <f>EDATE($B198,1)</f>
        <v/>
      </c>
      <c r="C199" s="92">
        <f>EOMONTH($B199,0)</f>
        <v/>
      </c>
      <c r="D199" s="87">
        <f>$C199-$B199+1</f>
        <v/>
      </c>
      <c r="E199" s="87">
        <f>MONTH($B199)</f>
        <v/>
      </c>
      <c r="F199" s="93">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$N199*IF($O$184=1,$O199/$F$184,1)</f>
        <v/>
      </c>
      <c r="T199" s="95">
        <f>IF($G199&lt;nr_MStartP,$S199,$T187*(1+IF($G199&lt;nr_MStartP1,$M$184,$N$184)))</f>
        <v/>
      </c>
      <c r="U199" s="95">
        <f>IF($L$184,$T199,$N199)</f>
        <v/>
      </c>
    </row>
    <row r="200">
      <c r="A200" s="90" t="n">
        <v>14</v>
      </c>
      <c r="B200" s="91">
        <f>EDATE($B199,1)</f>
        <v/>
      </c>
      <c r="C200" s="92">
        <f>EOMONTH($B200,0)</f>
        <v/>
      </c>
      <c r="D200" s="87">
        <f>$C200-$B200+1</f>
        <v/>
      </c>
      <c r="E200" s="87">
        <f>MONTH($B200)</f>
        <v/>
      </c>
      <c r="F200" s="93">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$N200*IF($O$184=1,$O200/$F$184,1)</f>
        <v/>
      </c>
      <c r="T200" s="95">
        <f>IF($G200&lt;nr_MStartP,$S200,$T188*(1+IF($G200&lt;nr_MStartP1,$M$184,$N$184)))</f>
        <v/>
      </c>
      <c r="U200" s="95">
        <f>IF($L$184,$T200,$N200)</f>
        <v/>
      </c>
    </row>
    <row r="201">
      <c r="A201" s="90" t="n">
        <v>15</v>
      </c>
      <c r="B201" s="91">
        <f>EDATE($B200,1)</f>
        <v/>
      </c>
      <c r="C201" s="92">
        <f>EOMONTH($B201,0)</f>
        <v/>
      </c>
      <c r="D201" s="87">
        <f>$C201-$B201+1</f>
        <v/>
      </c>
      <c r="E201" s="87">
        <f>MONTH($B201)</f>
        <v/>
      </c>
      <c r="F201" s="93">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$N201*IF($O$184=1,$O201/$F$184,1)</f>
        <v/>
      </c>
      <c r="T201" s="95">
        <f>IF($G201&lt;nr_MStartP,$S201,$T189*(1+IF($G201&lt;nr_MStartP1,$M$184,$N$184)))</f>
        <v/>
      </c>
      <c r="U201" s="95">
        <f>IF($L$184,$T201,$N201)</f>
        <v/>
      </c>
    </row>
    <row r="202">
      <c r="A202" s="90" t="n">
        <v>16</v>
      </c>
      <c r="B202" s="91">
        <f>EDATE($B201,1)</f>
        <v/>
      </c>
      <c r="C202" s="92">
        <f>EOMONTH($B202,0)</f>
        <v/>
      </c>
      <c r="D202" s="87">
        <f>$C202-$B202+1</f>
        <v/>
      </c>
      <c r="E202" s="87">
        <f>MONTH($B202)</f>
        <v/>
      </c>
      <c r="F202" s="93">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$N202*IF($O$184=1,$O202/$F$184,1)</f>
        <v/>
      </c>
      <c r="T202" s="95">
        <f>IF($G202&lt;nr_MStartP,$S202,$T190*(1+IF($G202&lt;nr_MStartP1,$M$184,$N$184)))</f>
        <v/>
      </c>
      <c r="U202" s="95">
        <f>IF($L$184,$T202,$N202)</f>
        <v/>
      </c>
    </row>
    <row r="203">
      <c r="A203" s="90" t="n">
        <v>17</v>
      </c>
      <c r="B203" s="91">
        <f>EDATE($B202,1)</f>
        <v/>
      </c>
      <c r="C203" s="92">
        <f>EOMONTH($B203,0)</f>
        <v/>
      </c>
      <c r="D203" s="87">
        <f>$C203-$B203+1</f>
        <v/>
      </c>
      <c r="E203" s="87">
        <f>MONTH($B203)</f>
        <v/>
      </c>
      <c r="F203" s="93">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$N203*IF($O$184=1,$O203/$F$184,1)</f>
        <v/>
      </c>
      <c r="T203" s="95">
        <f>IF($G203&lt;nr_MStartP,$S203,$T191*(1+IF($G203&lt;nr_MStartP1,$M$184,$N$184)))</f>
        <v/>
      </c>
      <c r="U203" s="95">
        <f>IF($L$184,$T203,$N203)</f>
        <v/>
      </c>
    </row>
    <row r="204">
      <c r="A204" s="90" t="n">
        <v>18</v>
      </c>
      <c r="B204" s="91">
        <f>EDATE($B203,1)</f>
        <v/>
      </c>
      <c r="C204" s="92">
        <f>EOMONTH($B204,0)</f>
        <v/>
      </c>
      <c r="D204" s="87">
        <f>$C204-$B204+1</f>
        <v/>
      </c>
      <c r="E204" s="87">
        <f>MONTH($B204)</f>
        <v/>
      </c>
      <c r="F204" s="93">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$N204*IF($O$184=1,$O204/$F$184,1)</f>
        <v/>
      </c>
      <c r="T204" s="95">
        <f>IF($G204&lt;nr_MStartP,$S204,$T192*(1+IF($G204&lt;nr_MStartP1,$M$184,$N$184)))</f>
        <v/>
      </c>
      <c r="U204" s="95">
        <f>IF($L$184,$T204,$N204)</f>
        <v/>
      </c>
    </row>
    <row r="205">
      <c r="A205" s="90" t="n">
        <v>19</v>
      </c>
      <c r="B205" s="91">
        <f>EDATE($B204,1)</f>
        <v/>
      </c>
      <c r="C205" s="92">
        <f>EOMONTH($B205,0)</f>
        <v/>
      </c>
      <c r="D205" s="87">
        <f>$C205-$B205+1</f>
        <v/>
      </c>
      <c r="E205" s="87">
        <f>MONTH($B205)</f>
        <v/>
      </c>
      <c r="F205" s="93">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$N205*IF($O$184=1,$O205/$F$184,1)</f>
        <v/>
      </c>
      <c r="T205" s="95">
        <f>IF($G205&lt;nr_MStartP,$S205,$T193*(1+IF($G205&lt;nr_MStartP1,$M$184,$N$184)))</f>
        <v/>
      </c>
      <c r="U205" s="95">
        <f>IF($L$184,$T205,$N205)</f>
        <v/>
      </c>
    </row>
    <row r="206">
      <c r="A206" s="90" t="n">
        <v>20</v>
      </c>
      <c r="B206" s="91">
        <f>EDATE($B205,1)</f>
        <v/>
      </c>
      <c r="C206" s="92">
        <f>EOMONTH($B206,0)</f>
        <v/>
      </c>
      <c r="D206" s="87">
        <f>$C206-$B206+1</f>
        <v/>
      </c>
      <c r="E206" s="87">
        <f>MONTH($B206)</f>
        <v/>
      </c>
      <c r="F206" s="93">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$N206*IF($O$184=1,$O206/$F$184,1)</f>
        <v/>
      </c>
      <c r="T206" s="95">
        <f>IF($G206&lt;nr_MStartP,$S206,$T194*(1+IF($G206&lt;nr_MStartP1,$M$184,$N$184)))</f>
        <v/>
      </c>
      <c r="U206" s="95">
        <f>IF($L$184,$T206,$N206)</f>
        <v/>
      </c>
    </row>
    <row r="207">
      <c r="A207" s="90" t="n">
        <v>21</v>
      </c>
      <c r="B207" s="91">
        <f>EDATE($B206,1)</f>
        <v/>
      </c>
      <c r="C207" s="92">
        <f>EOMONTH($B207,0)</f>
        <v/>
      </c>
      <c r="D207" s="87">
        <f>$C207-$B207+1</f>
        <v/>
      </c>
      <c r="E207" s="87">
        <f>MONTH($B207)</f>
        <v/>
      </c>
      <c r="F207" s="93">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$N207*IF($O$184=1,$O207/$F$184,1)</f>
        <v/>
      </c>
      <c r="T207" s="95">
        <f>IF($G207&lt;nr_MStartP,$S207,$T195*(1+IF($G207&lt;nr_MStartP1,$M$184,$N$184)))</f>
        <v/>
      </c>
      <c r="U207" s="95">
        <f>IF($L$184,$T207,$N207)</f>
        <v/>
      </c>
    </row>
    <row r="208">
      <c r="A208" s="90" t="n">
        <v>22</v>
      </c>
      <c r="B208" s="91">
        <f>EDATE($B207,1)</f>
        <v/>
      </c>
      <c r="C208" s="92">
        <f>EOMONTH($B208,0)</f>
        <v/>
      </c>
      <c r="D208" s="87">
        <f>$C208-$B208+1</f>
        <v/>
      </c>
      <c r="E208" s="87">
        <f>MONTH($B208)</f>
        <v/>
      </c>
      <c r="F208" s="93">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$N208*IF($O$184=1,$O208/$F$184,1)</f>
        <v/>
      </c>
      <c r="T208" s="95">
        <f>IF($G208&lt;nr_MStartP,$S208,$T196*(1+IF($G208&lt;nr_MStartP1,$M$184,$N$184)))</f>
        <v/>
      </c>
      <c r="U208" s="95">
        <f>IF($L$184,$T208,$N208)</f>
        <v/>
      </c>
    </row>
    <row r="209">
      <c r="A209" s="90" t="n">
        <v>23</v>
      </c>
      <c r="B209" s="91">
        <f>EDATE($B208,1)</f>
        <v/>
      </c>
      <c r="C209" s="92">
        <f>EOMONTH($B209,0)</f>
        <v/>
      </c>
      <c r="D209" s="87">
        <f>$C209-$B209+1</f>
        <v/>
      </c>
      <c r="E209" s="87">
        <f>MONTH($B209)</f>
        <v/>
      </c>
      <c r="F209" s="93">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$N209*IF($O$184=1,$O209/$F$184,1)</f>
        <v/>
      </c>
      <c r="T209" s="95">
        <f>IF($G209&lt;nr_MStartP,$S209,$T197*(1+IF($G209&lt;nr_MStartP1,$M$184,$N$184)))</f>
        <v/>
      </c>
      <c r="U209" s="95">
        <f>IF($L$184,$T209,$N209)</f>
        <v/>
      </c>
    </row>
    <row r="210">
      <c r="A210" s="90" t="n">
        <v>24</v>
      </c>
      <c r="B210" s="91">
        <f>EDATE($B209,1)</f>
        <v/>
      </c>
      <c r="C210" s="92">
        <f>EOMONTH($B210,0)</f>
        <v/>
      </c>
      <c r="D210" s="87">
        <f>$C210-$B210+1</f>
        <v/>
      </c>
      <c r="E210" s="87">
        <f>MONTH($B210)</f>
        <v/>
      </c>
      <c r="F210" s="93">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$N210*IF($O$184=1,$O210/$F$184,1)</f>
        <v/>
      </c>
      <c r="T210" s="95">
        <f>IF($G210&lt;nr_MStartP,$S210,$T198*(1+IF($G210&lt;nr_MStartP1,$M$184,$N$184)))</f>
        <v/>
      </c>
      <c r="U210" s="95">
        <f>IF($L$184,$T210,$N210)</f>
        <v/>
      </c>
    </row>
    <row r="211">
      <c r="A211" s="90" t="n">
        <v>25</v>
      </c>
      <c r="B211" s="91">
        <f>EDATE($B210,1)</f>
        <v/>
      </c>
      <c r="C211" s="92">
        <f>EOMONTH($B211,0)</f>
        <v/>
      </c>
      <c r="D211" s="87">
        <f>$C211-$B211+1</f>
        <v/>
      </c>
      <c r="E211" s="87">
        <f>MONTH($B211)</f>
        <v/>
      </c>
      <c r="F211" s="93">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$N211*IF($O$184=1,$O211/$F$184,1)</f>
        <v/>
      </c>
      <c r="T211" s="95">
        <f>IF($G211&lt;nr_MStartP,$S211,$T199*(1+IF($G211&lt;nr_MStartP1,$M$184,$N$184)))</f>
        <v/>
      </c>
      <c r="U211" s="95">
        <f>IF($L$184,$T211,$N211)</f>
        <v/>
      </c>
    </row>
    <row r="212">
      <c r="A212" s="90" t="n">
        <v>26</v>
      </c>
      <c r="B212" s="91">
        <f>EDATE($B211,1)</f>
        <v/>
      </c>
      <c r="C212" s="92">
        <f>EOMONTH($B212,0)</f>
        <v/>
      </c>
      <c r="D212" s="87">
        <f>$C212-$B212+1</f>
        <v/>
      </c>
      <c r="E212" s="87">
        <f>MONTH($B212)</f>
        <v/>
      </c>
      <c r="F212" s="93">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$N212*IF($O$184=1,$O212/$F$184,1)</f>
        <v/>
      </c>
      <c r="T212" s="95">
        <f>IF($G212&lt;nr_MStartP,$S212,$T200*(1+IF($G212&lt;nr_MStartP1,$M$184,$N$184)))</f>
        <v/>
      </c>
      <c r="U212" s="95">
        <f>IF($L$184,$T212,$N212)</f>
        <v/>
      </c>
    </row>
    <row r="213">
      <c r="A213" s="90" t="n">
        <v>27</v>
      </c>
      <c r="B213" s="91">
        <f>EDATE($B212,1)</f>
        <v/>
      </c>
      <c r="C213" s="92">
        <f>EOMONTH($B213,0)</f>
        <v/>
      </c>
      <c r="D213" s="87">
        <f>$C213-$B213+1</f>
        <v/>
      </c>
      <c r="E213" s="87">
        <f>MONTH($B213)</f>
        <v/>
      </c>
      <c r="F213" s="93">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$N213*IF($O$184=1,$O213/$F$184,1)</f>
        <v/>
      </c>
      <c r="T213" s="95">
        <f>IF($G213&lt;nr_MStartP,$S213,$T201*(1+IF($G213&lt;nr_MStartP1,$M$184,$N$184)))</f>
        <v/>
      </c>
      <c r="U213" s="95">
        <f>IF($L$184,$T213,$N213)</f>
        <v/>
      </c>
    </row>
    <row r="214">
      <c r="A214" s="90" t="n">
        <v>28</v>
      </c>
      <c r="B214" s="91">
        <f>EDATE($B213,1)</f>
        <v/>
      </c>
      <c r="C214" s="92">
        <f>EOMONTH($B214,0)</f>
        <v/>
      </c>
      <c r="D214" s="87">
        <f>$C214-$B214+1</f>
        <v/>
      </c>
      <c r="E214" s="87">
        <f>MONTH($B214)</f>
        <v/>
      </c>
      <c r="F214" s="93">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$N214*IF($O$184=1,$O214/$F$184,1)</f>
        <v/>
      </c>
      <c r="T214" s="95">
        <f>IF($G214&lt;nr_MStartP,$S214,$T202*(1+IF($G214&lt;nr_MStartP1,$M$184,$N$184)))</f>
        <v/>
      </c>
      <c r="U214" s="95">
        <f>IF($L$184,$T214,$N214)</f>
        <v/>
      </c>
    </row>
    <row r="215">
      <c r="A215" s="90" t="n">
        <v>29</v>
      </c>
      <c r="B215" s="91">
        <f>EDATE($B214,1)</f>
        <v/>
      </c>
      <c r="C215" s="92">
        <f>EOMONTH($B215,0)</f>
        <v/>
      </c>
      <c r="D215" s="87">
        <f>$C215-$B215+1</f>
        <v/>
      </c>
      <c r="E215" s="87">
        <f>MONTH($B215)</f>
        <v/>
      </c>
      <c r="F215" s="93">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$N215*IF($O$184=1,$O215/$F$184,1)</f>
        <v/>
      </c>
      <c r="T215" s="95">
        <f>IF($G215&lt;nr_MStartP,$S215,$T203*(1+IF($G215&lt;nr_MStartP1,$M$184,$N$184)))</f>
        <v/>
      </c>
      <c r="U215" s="95">
        <f>IF($L$184,$T215,$N215)</f>
        <v/>
      </c>
    </row>
    <row r="216">
      <c r="A216" s="90" t="n">
        <v>30</v>
      </c>
      <c r="B216" s="91">
        <f>EDATE($B215,1)</f>
        <v/>
      </c>
      <c r="C216" s="92">
        <f>EOMONTH($B216,0)</f>
        <v/>
      </c>
      <c r="D216" s="87">
        <f>$C216-$B216+1</f>
        <v/>
      </c>
      <c r="E216" s="87">
        <f>MONTH($B216)</f>
        <v/>
      </c>
      <c r="F216" s="93">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$N216*IF($O$184=1,$O216/$F$184,1)</f>
        <v/>
      </c>
      <c r="T216" s="95">
        <f>IF($G216&lt;nr_MStartP,$S216,$T204*(1+IF($G216&lt;nr_MStartP1,$M$184,$N$184)))</f>
        <v/>
      </c>
      <c r="U216" s="95">
        <f>IF($L$184,$T216,$N216)</f>
        <v/>
      </c>
    </row>
    <row r="217">
      <c r="A217" s="90" t="n">
        <v>31</v>
      </c>
      <c r="B217" s="91">
        <f>EDATE($B216,1)</f>
        <v/>
      </c>
      <c r="C217" s="92">
        <f>EOMONTH($B217,0)</f>
        <v/>
      </c>
      <c r="D217" s="87">
        <f>$C217-$B217+1</f>
        <v/>
      </c>
      <c r="E217" s="87">
        <f>MONTH($B217)</f>
        <v/>
      </c>
      <c r="F217" s="93">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$N217*IF($O$184=1,$O217/$F$184,1)</f>
        <v/>
      </c>
      <c r="T217" s="95">
        <f>IF($G217&lt;nr_MStartP,$S217,$T205*(1+IF($G217&lt;nr_MStartP1,$M$184,$N$184)))</f>
        <v/>
      </c>
      <c r="U217" s="95">
        <f>IF($L$184,$T217,$N217)</f>
        <v/>
      </c>
    </row>
    <row r="218">
      <c r="A218" s="90" t="n">
        <v>32</v>
      </c>
      <c r="B218" s="91">
        <f>EDATE($B217,1)</f>
        <v/>
      </c>
      <c r="C218" s="92">
        <f>EOMONTH($B218,0)</f>
        <v/>
      </c>
      <c r="D218" s="87">
        <f>$C218-$B218+1</f>
        <v/>
      </c>
      <c r="E218" s="87">
        <f>MONTH($B218)</f>
        <v/>
      </c>
      <c r="F218" s="93">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$N218*IF($O$184=1,$O218/$F$184,1)</f>
        <v/>
      </c>
      <c r="T218" s="95">
        <f>IF($G218&lt;nr_MStartP,$S218,$T206*(1+IF($G218&lt;nr_MStartP1,$M$184,$N$184)))</f>
        <v/>
      </c>
      <c r="U218" s="95">
        <f>IF($L$184,$T218,$N218)</f>
        <v/>
      </c>
    </row>
    <row r="219">
      <c r="A219" s="90" t="n">
        <v>33</v>
      </c>
      <c r="B219" s="91">
        <f>EDATE($B218,1)</f>
        <v/>
      </c>
      <c r="C219" s="92">
        <f>EOMONTH($B219,0)</f>
        <v/>
      </c>
      <c r="D219" s="87">
        <f>$C219-$B219+1</f>
        <v/>
      </c>
      <c r="E219" s="87">
        <f>MONTH($B219)</f>
        <v/>
      </c>
      <c r="F219" s="93">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$N219*IF($O$184=1,$O219/$F$184,1)</f>
        <v/>
      </c>
      <c r="T219" s="95">
        <f>IF($G219&lt;nr_MStartP,$S219,$T207*(1+IF($G219&lt;nr_MStartP1,$M$184,$N$184)))</f>
        <v/>
      </c>
      <c r="U219" s="95">
        <f>IF($L$184,$T219,$N219)</f>
        <v/>
      </c>
    </row>
    <row r="220">
      <c r="A220" s="90" t="n">
        <v>34</v>
      </c>
      <c r="B220" s="91">
        <f>EDATE($B219,1)</f>
        <v/>
      </c>
      <c r="C220" s="92">
        <f>EOMONTH($B220,0)</f>
        <v/>
      </c>
      <c r="D220" s="87">
        <f>$C220-$B220+1</f>
        <v/>
      </c>
      <c r="E220" s="87">
        <f>MONTH($B220)</f>
        <v/>
      </c>
      <c r="F220" s="93">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$N220*IF($O$184=1,$O220/$F$184,1)</f>
        <v/>
      </c>
      <c r="T220" s="95">
        <f>IF($G220&lt;nr_MStartP,$S220,$T208*(1+IF($G220&lt;nr_MStartP1,$M$184,$N$184)))</f>
        <v/>
      </c>
      <c r="U220" s="95">
        <f>IF($L$184,$T220,$N220)</f>
        <v/>
      </c>
    </row>
    <row r="221">
      <c r="A221" s="90" t="n">
        <v>35</v>
      </c>
      <c r="B221" s="91">
        <f>EDATE($B220,1)</f>
        <v/>
      </c>
      <c r="C221" s="92">
        <f>EOMONTH($B221,0)</f>
        <v/>
      </c>
      <c r="D221" s="87">
        <f>$C221-$B221+1</f>
        <v/>
      </c>
      <c r="E221" s="87">
        <f>MONTH($B221)</f>
        <v/>
      </c>
      <c r="F221" s="93">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$N221*IF($O$184=1,$O221/$F$184,1)</f>
        <v/>
      </c>
      <c r="T221" s="95">
        <f>IF($G221&lt;nr_MStartP,$S221,$T209*(1+IF($G221&lt;nr_MStartP1,$M$184,$N$184)))</f>
        <v/>
      </c>
      <c r="U221" s="95">
        <f>IF($L$184,$T221,$N221)</f>
        <v/>
      </c>
    </row>
    <row r="222">
      <c r="A222" s="90" t="n">
        <v>36</v>
      </c>
      <c r="B222" s="91">
        <f>EDATE($B221,1)</f>
        <v/>
      </c>
      <c r="C222" s="92">
        <f>EOMONTH($B222,0)</f>
        <v/>
      </c>
      <c r="D222" s="87">
        <f>$C222-$B222+1</f>
        <v/>
      </c>
      <c r="E222" s="87">
        <f>MONTH($B222)</f>
        <v/>
      </c>
      <c r="F222" s="93">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$N222*IF($O$184=1,$O222/$F$184,1)</f>
        <v/>
      </c>
      <c r="T222" s="95">
        <f>IF($G222&lt;nr_MStartP,$S222,$T210*(1+IF($G222&lt;nr_MStartP1,$M$184,$N$184)))</f>
        <v/>
      </c>
      <c r="U222" s="95">
        <f>IF($L$184,$T222,$N222)</f>
        <v/>
      </c>
    </row>
    <row r="223">
      <c r="A223" s="90" t="n">
        <v>37</v>
      </c>
      <c r="B223" s="91">
        <f>EDATE($B222,1)</f>
        <v/>
      </c>
      <c r="C223" s="92">
        <f>EOMONTH($B223,0)</f>
        <v/>
      </c>
      <c r="D223" s="87">
        <f>$C223-$B223+1</f>
        <v/>
      </c>
      <c r="E223" s="87">
        <f>MONTH($B223)</f>
        <v/>
      </c>
      <c r="F223" s="93">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$N223*IF($O$184=1,$O223/$F$184,1)</f>
        <v/>
      </c>
      <c r="T223" s="95">
        <f>IF($G223&lt;nr_MStartP,$S223,$T211*(1+IF($G223&lt;nr_MStartP1,$M$184,$N$184)))</f>
        <v/>
      </c>
      <c r="U223" s="95">
        <f>IF($L$184,$T223,$N223)</f>
        <v/>
      </c>
    </row>
    <row r="224">
      <c r="A224" s="90" t="n">
        <v>38</v>
      </c>
      <c r="B224" s="91">
        <f>EDATE($B223,1)</f>
        <v/>
      </c>
      <c r="C224" s="92">
        <f>EOMONTH($B224,0)</f>
        <v/>
      </c>
      <c r="D224" s="87">
        <f>$C224-$B224+1</f>
        <v/>
      </c>
      <c r="E224" s="87">
        <f>MONTH($B224)</f>
        <v/>
      </c>
      <c r="F224" s="93">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$N224*IF($O$184=1,$O224/$F$184,1)</f>
        <v/>
      </c>
      <c r="T224" s="95">
        <f>IF($G224&lt;nr_MStartP,$S224,$T212*(1+IF($G224&lt;nr_MStartP1,$M$184,$N$184)))</f>
        <v/>
      </c>
      <c r="U224" s="95">
        <f>IF($L$184,$T224,$N224)</f>
        <v/>
      </c>
    </row>
    <row r="225">
      <c r="A225" s="90" t="n">
        <v>39</v>
      </c>
      <c r="B225" s="91">
        <f>EDATE($B224,1)</f>
        <v/>
      </c>
      <c r="C225" s="92">
        <f>EOMONTH($B225,0)</f>
        <v/>
      </c>
      <c r="D225" s="87">
        <f>$C225-$B225+1</f>
        <v/>
      </c>
      <c r="E225" s="87">
        <f>MONTH($B225)</f>
        <v/>
      </c>
      <c r="F225" s="93">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$N225*IF($O$184=1,$O225/$F$184,1)</f>
        <v/>
      </c>
      <c r="T225" s="95">
        <f>IF($G225&lt;nr_MStartP,$S225,$T213*(1+IF($G225&lt;nr_MStartP1,$M$184,$N$184)))</f>
        <v/>
      </c>
      <c r="U225" s="95">
        <f>IF($L$184,$T225,$N225)</f>
        <v/>
      </c>
    </row>
    <row r="226">
      <c r="A226" s="90" t="n">
        <v>40</v>
      </c>
      <c r="B226" s="91">
        <f>EDATE($B225,1)</f>
        <v/>
      </c>
      <c r="C226" s="92">
        <f>EOMONTH($B226,0)</f>
        <v/>
      </c>
      <c r="D226" s="87">
        <f>$C226-$B226+1</f>
        <v/>
      </c>
      <c r="E226" s="87">
        <f>MONTH($B226)</f>
        <v/>
      </c>
      <c r="F226" s="93">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$N226*IF($O$184=1,$O226/$F$184,1)</f>
        <v/>
      </c>
      <c r="T226" s="95">
        <f>IF($G226&lt;nr_MStartP,$S226,$T214*(1+IF($G226&lt;nr_MStartP1,$M$184,$N$184)))</f>
        <v/>
      </c>
      <c r="U226" s="95">
        <f>IF($L$184,$T226,$N226)</f>
        <v/>
      </c>
    </row>
    <row r="227">
      <c r="A227" s="90" t="n">
        <v>41</v>
      </c>
      <c r="B227" s="91">
        <f>EDATE($B226,1)</f>
        <v/>
      </c>
      <c r="C227" s="92">
        <f>EOMONTH($B227,0)</f>
        <v/>
      </c>
      <c r="D227" s="87">
        <f>$C227-$B227+1</f>
        <v/>
      </c>
      <c r="E227" s="87">
        <f>MONTH($B227)</f>
        <v/>
      </c>
      <c r="F227" s="93">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$N227*IF($O$184=1,$O227/$F$184,1)</f>
        <v/>
      </c>
      <c r="T227" s="95">
        <f>IF($G227&lt;nr_MStartP,$S227,$T215*(1+IF($G227&lt;nr_MStartP1,$M$184,$N$184)))</f>
        <v/>
      </c>
      <c r="U227" s="95">
        <f>IF($L$184,$T227,$N227)</f>
        <v/>
      </c>
    </row>
    <row r="228">
      <c r="A228" s="90" t="n">
        <v>42</v>
      </c>
      <c r="B228" s="91">
        <f>EDATE($B227,1)</f>
        <v/>
      </c>
      <c r="C228" s="92">
        <f>EOMONTH($B228,0)</f>
        <v/>
      </c>
      <c r="D228" s="87">
        <f>$C228-$B228+1</f>
        <v/>
      </c>
      <c r="E228" s="87">
        <f>MONTH($B228)</f>
        <v/>
      </c>
      <c r="F228" s="93">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$N228*IF($O$184=1,$O228/$F$184,1)</f>
        <v/>
      </c>
      <c r="T228" s="95">
        <f>IF($G228&lt;nr_MStartP,$S228,$T216*(1+IF($G228&lt;nr_MStartP1,$M$184,$N$184)))</f>
        <v/>
      </c>
      <c r="U228" s="95">
        <f>IF($L$184,$T228,$N228)</f>
        <v/>
      </c>
    </row>
    <row r="229">
      <c r="A229" s="90" t="n">
        <v>43</v>
      </c>
      <c r="B229" s="91">
        <f>EDATE($B228,1)</f>
        <v/>
      </c>
      <c r="C229" s="92">
        <f>EOMONTH($B229,0)</f>
        <v/>
      </c>
      <c r="D229" s="87">
        <f>$C229-$B229+1</f>
        <v/>
      </c>
      <c r="E229" s="87">
        <f>MONTH($B229)</f>
        <v/>
      </c>
      <c r="F229" s="93">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$N229*IF($O$184=1,$O229/$F$184,1)</f>
        <v/>
      </c>
      <c r="T229" s="95">
        <f>IF($G229&lt;nr_MStartP,$S229,$T217*(1+IF($G229&lt;nr_MStartP1,$M$184,$N$184)))</f>
        <v/>
      </c>
      <c r="U229" s="95">
        <f>IF($L$184,$T229,$N229)</f>
        <v/>
      </c>
    </row>
    <row r="230">
      <c r="A230" s="90" t="n">
        <v>44</v>
      </c>
      <c r="B230" s="91">
        <f>EDATE($B229,1)</f>
        <v/>
      </c>
      <c r="C230" s="92">
        <f>EOMONTH($B230,0)</f>
        <v/>
      </c>
      <c r="D230" s="87">
        <f>$C230-$B230+1</f>
        <v/>
      </c>
      <c r="E230" s="87">
        <f>MONTH($B230)</f>
        <v/>
      </c>
      <c r="F230" s="93">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$N230*IF($O$184=1,$O230/$F$184,1)</f>
        <v/>
      </c>
      <c r="T230" s="95">
        <f>IF($G230&lt;nr_MStartP,$S230,$T218*(1+IF($G230&lt;nr_MStartP1,$M$184,$N$184)))</f>
        <v/>
      </c>
      <c r="U230" s="95">
        <f>IF($L$184,$T230,$N230)</f>
        <v/>
      </c>
    </row>
    <row r="231">
      <c r="A231" s="90" t="n">
        <v>45</v>
      </c>
      <c r="B231" s="91">
        <f>EDATE($B230,1)</f>
        <v/>
      </c>
      <c r="C231" s="92">
        <f>EOMONTH($B231,0)</f>
        <v/>
      </c>
      <c r="D231" s="87">
        <f>$C231-$B231+1</f>
        <v/>
      </c>
      <c r="E231" s="87">
        <f>MONTH($B231)</f>
        <v/>
      </c>
      <c r="F231" s="93">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$N231*IF($O$184=1,$O231/$F$184,1)</f>
        <v/>
      </c>
      <c r="T231" s="95">
        <f>IF($G231&lt;nr_MStartP,$S231,$T219*(1+IF($G231&lt;nr_MStartP1,$M$184,$N$184)))</f>
        <v/>
      </c>
      <c r="U231" s="95">
        <f>IF($L$184,$T231,$N231)</f>
        <v/>
      </c>
    </row>
    <row r="232">
      <c r="A232" s="90" t="n">
        <v>46</v>
      </c>
      <c r="B232" s="91">
        <f>EDATE($B231,1)</f>
        <v/>
      </c>
      <c r="C232" s="92">
        <f>EOMONTH($B232,0)</f>
        <v/>
      </c>
      <c r="D232" s="87">
        <f>$C232-$B232+1</f>
        <v/>
      </c>
      <c r="E232" s="87">
        <f>MONTH($B232)</f>
        <v/>
      </c>
      <c r="F232" s="93">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$N232*IF($O$184=1,$O232/$F$184,1)</f>
        <v/>
      </c>
      <c r="T232" s="95">
        <f>IF($G232&lt;nr_MStartP,$S232,$T220*(1+IF($G232&lt;nr_MStartP1,$M$184,$N$184)))</f>
        <v/>
      </c>
      <c r="U232" s="95">
        <f>IF($L$184,$T232,$N232)</f>
        <v/>
      </c>
    </row>
    <row r="233">
      <c r="A233" s="90" t="n">
        <v>47</v>
      </c>
      <c r="B233" s="91">
        <f>EDATE($B232,1)</f>
        <v/>
      </c>
      <c r="C233" s="92">
        <f>EOMONTH($B233,0)</f>
        <v/>
      </c>
      <c r="D233" s="87">
        <f>$C233-$B233+1</f>
        <v/>
      </c>
      <c r="E233" s="87">
        <f>MONTH($B233)</f>
        <v/>
      </c>
      <c r="F233" s="93">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$N233*IF($O$184=1,$O233/$F$184,1)</f>
        <v/>
      </c>
      <c r="T233" s="95">
        <f>IF($G233&lt;nr_MStartP,$S233,$T221*(1+IF($G233&lt;nr_MStartP1,$M$184,$N$184)))</f>
        <v/>
      </c>
      <c r="U233" s="95">
        <f>IF($L$184,$T233,$N233)</f>
        <v/>
      </c>
    </row>
    <row r="234">
      <c r="A234" s="90" t="n">
        <v>48</v>
      </c>
      <c r="B234" s="91">
        <f>EDATE($B233,1)</f>
        <v/>
      </c>
      <c r="C234" s="92">
        <f>EOMONTH($B234,0)</f>
        <v/>
      </c>
      <c r="D234" s="87">
        <f>$C234-$B234+1</f>
        <v/>
      </c>
      <c r="E234" s="87">
        <f>MONTH($B234)</f>
        <v/>
      </c>
      <c r="F234" s="93">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$N234*IF($O$184=1,$O234/$F$184,1)</f>
        <v/>
      </c>
      <c r="T234" s="95">
        <f>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04">
        <f>SUMPRODUCT($H$187:$H$234,$Q$187:$Q$234,$O$187:$O$234)/SUMPRODUCT($H$187:$H$234,$Q$187:$Q$234)</f>
        <v/>
      </c>
      <c r="G235" s="20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04">
        <f>IF(N(INDEX(lr_mind,4))=0,1,INDEX(lr_mind,4))</f>
        <v/>
      </c>
      <c r="G238" s="204">
        <f>IF(N(INDEX(lr_m0,4))=0,1,INDEX(lr_m0,4))</f>
        <v/>
      </c>
      <c r="H238" s="73">
        <f>IF(N(INDEX(lr_m0asof,4))=0,DATE(nr_PlanYear-1,10,1),INDEX(lr_m0asof,4))</f>
        <v/>
      </c>
      <c r="I238" s="204">
        <f>IF(N(INDEX(lr_m1,4))=0,1,INDEX(lr_m1,4))</f>
        <v/>
      </c>
      <c r="J238" s="204">
        <f>INDEX(lr_mprior,4)</f>
        <v/>
      </c>
      <c r="K238" s="20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93">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$N241*IF($O$238=1,$O241/$F$238,1)</f>
        <v/>
      </c>
      <c r="T241" s="95">
        <f>IF($G241&lt;nr_MStartP,$S241,$T229*(1+IF($G241&lt;nr_MStartP1,$M$238,$N$238)))</f>
        <v/>
      </c>
      <c r="U241" s="95">
        <f>IF($L$238,$T241,$N241)</f>
        <v/>
      </c>
    </row>
    <row r="242">
      <c r="A242" s="90" t="n">
        <v>2</v>
      </c>
      <c r="B242" s="91">
        <f>EDATE($B241,1)</f>
        <v/>
      </c>
      <c r="C242" s="92">
        <f>EOMONTH($B242,0)</f>
        <v/>
      </c>
      <c r="D242" s="87">
        <f>$C242-$B242+1</f>
        <v/>
      </c>
      <c r="E242" s="87">
        <f>MONTH($B242)</f>
        <v/>
      </c>
      <c r="F242" s="93">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$N242*IF($O$238=1,$O242/$F$238,1)</f>
        <v/>
      </c>
      <c r="T242" s="95">
        <f>IF($G242&lt;nr_MStartP,$S242,$T230*(1+IF($G242&lt;nr_MStartP1,$M$238,$N$238)))</f>
        <v/>
      </c>
      <c r="U242" s="95">
        <f>IF($L$238,$T242,$N242)</f>
        <v/>
      </c>
    </row>
    <row r="243">
      <c r="A243" s="90" t="n">
        <v>3</v>
      </c>
      <c r="B243" s="91">
        <f>EDATE($B242,1)</f>
        <v/>
      </c>
      <c r="C243" s="92">
        <f>EOMONTH($B243,0)</f>
        <v/>
      </c>
      <c r="D243" s="87">
        <f>$C243-$B243+1</f>
        <v/>
      </c>
      <c r="E243" s="87">
        <f>MONTH($B243)</f>
        <v/>
      </c>
      <c r="F243" s="93">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$N243*IF($O$238=1,$O243/$F$238,1)</f>
        <v/>
      </c>
      <c r="T243" s="95">
        <f>IF($G243&lt;nr_MStartP,$S243,$T231*(1+IF($G243&lt;nr_MStartP1,$M$238,$N$238)))</f>
        <v/>
      </c>
      <c r="U243" s="95">
        <f>IF($L$238,$T243,$N243)</f>
        <v/>
      </c>
    </row>
    <row r="244">
      <c r="A244" s="90" t="n">
        <v>4</v>
      </c>
      <c r="B244" s="91">
        <f>EDATE($B243,1)</f>
        <v/>
      </c>
      <c r="C244" s="92">
        <f>EOMONTH($B244,0)</f>
        <v/>
      </c>
      <c r="D244" s="87">
        <f>$C244-$B244+1</f>
        <v/>
      </c>
      <c r="E244" s="87">
        <f>MONTH($B244)</f>
        <v/>
      </c>
      <c r="F244" s="93">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$N244*IF($O$238=1,$O244/$F$238,1)</f>
        <v/>
      </c>
      <c r="T244" s="95">
        <f>IF($G244&lt;nr_MStartP,$S244,$T232*(1+IF($G244&lt;nr_MStartP1,$M$238,$N$238)))</f>
        <v/>
      </c>
      <c r="U244" s="95">
        <f>IF($L$238,$T244,$N244)</f>
        <v/>
      </c>
    </row>
    <row r="245">
      <c r="A245" s="90" t="n">
        <v>5</v>
      </c>
      <c r="B245" s="91">
        <f>EDATE($B244,1)</f>
        <v/>
      </c>
      <c r="C245" s="92">
        <f>EOMONTH($B245,0)</f>
        <v/>
      </c>
      <c r="D245" s="87">
        <f>$C245-$B245+1</f>
        <v/>
      </c>
      <c r="E245" s="87">
        <f>MONTH($B245)</f>
        <v/>
      </c>
      <c r="F245" s="93">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$N245*IF($O$238=1,$O245/$F$238,1)</f>
        <v/>
      </c>
      <c r="T245" s="95">
        <f>IF($G245&lt;nr_MStartP,$S245,$T233*(1+IF($G245&lt;nr_MStartP1,$M$238,$N$238)))</f>
        <v/>
      </c>
      <c r="U245" s="95">
        <f>IF($L$238,$T245,$N245)</f>
        <v/>
      </c>
    </row>
    <row r="246">
      <c r="A246" s="90" t="n">
        <v>6</v>
      </c>
      <c r="B246" s="91">
        <f>EDATE($B245,1)</f>
        <v/>
      </c>
      <c r="C246" s="92">
        <f>EOMONTH($B246,0)</f>
        <v/>
      </c>
      <c r="D246" s="87">
        <f>$C246-$B246+1</f>
        <v/>
      </c>
      <c r="E246" s="87">
        <f>MONTH($B246)</f>
        <v/>
      </c>
      <c r="F246" s="93">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$N246*IF($O$238=1,$O246/$F$238,1)</f>
        <v/>
      </c>
      <c r="T246" s="95">
        <f>IF($G246&lt;nr_MStartP,$S246,$T234*(1+IF($G246&lt;nr_MStartP1,$M$238,$N$238)))</f>
        <v/>
      </c>
      <c r="U246" s="95">
        <f>IF($L$238,$T246,$N246)</f>
        <v/>
      </c>
    </row>
    <row r="247">
      <c r="A247" s="90" t="n">
        <v>7</v>
      </c>
      <c r="B247" s="91">
        <f>EDATE($B246,1)</f>
        <v/>
      </c>
      <c r="C247" s="92">
        <f>EOMONTH($B247,0)</f>
        <v/>
      </c>
      <c r="D247" s="87">
        <f>$C247-$B247+1</f>
        <v/>
      </c>
      <c r="E247" s="87">
        <f>MONTH($B247)</f>
        <v/>
      </c>
      <c r="F247" s="93">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$N247*IF($O$238=1,$O247/$F$238,1)</f>
        <v/>
      </c>
      <c r="T247" s="95">
        <f>IF($G247&lt;nr_MStartP,$S247,$T235*(1+IF($G247&lt;nr_MStartP1,$M$238,$N$238)))</f>
        <v/>
      </c>
      <c r="U247" s="95">
        <f>IF($L$238,$T247,$N247)</f>
        <v/>
      </c>
    </row>
    <row r="248">
      <c r="A248" s="90" t="n">
        <v>8</v>
      </c>
      <c r="B248" s="91">
        <f>EDATE($B247,1)</f>
        <v/>
      </c>
      <c r="C248" s="92">
        <f>EOMONTH($B248,0)</f>
        <v/>
      </c>
      <c r="D248" s="87">
        <f>$C248-$B248+1</f>
        <v/>
      </c>
      <c r="E248" s="87">
        <f>MONTH($B248)</f>
        <v/>
      </c>
      <c r="F248" s="93">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$N248*IF($O$238=1,$O248/$F$238,1)</f>
        <v/>
      </c>
      <c r="T248" s="95">
        <f>IF($G248&lt;nr_MStartP,$S248,$T236*(1+IF($G248&lt;nr_MStartP1,$M$238,$N$238)))</f>
        <v/>
      </c>
      <c r="U248" s="95">
        <f>IF($L$238,$T248,$N248)</f>
        <v/>
      </c>
    </row>
    <row r="249">
      <c r="A249" s="90" t="n">
        <v>9</v>
      </c>
      <c r="B249" s="91">
        <f>EDATE($B248,1)</f>
        <v/>
      </c>
      <c r="C249" s="92">
        <f>EOMONTH($B249,0)</f>
        <v/>
      </c>
      <c r="D249" s="87">
        <f>$C249-$B249+1</f>
        <v/>
      </c>
      <c r="E249" s="87">
        <f>MONTH($B249)</f>
        <v/>
      </c>
      <c r="F249" s="93">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$N249*IF($O$238=1,$O249/$F$238,1)</f>
        <v/>
      </c>
      <c r="T249" s="95">
        <f>IF($G249&lt;nr_MStartP,$S249,$T237*(1+IF($G249&lt;nr_MStartP1,$M$238,$N$238)))</f>
        <v/>
      </c>
      <c r="U249" s="95">
        <f>IF($L$238,$T249,$N249)</f>
        <v/>
      </c>
    </row>
    <row r="250">
      <c r="A250" s="90" t="n">
        <v>10</v>
      </c>
      <c r="B250" s="91">
        <f>EDATE($B249,1)</f>
        <v/>
      </c>
      <c r="C250" s="92">
        <f>EOMONTH($B250,0)</f>
        <v/>
      </c>
      <c r="D250" s="87">
        <f>$C250-$B250+1</f>
        <v/>
      </c>
      <c r="E250" s="87">
        <f>MONTH($B250)</f>
        <v/>
      </c>
      <c r="F250" s="93">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$N250*IF($O$238=1,$O250/$F$238,1)</f>
        <v/>
      </c>
      <c r="T250" s="95">
        <f>IF($G250&lt;nr_MStartP,$S250,$T238*(1+IF($G250&lt;nr_MStartP1,$M$238,$N$238)))</f>
        <v/>
      </c>
      <c r="U250" s="95">
        <f>IF($L$238,$T250,$N250)</f>
        <v/>
      </c>
    </row>
    <row r="251">
      <c r="A251" s="90" t="n">
        <v>11</v>
      </c>
      <c r="B251" s="91">
        <f>EDATE($B250,1)</f>
        <v/>
      </c>
      <c r="C251" s="92">
        <f>EOMONTH($B251,0)</f>
        <v/>
      </c>
      <c r="D251" s="87">
        <f>$C251-$B251+1</f>
        <v/>
      </c>
      <c r="E251" s="87">
        <f>MONTH($B251)</f>
        <v/>
      </c>
      <c r="F251" s="93">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$N251*IF($O$238=1,$O251/$F$238,1)</f>
        <v/>
      </c>
      <c r="T251" s="95">
        <f>IF($G251&lt;nr_MStartP,$S251,$T239*(1+IF($G251&lt;nr_MStartP1,$M$238,$N$238)))</f>
        <v/>
      </c>
      <c r="U251" s="95">
        <f>IF($L$238,$T251,$N251)</f>
        <v/>
      </c>
    </row>
    <row r="252">
      <c r="A252" s="90" t="n">
        <v>12</v>
      </c>
      <c r="B252" s="91">
        <f>EDATE($B251,1)</f>
        <v/>
      </c>
      <c r="C252" s="92">
        <f>EOMONTH($B252,0)</f>
        <v/>
      </c>
      <c r="D252" s="87">
        <f>$C252-$B252+1</f>
        <v/>
      </c>
      <c r="E252" s="87">
        <f>MONTH($B252)</f>
        <v/>
      </c>
      <c r="F252" s="93">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$N252*IF($O$238=1,$O252/$F$238,1)</f>
        <v/>
      </c>
      <c r="T252" s="95">
        <f>IF($G252&lt;nr_MStartP,$S252,$T240*(1+IF($G252&lt;nr_MStartP1,$M$238,$N$238)))</f>
        <v/>
      </c>
      <c r="U252" s="95">
        <f>IF($L$238,$T252,$N252)</f>
        <v/>
      </c>
    </row>
    <row r="253">
      <c r="A253" s="90" t="n">
        <v>13</v>
      </c>
      <c r="B253" s="91">
        <f>EDATE($B252,1)</f>
        <v/>
      </c>
      <c r="C253" s="92">
        <f>EOMONTH($B253,0)</f>
        <v/>
      </c>
      <c r="D253" s="87">
        <f>$C253-$B253+1</f>
        <v/>
      </c>
      <c r="E253" s="87">
        <f>MONTH($B253)</f>
        <v/>
      </c>
      <c r="F253" s="93">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$N253*IF($O$238=1,$O253/$F$238,1)</f>
        <v/>
      </c>
      <c r="T253" s="95">
        <f>IF($G253&lt;nr_MStartP,$S253,$T241*(1+IF($G253&lt;nr_MStartP1,$M$238,$N$238)))</f>
        <v/>
      </c>
      <c r="U253" s="95">
        <f>IF($L$238,$T253,$N253)</f>
        <v/>
      </c>
    </row>
    <row r="254">
      <c r="A254" s="90" t="n">
        <v>14</v>
      </c>
      <c r="B254" s="91">
        <f>EDATE($B253,1)</f>
        <v/>
      </c>
      <c r="C254" s="92">
        <f>EOMONTH($B254,0)</f>
        <v/>
      </c>
      <c r="D254" s="87">
        <f>$C254-$B254+1</f>
        <v/>
      </c>
      <c r="E254" s="87">
        <f>MONTH($B254)</f>
        <v/>
      </c>
      <c r="F254" s="93">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$N254*IF($O$238=1,$O254/$F$238,1)</f>
        <v/>
      </c>
      <c r="T254" s="95">
        <f>IF($G254&lt;nr_MStartP,$S254,$T242*(1+IF($G254&lt;nr_MStartP1,$M$238,$N$238)))</f>
        <v/>
      </c>
      <c r="U254" s="95">
        <f>IF($L$238,$T254,$N254)</f>
        <v/>
      </c>
    </row>
    <row r="255">
      <c r="A255" s="90" t="n">
        <v>15</v>
      </c>
      <c r="B255" s="91">
        <f>EDATE($B254,1)</f>
        <v/>
      </c>
      <c r="C255" s="92">
        <f>EOMONTH($B255,0)</f>
        <v/>
      </c>
      <c r="D255" s="87">
        <f>$C255-$B255+1</f>
        <v/>
      </c>
      <c r="E255" s="87">
        <f>MONTH($B255)</f>
        <v/>
      </c>
      <c r="F255" s="93">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$N255*IF($O$238=1,$O255/$F$238,1)</f>
        <v/>
      </c>
      <c r="T255" s="95">
        <f>IF($G255&lt;nr_MStartP,$S255,$T243*(1+IF($G255&lt;nr_MStartP1,$M$238,$N$238)))</f>
        <v/>
      </c>
      <c r="U255" s="95">
        <f>IF($L$238,$T255,$N255)</f>
        <v/>
      </c>
    </row>
    <row r="256">
      <c r="A256" s="90" t="n">
        <v>16</v>
      </c>
      <c r="B256" s="91">
        <f>EDATE($B255,1)</f>
        <v/>
      </c>
      <c r="C256" s="92">
        <f>EOMONTH($B256,0)</f>
        <v/>
      </c>
      <c r="D256" s="87">
        <f>$C256-$B256+1</f>
        <v/>
      </c>
      <c r="E256" s="87">
        <f>MONTH($B256)</f>
        <v/>
      </c>
      <c r="F256" s="93">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$N256*IF($O$238=1,$O256/$F$238,1)</f>
        <v/>
      </c>
      <c r="T256" s="95">
        <f>IF($G256&lt;nr_MStartP,$S256,$T244*(1+IF($G256&lt;nr_MStartP1,$M$238,$N$238)))</f>
        <v/>
      </c>
      <c r="U256" s="95">
        <f>IF($L$238,$T256,$N256)</f>
        <v/>
      </c>
    </row>
    <row r="257">
      <c r="A257" s="90" t="n">
        <v>17</v>
      </c>
      <c r="B257" s="91">
        <f>EDATE($B256,1)</f>
        <v/>
      </c>
      <c r="C257" s="92">
        <f>EOMONTH($B257,0)</f>
        <v/>
      </c>
      <c r="D257" s="87">
        <f>$C257-$B257+1</f>
        <v/>
      </c>
      <c r="E257" s="87">
        <f>MONTH($B257)</f>
        <v/>
      </c>
      <c r="F257" s="93">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$N257*IF($O$238=1,$O257/$F$238,1)</f>
        <v/>
      </c>
      <c r="T257" s="95">
        <f>IF($G257&lt;nr_MStartP,$S257,$T245*(1+IF($G257&lt;nr_MStartP1,$M$238,$N$238)))</f>
        <v/>
      </c>
      <c r="U257" s="95">
        <f>IF($L$238,$T257,$N257)</f>
        <v/>
      </c>
    </row>
    <row r="258">
      <c r="A258" s="90" t="n">
        <v>18</v>
      </c>
      <c r="B258" s="91">
        <f>EDATE($B257,1)</f>
        <v/>
      </c>
      <c r="C258" s="92">
        <f>EOMONTH($B258,0)</f>
        <v/>
      </c>
      <c r="D258" s="87">
        <f>$C258-$B258+1</f>
        <v/>
      </c>
      <c r="E258" s="87">
        <f>MONTH($B258)</f>
        <v/>
      </c>
      <c r="F258" s="93">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$N258*IF($O$238=1,$O258/$F$238,1)</f>
        <v/>
      </c>
      <c r="T258" s="95">
        <f>IF($G258&lt;nr_MStartP,$S258,$T246*(1+IF($G258&lt;nr_MStartP1,$M$238,$N$238)))</f>
        <v/>
      </c>
      <c r="U258" s="95">
        <f>IF($L$238,$T258,$N258)</f>
        <v/>
      </c>
    </row>
    <row r="259">
      <c r="A259" s="90" t="n">
        <v>19</v>
      </c>
      <c r="B259" s="91">
        <f>EDATE($B258,1)</f>
        <v/>
      </c>
      <c r="C259" s="92">
        <f>EOMONTH($B259,0)</f>
        <v/>
      </c>
      <c r="D259" s="87">
        <f>$C259-$B259+1</f>
        <v/>
      </c>
      <c r="E259" s="87">
        <f>MONTH($B259)</f>
        <v/>
      </c>
      <c r="F259" s="93">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$N259*IF($O$238=1,$O259/$F$238,1)</f>
        <v/>
      </c>
      <c r="T259" s="95">
        <f>IF($G259&lt;nr_MStartP,$S259,$T247*(1+IF($G259&lt;nr_MStartP1,$M$238,$N$238)))</f>
        <v/>
      </c>
      <c r="U259" s="95">
        <f>IF($L$238,$T259,$N259)</f>
        <v/>
      </c>
    </row>
    <row r="260">
      <c r="A260" s="90" t="n">
        <v>20</v>
      </c>
      <c r="B260" s="91">
        <f>EDATE($B259,1)</f>
        <v/>
      </c>
      <c r="C260" s="92">
        <f>EOMONTH($B260,0)</f>
        <v/>
      </c>
      <c r="D260" s="87">
        <f>$C260-$B260+1</f>
        <v/>
      </c>
      <c r="E260" s="87">
        <f>MONTH($B260)</f>
        <v/>
      </c>
      <c r="F260" s="93">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$N260*IF($O$238=1,$O260/$F$238,1)</f>
        <v/>
      </c>
      <c r="T260" s="95">
        <f>IF($G260&lt;nr_MStartP,$S260,$T248*(1+IF($G260&lt;nr_MStartP1,$M$238,$N$238)))</f>
        <v/>
      </c>
      <c r="U260" s="95">
        <f>IF($L$238,$T260,$N260)</f>
        <v/>
      </c>
    </row>
    <row r="261">
      <c r="A261" s="90" t="n">
        <v>21</v>
      </c>
      <c r="B261" s="91">
        <f>EDATE($B260,1)</f>
        <v/>
      </c>
      <c r="C261" s="92">
        <f>EOMONTH($B261,0)</f>
        <v/>
      </c>
      <c r="D261" s="87">
        <f>$C261-$B261+1</f>
        <v/>
      </c>
      <c r="E261" s="87">
        <f>MONTH($B261)</f>
        <v/>
      </c>
      <c r="F261" s="93">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$N261*IF($O$238=1,$O261/$F$238,1)</f>
        <v/>
      </c>
      <c r="T261" s="95">
        <f>IF($G261&lt;nr_MStartP,$S261,$T249*(1+IF($G261&lt;nr_MStartP1,$M$238,$N$238)))</f>
        <v/>
      </c>
      <c r="U261" s="95">
        <f>IF($L$238,$T261,$N261)</f>
        <v/>
      </c>
    </row>
    <row r="262">
      <c r="A262" s="90" t="n">
        <v>22</v>
      </c>
      <c r="B262" s="91">
        <f>EDATE($B261,1)</f>
        <v/>
      </c>
      <c r="C262" s="92">
        <f>EOMONTH($B262,0)</f>
        <v/>
      </c>
      <c r="D262" s="87">
        <f>$C262-$B262+1</f>
        <v/>
      </c>
      <c r="E262" s="87">
        <f>MONTH($B262)</f>
        <v/>
      </c>
      <c r="F262" s="93">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$N262*IF($O$238=1,$O262/$F$238,1)</f>
        <v/>
      </c>
      <c r="T262" s="95">
        <f>IF($G262&lt;nr_MStartP,$S262,$T250*(1+IF($G262&lt;nr_MStartP1,$M$238,$N$238)))</f>
        <v/>
      </c>
      <c r="U262" s="95">
        <f>IF($L$238,$T262,$N262)</f>
        <v/>
      </c>
    </row>
    <row r="263">
      <c r="A263" s="90" t="n">
        <v>23</v>
      </c>
      <c r="B263" s="91">
        <f>EDATE($B262,1)</f>
        <v/>
      </c>
      <c r="C263" s="92">
        <f>EOMONTH($B263,0)</f>
        <v/>
      </c>
      <c r="D263" s="87">
        <f>$C263-$B263+1</f>
        <v/>
      </c>
      <c r="E263" s="87">
        <f>MONTH($B263)</f>
        <v/>
      </c>
      <c r="F263" s="93">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$N263*IF($O$238=1,$O263/$F$238,1)</f>
        <v/>
      </c>
      <c r="T263" s="95">
        <f>IF($G263&lt;nr_MStartP,$S263,$T251*(1+IF($G263&lt;nr_MStartP1,$M$238,$N$238)))</f>
        <v/>
      </c>
      <c r="U263" s="95">
        <f>IF($L$238,$T263,$N263)</f>
        <v/>
      </c>
    </row>
    <row r="264">
      <c r="A264" s="90" t="n">
        <v>24</v>
      </c>
      <c r="B264" s="91">
        <f>EDATE($B263,1)</f>
        <v/>
      </c>
      <c r="C264" s="92">
        <f>EOMONTH($B264,0)</f>
        <v/>
      </c>
      <c r="D264" s="87">
        <f>$C264-$B264+1</f>
        <v/>
      </c>
      <c r="E264" s="87">
        <f>MONTH($B264)</f>
        <v/>
      </c>
      <c r="F264" s="93">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$N264*IF($O$238=1,$O264/$F$238,1)</f>
        <v/>
      </c>
      <c r="T264" s="95">
        <f>IF($G264&lt;nr_MStartP,$S264,$T252*(1+IF($G264&lt;nr_MStartP1,$M$238,$N$238)))</f>
        <v/>
      </c>
      <c r="U264" s="95">
        <f>IF($L$238,$T264,$N264)</f>
        <v/>
      </c>
    </row>
    <row r="265">
      <c r="A265" s="90" t="n">
        <v>25</v>
      </c>
      <c r="B265" s="91">
        <f>EDATE($B264,1)</f>
        <v/>
      </c>
      <c r="C265" s="92">
        <f>EOMONTH($B265,0)</f>
        <v/>
      </c>
      <c r="D265" s="87">
        <f>$C265-$B265+1</f>
        <v/>
      </c>
      <c r="E265" s="87">
        <f>MONTH($B265)</f>
        <v/>
      </c>
      <c r="F265" s="93">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$N265*IF($O$238=1,$O265/$F$238,1)</f>
        <v/>
      </c>
      <c r="T265" s="95">
        <f>IF($G265&lt;nr_MStartP,$S265,$T253*(1+IF($G265&lt;nr_MStartP1,$M$238,$N$238)))</f>
        <v/>
      </c>
      <c r="U265" s="95">
        <f>IF($L$238,$T265,$N265)</f>
        <v/>
      </c>
    </row>
    <row r="266">
      <c r="A266" s="90" t="n">
        <v>26</v>
      </c>
      <c r="B266" s="91">
        <f>EDATE($B265,1)</f>
        <v/>
      </c>
      <c r="C266" s="92">
        <f>EOMONTH($B266,0)</f>
        <v/>
      </c>
      <c r="D266" s="87">
        <f>$C266-$B266+1</f>
        <v/>
      </c>
      <c r="E266" s="87">
        <f>MONTH($B266)</f>
        <v/>
      </c>
      <c r="F266" s="93">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$N266*IF($O$238=1,$O266/$F$238,1)</f>
        <v/>
      </c>
      <c r="T266" s="95">
        <f>IF($G266&lt;nr_MStartP,$S266,$T254*(1+IF($G266&lt;nr_MStartP1,$M$238,$N$238)))</f>
        <v/>
      </c>
      <c r="U266" s="95">
        <f>IF($L$238,$T266,$N266)</f>
        <v/>
      </c>
    </row>
    <row r="267">
      <c r="A267" s="90" t="n">
        <v>27</v>
      </c>
      <c r="B267" s="91">
        <f>EDATE($B266,1)</f>
        <v/>
      </c>
      <c r="C267" s="92">
        <f>EOMONTH($B267,0)</f>
        <v/>
      </c>
      <c r="D267" s="87">
        <f>$C267-$B267+1</f>
        <v/>
      </c>
      <c r="E267" s="87">
        <f>MONTH($B267)</f>
        <v/>
      </c>
      <c r="F267" s="93">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$N267*IF($O$238=1,$O267/$F$238,1)</f>
        <v/>
      </c>
      <c r="T267" s="95">
        <f>IF($G267&lt;nr_MStartP,$S267,$T255*(1+IF($G267&lt;nr_MStartP1,$M$238,$N$238)))</f>
        <v/>
      </c>
      <c r="U267" s="95">
        <f>IF($L$238,$T267,$N267)</f>
        <v/>
      </c>
    </row>
    <row r="268">
      <c r="A268" s="90" t="n">
        <v>28</v>
      </c>
      <c r="B268" s="91">
        <f>EDATE($B267,1)</f>
        <v/>
      </c>
      <c r="C268" s="92">
        <f>EOMONTH($B268,0)</f>
        <v/>
      </c>
      <c r="D268" s="87">
        <f>$C268-$B268+1</f>
        <v/>
      </c>
      <c r="E268" s="87">
        <f>MONTH($B268)</f>
        <v/>
      </c>
      <c r="F268" s="93">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$N268*IF($O$238=1,$O268/$F$238,1)</f>
        <v/>
      </c>
      <c r="T268" s="95">
        <f>IF($G268&lt;nr_MStartP,$S268,$T256*(1+IF($G268&lt;nr_MStartP1,$M$238,$N$238)))</f>
        <v/>
      </c>
      <c r="U268" s="95">
        <f>IF($L$238,$T268,$N268)</f>
        <v/>
      </c>
    </row>
    <row r="269">
      <c r="A269" s="90" t="n">
        <v>29</v>
      </c>
      <c r="B269" s="91">
        <f>EDATE($B268,1)</f>
        <v/>
      </c>
      <c r="C269" s="92">
        <f>EOMONTH($B269,0)</f>
        <v/>
      </c>
      <c r="D269" s="87">
        <f>$C269-$B269+1</f>
        <v/>
      </c>
      <c r="E269" s="87">
        <f>MONTH($B269)</f>
        <v/>
      </c>
      <c r="F269" s="93">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$N269*IF($O$238=1,$O269/$F$238,1)</f>
        <v/>
      </c>
      <c r="T269" s="95">
        <f>IF($G269&lt;nr_MStartP,$S269,$T257*(1+IF($G269&lt;nr_MStartP1,$M$238,$N$238)))</f>
        <v/>
      </c>
      <c r="U269" s="95">
        <f>IF($L$238,$T269,$N269)</f>
        <v/>
      </c>
    </row>
    <row r="270">
      <c r="A270" s="90" t="n">
        <v>30</v>
      </c>
      <c r="B270" s="91">
        <f>EDATE($B269,1)</f>
        <v/>
      </c>
      <c r="C270" s="92">
        <f>EOMONTH($B270,0)</f>
        <v/>
      </c>
      <c r="D270" s="87">
        <f>$C270-$B270+1</f>
        <v/>
      </c>
      <c r="E270" s="87">
        <f>MONTH($B270)</f>
        <v/>
      </c>
      <c r="F270" s="93">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$N270*IF($O$238=1,$O270/$F$238,1)</f>
        <v/>
      </c>
      <c r="T270" s="95">
        <f>IF($G270&lt;nr_MStartP,$S270,$T258*(1+IF($G270&lt;nr_MStartP1,$M$238,$N$238)))</f>
        <v/>
      </c>
      <c r="U270" s="95">
        <f>IF($L$238,$T270,$N270)</f>
        <v/>
      </c>
    </row>
    <row r="271">
      <c r="A271" s="90" t="n">
        <v>31</v>
      </c>
      <c r="B271" s="91">
        <f>EDATE($B270,1)</f>
        <v/>
      </c>
      <c r="C271" s="92">
        <f>EOMONTH($B271,0)</f>
        <v/>
      </c>
      <c r="D271" s="87">
        <f>$C271-$B271+1</f>
        <v/>
      </c>
      <c r="E271" s="87">
        <f>MONTH($B271)</f>
        <v/>
      </c>
      <c r="F271" s="93">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$N271*IF($O$238=1,$O271/$F$238,1)</f>
        <v/>
      </c>
      <c r="T271" s="95">
        <f>IF($G271&lt;nr_MStartP,$S271,$T259*(1+IF($G271&lt;nr_MStartP1,$M$238,$N$238)))</f>
        <v/>
      </c>
      <c r="U271" s="95">
        <f>IF($L$238,$T271,$N271)</f>
        <v/>
      </c>
    </row>
    <row r="272">
      <c r="A272" s="90" t="n">
        <v>32</v>
      </c>
      <c r="B272" s="91">
        <f>EDATE($B271,1)</f>
        <v/>
      </c>
      <c r="C272" s="92">
        <f>EOMONTH($B272,0)</f>
        <v/>
      </c>
      <c r="D272" s="87">
        <f>$C272-$B272+1</f>
        <v/>
      </c>
      <c r="E272" s="87">
        <f>MONTH($B272)</f>
        <v/>
      </c>
      <c r="F272" s="93">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$N272*IF($O$238=1,$O272/$F$238,1)</f>
        <v/>
      </c>
      <c r="T272" s="95">
        <f>IF($G272&lt;nr_MStartP,$S272,$T260*(1+IF($G272&lt;nr_MStartP1,$M$238,$N$238)))</f>
        <v/>
      </c>
      <c r="U272" s="95">
        <f>IF($L$238,$T272,$N272)</f>
        <v/>
      </c>
    </row>
    <row r="273">
      <c r="A273" s="90" t="n">
        <v>33</v>
      </c>
      <c r="B273" s="91">
        <f>EDATE($B272,1)</f>
        <v/>
      </c>
      <c r="C273" s="92">
        <f>EOMONTH($B273,0)</f>
        <v/>
      </c>
      <c r="D273" s="87">
        <f>$C273-$B273+1</f>
        <v/>
      </c>
      <c r="E273" s="87">
        <f>MONTH($B273)</f>
        <v/>
      </c>
      <c r="F273" s="93">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$N273*IF($O$238=1,$O273/$F$238,1)</f>
        <v/>
      </c>
      <c r="T273" s="95">
        <f>IF($G273&lt;nr_MStartP,$S273,$T261*(1+IF($G273&lt;nr_MStartP1,$M$238,$N$238)))</f>
        <v/>
      </c>
      <c r="U273" s="95">
        <f>IF($L$238,$T273,$N273)</f>
        <v/>
      </c>
    </row>
    <row r="274">
      <c r="A274" s="90" t="n">
        <v>34</v>
      </c>
      <c r="B274" s="91">
        <f>EDATE($B273,1)</f>
        <v/>
      </c>
      <c r="C274" s="92">
        <f>EOMONTH($B274,0)</f>
        <v/>
      </c>
      <c r="D274" s="87">
        <f>$C274-$B274+1</f>
        <v/>
      </c>
      <c r="E274" s="87">
        <f>MONTH($B274)</f>
        <v/>
      </c>
      <c r="F274" s="93">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$N274*IF($O$238=1,$O274/$F$238,1)</f>
        <v/>
      </c>
      <c r="T274" s="95">
        <f>IF($G274&lt;nr_MStartP,$S274,$T262*(1+IF($G274&lt;nr_MStartP1,$M$238,$N$238)))</f>
        <v/>
      </c>
      <c r="U274" s="95">
        <f>IF($L$238,$T274,$N274)</f>
        <v/>
      </c>
    </row>
    <row r="275">
      <c r="A275" s="90" t="n">
        <v>35</v>
      </c>
      <c r="B275" s="91">
        <f>EDATE($B274,1)</f>
        <v/>
      </c>
      <c r="C275" s="92">
        <f>EOMONTH($B275,0)</f>
        <v/>
      </c>
      <c r="D275" s="87">
        <f>$C275-$B275+1</f>
        <v/>
      </c>
      <c r="E275" s="87">
        <f>MONTH($B275)</f>
        <v/>
      </c>
      <c r="F275" s="93">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$N275*IF($O$238=1,$O275/$F$238,1)</f>
        <v/>
      </c>
      <c r="T275" s="95">
        <f>IF($G275&lt;nr_MStartP,$S275,$T263*(1+IF($G275&lt;nr_MStartP1,$M$238,$N$238)))</f>
        <v/>
      </c>
      <c r="U275" s="95">
        <f>IF($L$238,$T275,$N275)</f>
        <v/>
      </c>
    </row>
    <row r="276">
      <c r="A276" s="90" t="n">
        <v>36</v>
      </c>
      <c r="B276" s="91">
        <f>EDATE($B275,1)</f>
        <v/>
      </c>
      <c r="C276" s="92">
        <f>EOMONTH($B276,0)</f>
        <v/>
      </c>
      <c r="D276" s="87">
        <f>$C276-$B276+1</f>
        <v/>
      </c>
      <c r="E276" s="87">
        <f>MONTH($B276)</f>
        <v/>
      </c>
      <c r="F276" s="93">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$N276*IF($O$238=1,$O276/$F$238,1)</f>
        <v/>
      </c>
      <c r="T276" s="95">
        <f>IF($G276&lt;nr_MStartP,$S276,$T264*(1+IF($G276&lt;nr_MStartP1,$M$238,$N$238)))</f>
        <v/>
      </c>
      <c r="U276" s="95">
        <f>IF($L$238,$T276,$N276)</f>
        <v/>
      </c>
    </row>
    <row r="277">
      <c r="A277" s="90" t="n">
        <v>37</v>
      </c>
      <c r="B277" s="91">
        <f>EDATE($B276,1)</f>
        <v/>
      </c>
      <c r="C277" s="92">
        <f>EOMONTH($B277,0)</f>
        <v/>
      </c>
      <c r="D277" s="87">
        <f>$C277-$B277+1</f>
        <v/>
      </c>
      <c r="E277" s="87">
        <f>MONTH($B277)</f>
        <v/>
      </c>
      <c r="F277" s="93">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$N277*IF($O$238=1,$O277/$F$238,1)</f>
        <v/>
      </c>
      <c r="T277" s="95">
        <f>IF($G277&lt;nr_MStartP,$S277,$T265*(1+IF($G277&lt;nr_MStartP1,$M$238,$N$238)))</f>
        <v/>
      </c>
      <c r="U277" s="95">
        <f>IF($L$238,$T277,$N277)</f>
        <v/>
      </c>
    </row>
    <row r="278">
      <c r="A278" s="90" t="n">
        <v>38</v>
      </c>
      <c r="B278" s="91">
        <f>EDATE($B277,1)</f>
        <v/>
      </c>
      <c r="C278" s="92">
        <f>EOMONTH($B278,0)</f>
        <v/>
      </c>
      <c r="D278" s="87">
        <f>$C278-$B278+1</f>
        <v/>
      </c>
      <c r="E278" s="87">
        <f>MONTH($B278)</f>
        <v/>
      </c>
      <c r="F278" s="93">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$N278*IF($O$238=1,$O278/$F$238,1)</f>
        <v/>
      </c>
      <c r="T278" s="95">
        <f>IF($G278&lt;nr_MStartP,$S278,$T266*(1+IF($G278&lt;nr_MStartP1,$M$238,$N$238)))</f>
        <v/>
      </c>
      <c r="U278" s="95">
        <f>IF($L$238,$T278,$N278)</f>
        <v/>
      </c>
    </row>
    <row r="279">
      <c r="A279" s="90" t="n">
        <v>39</v>
      </c>
      <c r="B279" s="91">
        <f>EDATE($B278,1)</f>
        <v/>
      </c>
      <c r="C279" s="92">
        <f>EOMONTH($B279,0)</f>
        <v/>
      </c>
      <c r="D279" s="87">
        <f>$C279-$B279+1</f>
        <v/>
      </c>
      <c r="E279" s="87">
        <f>MONTH($B279)</f>
        <v/>
      </c>
      <c r="F279" s="93">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$N279*IF($O$238=1,$O279/$F$238,1)</f>
        <v/>
      </c>
      <c r="T279" s="95">
        <f>IF($G279&lt;nr_MStartP,$S279,$T267*(1+IF($G279&lt;nr_MStartP1,$M$238,$N$238)))</f>
        <v/>
      </c>
      <c r="U279" s="95">
        <f>IF($L$238,$T279,$N279)</f>
        <v/>
      </c>
    </row>
    <row r="280">
      <c r="A280" s="90" t="n">
        <v>40</v>
      </c>
      <c r="B280" s="91">
        <f>EDATE($B279,1)</f>
        <v/>
      </c>
      <c r="C280" s="92">
        <f>EOMONTH($B280,0)</f>
        <v/>
      </c>
      <c r="D280" s="87">
        <f>$C280-$B280+1</f>
        <v/>
      </c>
      <c r="E280" s="87">
        <f>MONTH($B280)</f>
        <v/>
      </c>
      <c r="F280" s="93">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$N280*IF($O$238=1,$O280/$F$238,1)</f>
        <v/>
      </c>
      <c r="T280" s="95">
        <f>IF($G280&lt;nr_MStartP,$S280,$T268*(1+IF($G280&lt;nr_MStartP1,$M$238,$N$238)))</f>
        <v/>
      </c>
      <c r="U280" s="95">
        <f>IF($L$238,$T280,$N280)</f>
        <v/>
      </c>
    </row>
    <row r="281">
      <c r="A281" s="90" t="n">
        <v>41</v>
      </c>
      <c r="B281" s="91">
        <f>EDATE($B280,1)</f>
        <v/>
      </c>
      <c r="C281" s="92">
        <f>EOMONTH($B281,0)</f>
        <v/>
      </c>
      <c r="D281" s="87">
        <f>$C281-$B281+1</f>
        <v/>
      </c>
      <c r="E281" s="87">
        <f>MONTH($B281)</f>
        <v/>
      </c>
      <c r="F281" s="93">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$N281*IF($O$238=1,$O281/$F$238,1)</f>
        <v/>
      </c>
      <c r="T281" s="95">
        <f>IF($G281&lt;nr_MStartP,$S281,$T269*(1+IF($G281&lt;nr_MStartP1,$M$238,$N$238)))</f>
        <v/>
      </c>
      <c r="U281" s="95">
        <f>IF($L$238,$T281,$N281)</f>
        <v/>
      </c>
    </row>
    <row r="282">
      <c r="A282" s="90" t="n">
        <v>42</v>
      </c>
      <c r="B282" s="91">
        <f>EDATE($B281,1)</f>
        <v/>
      </c>
      <c r="C282" s="92">
        <f>EOMONTH($B282,0)</f>
        <v/>
      </c>
      <c r="D282" s="87">
        <f>$C282-$B282+1</f>
        <v/>
      </c>
      <c r="E282" s="87">
        <f>MONTH($B282)</f>
        <v/>
      </c>
      <c r="F282" s="93">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$N282*IF($O$238=1,$O282/$F$238,1)</f>
        <v/>
      </c>
      <c r="T282" s="95">
        <f>IF($G282&lt;nr_MStartP,$S282,$T270*(1+IF($G282&lt;nr_MStartP1,$M$238,$N$238)))</f>
        <v/>
      </c>
      <c r="U282" s="95">
        <f>IF($L$238,$T282,$N282)</f>
        <v/>
      </c>
    </row>
    <row r="283">
      <c r="A283" s="90" t="n">
        <v>43</v>
      </c>
      <c r="B283" s="91">
        <f>EDATE($B282,1)</f>
        <v/>
      </c>
      <c r="C283" s="92">
        <f>EOMONTH($B283,0)</f>
        <v/>
      </c>
      <c r="D283" s="87">
        <f>$C283-$B283+1</f>
        <v/>
      </c>
      <c r="E283" s="87">
        <f>MONTH($B283)</f>
        <v/>
      </c>
      <c r="F283" s="93">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$N283*IF($O$238=1,$O283/$F$238,1)</f>
        <v/>
      </c>
      <c r="T283" s="95">
        <f>IF($G283&lt;nr_MStartP,$S283,$T271*(1+IF($G283&lt;nr_MStartP1,$M$238,$N$238)))</f>
        <v/>
      </c>
      <c r="U283" s="95">
        <f>IF($L$238,$T283,$N283)</f>
        <v/>
      </c>
    </row>
    <row r="284">
      <c r="A284" s="90" t="n">
        <v>44</v>
      </c>
      <c r="B284" s="91">
        <f>EDATE($B283,1)</f>
        <v/>
      </c>
      <c r="C284" s="92">
        <f>EOMONTH($B284,0)</f>
        <v/>
      </c>
      <c r="D284" s="87">
        <f>$C284-$B284+1</f>
        <v/>
      </c>
      <c r="E284" s="87">
        <f>MONTH($B284)</f>
        <v/>
      </c>
      <c r="F284" s="93">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$N284*IF($O$238=1,$O284/$F$238,1)</f>
        <v/>
      </c>
      <c r="T284" s="95">
        <f>IF($G284&lt;nr_MStartP,$S284,$T272*(1+IF($G284&lt;nr_MStartP1,$M$238,$N$238)))</f>
        <v/>
      </c>
      <c r="U284" s="95">
        <f>IF($L$238,$T284,$N284)</f>
        <v/>
      </c>
    </row>
    <row r="285">
      <c r="A285" s="90" t="n">
        <v>45</v>
      </c>
      <c r="B285" s="91">
        <f>EDATE($B284,1)</f>
        <v/>
      </c>
      <c r="C285" s="92">
        <f>EOMONTH($B285,0)</f>
        <v/>
      </c>
      <c r="D285" s="87">
        <f>$C285-$B285+1</f>
        <v/>
      </c>
      <c r="E285" s="87">
        <f>MONTH($B285)</f>
        <v/>
      </c>
      <c r="F285" s="93">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$N285*IF($O$238=1,$O285/$F$238,1)</f>
        <v/>
      </c>
      <c r="T285" s="95">
        <f>IF($G285&lt;nr_MStartP,$S285,$T273*(1+IF($G285&lt;nr_MStartP1,$M$238,$N$238)))</f>
        <v/>
      </c>
      <c r="U285" s="95">
        <f>IF($L$238,$T285,$N285)</f>
        <v/>
      </c>
    </row>
    <row r="286">
      <c r="A286" s="90" t="n">
        <v>46</v>
      </c>
      <c r="B286" s="91">
        <f>EDATE($B285,1)</f>
        <v/>
      </c>
      <c r="C286" s="92">
        <f>EOMONTH($B286,0)</f>
        <v/>
      </c>
      <c r="D286" s="87">
        <f>$C286-$B286+1</f>
        <v/>
      </c>
      <c r="E286" s="87">
        <f>MONTH($B286)</f>
        <v/>
      </c>
      <c r="F286" s="93">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$N286*IF($O$238=1,$O286/$F$238,1)</f>
        <v/>
      </c>
      <c r="T286" s="95">
        <f>IF($G286&lt;nr_MStartP,$S286,$T274*(1+IF($G286&lt;nr_MStartP1,$M$238,$N$238)))</f>
        <v/>
      </c>
      <c r="U286" s="95">
        <f>IF($L$238,$T286,$N286)</f>
        <v/>
      </c>
    </row>
    <row r="287">
      <c r="A287" s="90" t="n">
        <v>47</v>
      </c>
      <c r="B287" s="91">
        <f>EDATE($B286,1)</f>
        <v/>
      </c>
      <c r="C287" s="92">
        <f>EOMONTH($B287,0)</f>
        <v/>
      </c>
      <c r="D287" s="87">
        <f>$C287-$B287+1</f>
        <v/>
      </c>
      <c r="E287" s="87">
        <f>MONTH($B287)</f>
        <v/>
      </c>
      <c r="F287" s="93">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$N287*IF($O$238=1,$O287/$F$238,1)</f>
        <v/>
      </c>
      <c r="T287" s="95">
        <f>IF($G287&lt;nr_MStartP,$S287,$T275*(1+IF($G287&lt;nr_MStartP1,$M$238,$N$238)))</f>
        <v/>
      </c>
      <c r="U287" s="95">
        <f>IF($L$238,$T287,$N287)</f>
        <v/>
      </c>
    </row>
    <row r="288">
      <c r="A288" s="90" t="n">
        <v>48</v>
      </c>
      <c r="B288" s="91">
        <f>EDATE($B287,1)</f>
        <v/>
      </c>
      <c r="C288" s="92">
        <f>EOMONTH($B288,0)</f>
        <v/>
      </c>
      <c r="D288" s="87">
        <f>$C288-$B288+1</f>
        <v/>
      </c>
      <c r="E288" s="87">
        <f>MONTH($B288)</f>
        <v/>
      </c>
      <c r="F288" s="93">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$N288*IF($O$238=1,$O288/$F$238,1)</f>
        <v/>
      </c>
      <c r="T288" s="95">
        <f>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04">
        <f>SUMPRODUCT($H$241:$H$288,$Q$241:$Q$288,$O$241:$O$288)/SUMPRODUCT($H$241:$H$288,$Q$241:$Q$288)</f>
        <v/>
      </c>
      <c r="G289" s="20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04">
        <f>IF(N(INDEX(lr_mind,5))=0,1,INDEX(lr_mind,5))</f>
        <v/>
      </c>
      <c r="G292" s="204">
        <f>IF(N(INDEX(lr_m0,5))=0,1,INDEX(lr_m0,5))</f>
        <v/>
      </c>
      <c r="H292" s="73">
        <f>IF(N(INDEX(lr_m0asof,5))=0,DATE(nr_PlanYear-1,10,1),INDEX(lr_m0asof,5))</f>
        <v/>
      </c>
      <c r="I292" s="204">
        <f>IF(N(INDEX(lr_m1,5))=0,1,INDEX(lr_m1,5))</f>
        <v/>
      </c>
      <c r="J292" s="204">
        <f>INDEX(lr_mprior,5)</f>
        <v/>
      </c>
      <c r="K292" s="20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93">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$N295*IF($O$292=1,$O295/$F$292,1)</f>
        <v/>
      </c>
      <c r="T295" s="95">
        <f>IF($G295&lt;nr_MStartP,$S295,$T283*(1+IF($G295&lt;nr_MStartP1,$M$292,$N$292)))</f>
        <v/>
      </c>
      <c r="U295" s="95">
        <f>IF($L$292,$T295,$N295)</f>
        <v/>
      </c>
    </row>
    <row r="296">
      <c r="A296" s="90" t="n">
        <v>2</v>
      </c>
      <c r="B296" s="91">
        <f>EDATE($B295,1)</f>
        <v/>
      </c>
      <c r="C296" s="92">
        <f>EOMONTH($B296,0)</f>
        <v/>
      </c>
      <c r="D296" s="87">
        <f>$C296-$B296+1</f>
        <v/>
      </c>
      <c r="E296" s="87">
        <f>MONTH($B296)</f>
        <v/>
      </c>
      <c r="F296" s="93">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$N296*IF($O$292=1,$O296/$F$292,1)</f>
        <v/>
      </c>
      <c r="T296" s="95">
        <f>IF($G296&lt;nr_MStartP,$S296,$T284*(1+IF($G296&lt;nr_MStartP1,$M$292,$N$292)))</f>
        <v/>
      </c>
      <c r="U296" s="95">
        <f>IF($L$292,$T296,$N296)</f>
        <v/>
      </c>
    </row>
    <row r="297">
      <c r="A297" s="90" t="n">
        <v>3</v>
      </c>
      <c r="B297" s="91">
        <f>EDATE($B296,1)</f>
        <v/>
      </c>
      <c r="C297" s="92">
        <f>EOMONTH($B297,0)</f>
        <v/>
      </c>
      <c r="D297" s="87">
        <f>$C297-$B297+1</f>
        <v/>
      </c>
      <c r="E297" s="87">
        <f>MONTH($B297)</f>
        <v/>
      </c>
      <c r="F297" s="93">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$N297*IF($O$292=1,$O297/$F$292,1)</f>
        <v/>
      </c>
      <c r="T297" s="95">
        <f>IF($G297&lt;nr_MStartP,$S297,$T285*(1+IF($G297&lt;nr_MStartP1,$M$292,$N$292)))</f>
        <v/>
      </c>
      <c r="U297" s="95">
        <f>IF($L$292,$T297,$N297)</f>
        <v/>
      </c>
    </row>
    <row r="298">
      <c r="A298" s="90" t="n">
        <v>4</v>
      </c>
      <c r="B298" s="91">
        <f>EDATE($B297,1)</f>
        <v/>
      </c>
      <c r="C298" s="92">
        <f>EOMONTH($B298,0)</f>
        <v/>
      </c>
      <c r="D298" s="87">
        <f>$C298-$B298+1</f>
        <v/>
      </c>
      <c r="E298" s="87">
        <f>MONTH($B298)</f>
        <v/>
      </c>
      <c r="F298" s="93">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$N298*IF($O$292=1,$O298/$F$292,1)</f>
        <v/>
      </c>
      <c r="T298" s="95">
        <f>IF($G298&lt;nr_MStartP,$S298,$T286*(1+IF($G298&lt;nr_MStartP1,$M$292,$N$292)))</f>
        <v/>
      </c>
      <c r="U298" s="95">
        <f>IF($L$292,$T298,$N298)</f>
        <v/>
      </c>
    </row>
    <row r="299">
      <c r="A299" s="90" t="n">
        <v>5</v>
      </c>
      <c r="B299" s="91">
        <f>EDATE($B298,1)</f>
        <v/>
      </c>
      <c r="C299" s="92">
        <f>EOMONTH($B299,0)</f>
        <v/>
      </c>
      <c r="D299" s="87">
        <f>$C299-$B299+1</f>
        <v/>
      </c>
      <c r="E299" s="87">
        <f>MONTH($B299)</f>
        <v/>
      </c>
      <c r="F299" s="93">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$N299*IF($O$292=1,$O299/$F$292,1)</f>
        <v/>
      </c>
      <c r="T299" s="95">
        <f>IF($G299&lt;nr_MStartP,$S299,$T287*(1+IF($G299&lt;nr_MStartP1,$M$292,$N$292)))</f>
        <v/>
      </c>
      <c r="U299" s="95">
        <f>IF($L$292,$T299,$N299)</f>
        <v/>
      </c>
    </row>
    <row r="300">
      <c r="A300" s="90" t="n">
        <v>6</v>
      </c>
      <c r="B300" s="91">
        <f>EDATE($B299,1)</f>
        <v/>
      </c>
      <c r="C300" s="92">
        <f>EOMONTH($B300,0)</f>
        <v/>
      </c>
      <c r="D300" s="87">
        <f>$C300-$B300+1</f>
        <v/>
      </c>
      <c r="E300" s="87">
        <f>MONTH($B300)</f>
        <v/>
      </c>
      <c r="F300" s="93">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$N300*IF($O$292=1,$O300/$F$292,1)</f>
        <v/>
      </c>
      <c r="T300" s="95">
        <f>IF($G300&lt;nr_MStartP,$S300,$T288*(1+IF($G300&lt;nr_MStartP1,$M$292,$N$292)))</f>
        <v/>
      </c>
      <c r="U300" s="95">
        <f>IF($L$292,$T300,$N300)</f>
        <v/>
      </c>
    </row>
    <row r="301">
      <c r="A301" s="90" t="n">
        <v>7</v>
      </c>
      <c r="B301" s="91">
        <f>EDATE($B300,1)</f>
        <v/>
      </c>
      <c r="C301" s="92">
        <f>EOMONTH($B301,0)</f>
        <v/>
      </c>
      <c r="D301" s="87">
        <f>$C301-$B301+1</f>
        <v/>
      </c>
      <c r="E301" s="87">
        <f>MONTH($B301)</f>
        <v/>
      </c>
      <c r="F301" s="93">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$N301*IF($O$292=1,$O301/$F$292,1)</f>
        <v/>
      </c>
      <c r="T301" s="95">
        <f>IF($G301&lt;nr_MStartP,$S301,$T289*(1+IF($G301&lt;nr_MStartP1,$M$292,$N$292)))</f>
        <v/>
      </c>
      <c r="U301" s="95">
        <f>IF($L$292,$T301,$N301)</f>
        <v/>
      </c>
    </row>
    <row r="302">
      <c r="A302" s="90" t="n">
        <v>8</v>
      </c>
      <c r="B302" s="91">
        <f>EDATE($B301,1)</f>
        <v/>
      </c>
      <c r="C302" s="92">
        <f>EOMONTH($B302,0)</f>
        <v/>
      </c>
      <c r="D302" s="87">
        <f>$C302-$B302+1</f>
        <v/>
      </c>
      <c r="E302" s="87">
        <f>MONTH($B302)</f>
        <v/>
      </c>
      <c r="F302" s="93">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$N302*IF($O$292=1,$O302/$F$292,1)</f>
        <v/>
      </c>
      <c r="T302" s="95">
        <f>IF($G302&lt;nr_MStartP,$S302,$T290*(1+IF($G302&lt;nr_MStartP1,$M$292,$N$292)))</f>
        <v/>
      </c>
      <c r="U302" s="95">
        <f>IF($L$292,$T302,$N302)</f>
        <v/>
      </c>
    </row>
    <row r="303">
      <c r="A303" s="90" t="n">
        <v>9</v>
      </c>
      <c r="B303" s="91">
        <f>EDATE($B302,1)</f>
        <v/>
      </c>
      <c r="C303" s="92">
        <f>EOMONTH($B303,0)</f>
        <v/>
      </c>
      <c r="D303" s="87">
        <f>$C303-$B303+1</f>
        <v/>
      </c>
      <c r="E303" s="87">
        <f>MONTH($B303)</f>
        <v/>
      </c>
      <c r="F303" s="93">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$N303*IF($O$292=1,$O303/$F$292,1)</f>
        <v/>
      </c>
      <c r="T303" s="95">
        <f>IF($G303&lt;nr_MStartP,$S303,$T291*(1+IF($G303&lt;nr_MStartP1,$M$292,$N$292)))</f>
        <v/>
      </c>
      <c r="U303" s="95">
        <f>IF($L$292,$T303,$N303)</f>
        <v/>
      </c>
    </row>
    <row r="304">
      <c r="A304" s="90" t="n">
        <v>10</v>
      </c>
      <c r="B304" s="91">
        <f>EDATE($B303,1)</f>
        <v/>
      </c>
      <c r="C304" s="92">
        <f>EOMONTH($B304,0)</f>
        <v/>
      </c>
      <c r="D304" s="87">
        <f>$C304-$B304+1</f>
        <v/>
      </c>
      <c r="E304" s="87">
        <f>MONTH($B304)</f>
        <v/>
      </c>
      <c r="F304" s="93">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$N304*IF($O$292=1,$O304/$F$292,1)</f>
        <v/>
      </c>
      <c r="T304" s="95">
        <f>IF($G304&lt;nr_MStartP,$S304,$T292*(1+IF($G304&lt;nr_MStartP1,$M$292,$N$292)))</f>
        <v/>
      </c>
      <c r="U304" s="95">
        <f>IF($L$292,$T304,$N304)</f>
        <v/>
      </c>
    </row>
    <row r="305">
      <c r="A305" s="90" t="n">
        <v>11</v>
      </c>
      <c r="B305" s="91">
        <f>EDATE($B304,1)</f>
        <v/>
      </c>
      <c r="C305" s="92">
        <f>EOMONTH($B305,0)</f>
        <v/>
      </c>
      <c r="D305" s="87">
        <f>$C305-$B305+1</f>
        <v/>
      </c>
      <c r="E305" s="87">
        <f>MONTH($B305)</f>
        <v/>
      </c>
      <c r="F305" s="93">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$N305*IF($O$292=1,$O305/$F$292,1)</f>
        <v/>
      </c>
      <c r="T305" s="95">
        <f>IF($G305&lt;nr_MStartP,$S305,$T293*(1+IF($G305&lt;nr_MStartP1,$M$292,$N$292)))</f>
        <v/>
      </c>
      <c r="U305" s="95">
        <f>IF($L$292,$T305,$N305)</f>
        <v/>
      </c>
    </row>
    <row r="306">
      <c r="A306" s="90" t="n">
        <v>12</v>
      </c>
      <c r="B306" s="91">
        <f>EDATE($B305,1)</f>
        <v/>
      </c>
      <c r="C306" s="92">
        <f>EOMONTH($B306,0)</f>
        <v/>
      </c>
      <c r="D306" s="87">
        <f>$C306-$B306+1</f>
        <v/>
      </c>
      <c r="E306" s="87">
        <f>MONTH($B306)</f>
        <v/>
      </c>
      <c r="F306" s="93">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$N306*IF($O$292=1,$O306/$F$292,1)</f>
        <v/>
      </c>
      <c r="T306" s="95">
        <f>IF($G306&lt;nr_MStartP,$S306,$T294*(1+IF($G306&lt;nr_MStartP1,$M$292,$N$292)))</f>
        <v/>
      </c>
      <c r="U306" s="95">
        <f>IF($L$292,$T306,$N306)</f>
        <v/>
      </c>
    </row>
    <row r="307">
      <c r="A307" s="90" t="n">
        <v>13</v>
      </c>
      <c r="B307" s="91">
        <f>EDATE($B306,1)</f>
        <v/>
      </c>
      <c r="C307" s="92">
        <f>EOMONTH($B307,0)</f>
        <v/>
      </c>
      <c r="D307" s="87">
        <f>$C307-$B307+1</f>
        <v/>
      </c>
      <c r="E307" s="87">
        <f>MONTH($B307)</f>
        <v/>
      </c>
      <c r="F307" s="93">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$N307*IF($O$292=1,$O307/$F$292,1)</f>
        <v/>
      </c>
      <c r="T307" s="95">
        <f>IF($G307&lt;nr_MStartP,$S307,$T295*(1+IF($G307&lt;nr_MStartP1,$M$292,$N$292)))</f>
        <v/>
      </c>
      <c r="U307" s="95">
        <f>IF($L$292,$T307,$N307)</f>
        <v/>
      </c>
    </row>
    <row r="308">
      <c r="A308" s="90" t="n">
        <v>14</v>
      </c>
      <c r="B308" s="91">
        <f>EDATE($B307,1)</f>
        <v/>
      </c>
      <c r="C308" s="92">
        <f>EOMONTH($B308,0)</f>
        <v/>
      </c>
      <c r="D308" s="87">
        <f>$C308-$B308+1</f>
        <v/>
      </c>
      <c r="E308" s="87">
        <f>MONTH($B308)</f>
        <v/>
      </c>
      <c r="F308" s="93">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$N308*IF($O$292=1,$O308/$F$292,1)</f>
        <v/>
      </c>
      <c r="T308" s="95">
        <f>IF($G308&lt;nr_MStartP,$S308,$T296*(1+IF($G308&lt;nr_MStartP1,$M$292,$N$292)))</f>
        <v/>
      </c>
      <c r="U308" s="95">
        <f>IF($L$292,$T308,$N308)</f>
        <v/>
      </c>
    </row>
    <row r="309">
      <c r="A309" s="90" t="n">
        <v>15</v>
      </c>
      <c r="B309" s="91">
        <f>EDATE($B308,1)</f>
        <v/>
      </c>
      <c r="C309" s="92">
        <f>EOMONTH($B309,0)</f>
        <v/>
      </c>
      <c r="D309" s="87">
        <f>$C309-$B309+1</f>
        <v/>
      </c>
      <c r="E309" s="87">
        <f>MONTH($B309)</f>
        <v/>
      </c>
      <c r="F309" s="93">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$N309*IF($O$292=1,$O309/$F$292,1)</f>
        <v/>
      </c>
      <c r="T309" s="95">
        <f>IF($G309&lt;nr_MStartP,$S309,$T297*(1+IF($G309&lt;nr_MStartP1,$M$292,$N$292)))</f>
        <v/>
      </c>
      <c r="U309" s="95">
        <f>IF($L$292,$T309,$N309)</f>
        <v/>
      </c>
    </row>
    <row r="310">
      <c r="A310" s="90" t="n">
        <v>16</v>
      </c>
      <c r="B310" s="91">
        <f>EDATE($B309,1)</f>
        <v/>
      </c>
      <c r="C310" s="92">
        <f>EOMONTH($B310,0)</f>
        <v/>
      </c>
      <c r="D310" s="87">
        <f>$C310-$B310+1</f>
        <v/>
      </c>
      <c r="E310" s="87">
        <f>MONTH($B310)</f>
        <v/>
      </c>
      <c r="F310" s="93">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$N310*IF($O$292=1,$O310/$F$292,1)</f>
        <v/>
      </c>
      <c r="T310" s="95">
        <f>IF($G310&lt;nr_MStartP,$S310,$T298*(1+IF($G310&lt;nr_MStartP1,$M$292,$N$292)))</f>
        <v/>
      </c>
      <c r="U310" s="95">
        <f>IF($L$292,$T310,$N310)</f>
        <v/>
      </c>
    </row>
    <row r="311">
      <c r="A311" s="90" t="n">
        <v>17</v>
      </c>
      <c r="B311" s="91">
        <f>EDATE($B310,1)</f>
        <v/>
      </c>
      <c r="C311" s="92">
        <f>EOMONTH($B311,0)</f>
        <v/>
      </c>
      <c r="D311" s="87">
        <f>$C311-$B311+1</f>
        <v/>
      </c>
      <c r="E311" s="87">
        <f>MONTH($B311)</f>
        <v/>
      </c>
      <c r="F311" s="93">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$N311*IF($O$292=1,$O311/$F$292,1)</f>
        <v/>
      </c>
      <c r="T311" s="95">
        <f>IF($G311&lt;nr_MStartP,$S311,$T299*(1+IF($G311&lt;nr_MStartP1,$M$292,$N$292)))</f>
        <v/>
      </c>
      <c r="U311" s="95">
        <f>IF($L$292,$T311,$N311)</f>
        <v/>
      </c>
    </row>
    <row r="312">
      <c r="A312" s="90" t="n">
        <v>18</v>
      </c>
      <c r="B312" s="91">
        <f>EDATE($B311,1)</f>
        <v/>
      </c>
      <c r="C312" s="92">
        <f>EOMONTH($B312,0)</f>
        <v/>
      </c>
      <c r="D312" s="87">
        <f>$C312-$B312+1</f>
        <v/>
      </c>
      <c r="E312" s="87">
        <f>MONTH($B312)</f>
        <v/>
      </c>
      <c r="F312" s="93">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$N312*IF($O$292=1,$O312/$F$292,1)</f>
        <v/>
      </c>
      <c r="T312" s="95">
        <f>IF($G312&lt;nr_MStartP,$S312,$T300*(1+IF($G312&lt;nr_MStartP1,$M$292,$N$292)))</f>
        <v/>
      </c>
      <c r="U312" s="95">
        <f>IF($L$292,$T312,$N312)</f>
        <v/>
      </c>
    </row>
    <row r="313">
      <c r="A313" s="90" t="n">
        <v>19</v>
      </c>
      <c r="B313" s="91">
        <f>EDATE($B312,1)</f>
        <v/>
      </c>
      <c r="C313" s="92">
        <f>EOMONTH($B313,0)</f>
        <v/>
      </c>
      <c r="D313" s="87">
        <f>$C313-$B313+1</f>
        <v/>
      </c>
      <c r="E313" s="87">
        <f>MONTH($B313)</f>
        <v/>
      </c>
      <c r="F313" s="93">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$N313*IF($O$292=1,$O313/$F$292,1)</f>
        <v/>
      </c>
      <c r="T313" s="95">
        <f>IF($G313&lt;nr_MStartP,$S313,$T301*(1+IF($G313&lt;nr_MStartP1,$M$292,$N$292)))</f>
        <v/>
      </c>
      <c r="U313" s="95">
        <f>IF($L$292,$T313,$N313)</f>
        <v/>
      </c>
    </row>
    <row r="314">
      <c r="A314" s="90" t="n">
        <v>20</v>
      </c>
      <c r="B314" s="91">
        <f>EDATE($B313,1)</f>
        <v/>
      </c>
      <c r="C314" s="92">
        <f>EOMONTH($B314,0)</f>
        <v/>
      </c>
      <c r="D314" s="87">
        <f>$C314-$B314+1</f>
        <v/>
      </c>
      <c r="E314" s="87">
        <f>MONTH($B314)</f>
        <v/>
      </c>
      <c r="F314" s="93">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$N314*IF($O$292=1,$O314/$F$292,1)</f>
        <v/>
      </c>
      <c r="T314" s="95">
        <f>IF($G314&lt;nr_MStartP,$S314,$T302*(1+IF($G314&lt;nr_MStartP1,$M$292,$N$292)))</f>
        <v/>
      </c>
      <c r="U314" s="95">
        <f>IF($L$292,$T314,$N314)</f>
        <v/>
      </c>
    </row>
    <row r="315">
      <c r="A315" s="90" t="n">
        <v>21</v>
      </c>
      <c r="B315" s="91">
        <f>EDATE($B314,1)</f>
        <v/>
      </c>
      <c r="C315" s="92">
        <f>EOMONTH($B315,0)</f>
        <v/>
      </c>
      <c r="D315" s="87">
        <f>$C315-$B315+1</f>
        <v/>
      </c>
      <c r="E315" s="87">
        <f>MONTH($B315)</f>
        <v/>
      </c>
      <c r="F315" s="93">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$N315*IF($O$292=1,$O315/$F$292,1)</f>
        <v/>
      </c>
      <c r="T315" s="95">
        <f>IF($G315&lt;nr_MStartP,$S315,$T303*(1+IF($G315&lt;nr_MStartP1,$M$292,$N$292)))</f>
        <v/>
      </c>
      <c r="U315" s="95">
        <f>IF($L$292,$T315,$N315)</f>
        <v/>
      </c>
    </row>
    <row r="316">
      <c r="A316" s="90" t="n">
        <v>22</v>
      </c>
      <c r="B316" s="91">
        <f>EDATE($B315,1)</f>
        <v/>
      </c>
      <c r="C316" s="92">
        <f>EOMONTH($B316,0)</f>
        <v/>
      </c>
      <c r="D316" s="87">
        <f>$C316-$B316+1</f>
        <v/>
      </c>
      <c r="E316" s="87">
        <f>MONTH($B316)</f>
        <v/>
      </c>
      <c r="F316" s="93">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$N316*IF($O$292=1,$O316/$F$292,1)</f>
        <v/>
      </c>
      <c r="T316" s="95">
        <f>IF($G316&lt;nr_MStartP,$S316,$T304*(1+IF($G316&lt;nr_MStartP1,$M$292,$N$292)))</f>
        <v/>
      </c>
      <c r="U316" s="95">
        <f>IF($L$292,$T316,$N316)</f>
        <v/>
      </c>
    </row>
    <row r="317">
      <c r="A317" s="90" t="n">
        <v>23</v>
      </c>
      <c r="B317" s="91">
        <f>EDATE($B316,1)</f>
        <v/>
      </c>
      <c r="C317" s="92">
        <f>EOMONTH($B317,0)</f>
        <v/>
      </c>
      <c r="D317" s="87">
        <f>$C317-$B317+1</f>
        <v/>
      </c>
      <c r="E317" s="87">
        <f>MONTH($B317)</f>
        <v/>
      </c>
      <c r="F317" s="93">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$N317*IF($O$292=1,$O317/$F$292,1)</f>
        <v/>
      </c>
      <c r="T317" s="95">
        <f>IF($G317&lt;nr_MStartP,$S317,$T305*(1+IF($G317&lt;nr_MStartP1,$M$292,$N$292)))</f>
        <v/>
      </c>
      <c r="U317" s="95">
        <f>IF($L$292,$T317,$N317)</f>
        <v/>
      </c>
    </row>
    <row r="318">
      <c r="A318" s="90" t="n">
        <v>24</v>
      </c>
      <c r="B318" s="91">
        <f>EDATE($B317,1)</f>
        <v/>
      </c>
      <c r="C318" s="92">
        <f>EOMONTH($B318,0)</f>
        <v/>
      </c>
      <c r="D318" s="87">
        <f>$C318-$B318+1</f>
        <v/>
      </c>
      <c r="E318" s="87">
        <f>MONTH($B318)</f>
        <v/>
      </c>
      <c r="F318" s="93">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$N318*IF($O$292=1,$O318/$F$292,1)</f>
        <v/>
      </c>
      <c r="T318" s="95">
        <f>IF($G318&lt;nr_MStartP,$S318,$T306*(1+IF($G318&lt;nr_MStartP1,$M$292,$N$292)))</f>
        <v/>
      </c>
      <c r="U318" s="95">
        <f>IF($L$292,$T318,$N318)</f>
        <v/>
      </c>
    </row>
    <row r="319">
      <c r="A319" s="90" t="n">
        <v>25</v>
      </c>
      <c r="B319" s="91">
        <f>EDATE($B318,1)</f>
        <v/>
      </c>
      <c r="C319" s="92">
        <f>EOMONTH($B319,0)</f>
        <v/>
      </c>
      <c r="D319" s="87">
        <f>$C319-$B319+1</f>
        <v/>
      </c>
      <c r="E319" s="87">
        <f>MONTH($B319)</f>
        <v/>
      </c>
      <c r="F319" s="93">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$N319*IF($O$292=1,$O319/$F$292,1)</f>
        <v/>
      </c>
      <c r="T319" s="95">
        <f>IF($G319&lt;nr_MStartP,$S319,$T307*(1+IF($G319&lt;nr_MStartP1,$M$292,$N$292)))</f>
        <v/>
      </c>
      <c r="U319" s="95">
        <f>IF($L$292,$T319,$N319)</f>
        <v/>
      </c>
    </row>
    <row r="320">
      <c r="A320" s="90" t="n">
        <v>26</v>
      </c>
      <c r="B320" s="91">
        <f>EDATE($B319,1)</f>
        <v/>
      </c>
      <c r="C320" s="92">
        <f>EOMONTH($B320,0)</f>
        <v/>
      </c>
      <c r="D320" s="87">
        <f>$C320-$B320+1</f>
        <v/>
      </c>
      <c r="E320" s="87">
        <f>MONTH($B320)</f>
        <v/>
      </c>
      <c r="F320" s="93">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$N320*IF($O$292=1,$O320/$F$292,1)</f>
        <v/>
      </c>
      <c r="T320" s="95">
        <f>IF($G320&lt;nr_MStartP,$S320,$T308*(1+IF($G320&lt;nr_MStartP1,$M$292,$N$292)))</f>
        <v/>
      </c>
      <c r="U320" s="95">
        <f>IF($L$292,$T320,$N320)</f>
        <v/>
      </c>
    </row>
    <row r="321">
      <c r="A321" s="90" t="n">
        <v>27</v>
      </c>
      <c r="B321" s="91">
        <f>EDATE($B320,1)</f>
        <v/>
      </c>
      <c r="C321" s="92">
        <f>EOMONTH($B321,0)</f>
        <v/>
      </c>
      <c r="D321" s="87">
        <f>$C321-$B321+1</f>
        <v/>
      </c>
      <c r="E321" s="87">
        <f>MONTH($B321)</f>
        <v/>
      </c>
      <c r="F321" s="93">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$N321*IF($O$292=1,$O321/$F$292,1)</f>
        <v/>
      </c>
      <c r="T321" s="95">
        <f>IF($G321&lt;nr_MStartP,$S321,$T309*(1+IF($G321&lt;nr_MStartP1,$M$292,$N$292)))</f>
        <v/>
      </c>
      <c r="U321" s="95">
        <f>IF($L$292,$T321,$N321)</f>
        <v/>
      </c>
    </row>
    <row r="322">
      <c r="A322" s="90" t="n">
        <v>28</v>
      </c>
      <c r="B322" s="91">
        <f>EDATE($B321,1)</f>
        <v/>
      </c>
      <c r="C322" s="92">
        <f>EOMONTH($B322,0)</f>
        <v/>
      </c>
      <c r="D322" s="87">
        <f>$C322-$B322+1</f>
        <v/>
      </c>
      <c r="E322" s="87">
        <f>MONTH($B322)</f>
        <v/>
      </c>
      <c r="F322" s="93">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$N322*IF($O$292=1,$O322/$F$292,1)</f>
        <v/>
      </c>
      <c r="T322" s="95">
        <f>IF($G322&lt;nr_MStartP,$S322,$T310*(1+IF($G322&lt;nr_MStartP1,$M$292,$N$292)))</f>
        <v/>
      </c>
      <c r="U322" s="95">
        <f>IF($L$292,$T322,$N322)</f>
        <v/>
      </c>
    </row>
    <row r="323">
      <c r="A323" s="90" t="n">
        <v>29</v>
      </c>
      <c r="B323" s="91">
        <f>EDATE($B322,1)</f>
        <v/>
      </c>
      <c r="C323" s="92">
        <f>EOMONTH($B323,0)</f>
        <v/>
      </c>
      <c r="D323" s="87">
        <f>$C323-$B323+1</f>
        <v/>
      </c>
      <c r="E323" s="87">
        <f>MONTH($B323)</f>
        <v/>
      </c>
      <c r="F323" s="93">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$N323*IF($O$292=1,$O323/$F$292,1)</f>
        <v/>
      </c>
      <c r="T323" s="95">
        <f>IF($G323&lt;nr_MStartP,$S323,$T311*(1+IF($G323&lt;nr_MStartP1,$M$292,$N$292)))</f>
        <v/>
      </c>
      <c r="U323" s="95">
        <f>IF($L$292,$T323,$N323)</f>
        <v/>
      </c>
    </row>
    <row r="324">
      <c r="A324" s="90" t="n">
        <v>30</v>
      </c>
      <c r="B324" s="91">
        <f>EDATE($B323,1)</f>
        <v/>
      </c>
      <c r="C324" s="92">
        <f>EOMONTH($B324,0)</f>
        <v/>
      </c>
      <c r="D324" s="87">
        <f>$C324-$B324+1</f>
        <v/>
      </c>
      <c r="E324" s="87">
        <f>MONTH($B324)</f>
        <v/>
      </c>
      <c r="F324" s="93">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$N324*IF($O$292=1,$O324/$F$292,1)</f>
        <v/>
      </c>
      <c r="T324" s="95">
        <f>IF($G324&lt;nr_MStartP,$S324,$T312*(1+IF($G324&lt;nr_MStartP1,$M$292,$N$292)))</f>
        <v/>
      </c>
      <c r="U324" s="95">
        <f>IF($L$292,$T324,$N324)</f>
        <v/>
      </c>
    </row>
    <row r="325">
      <c r="A325" s="90" t="n">
        <v>31</v>
      </c>
      <c r="B325" s="91">
        <f>EDATE($B324,1)</f>
        <v/>
      </c>
      <c r="C325" s="92">
        <f>EOMONTH($B325,0)</f>
        <v/>
      </c>
      <c r="D325" s="87">
        <f>$C325-$B325+1</f>
        <v/>
      </c>
      <c r="E325" s="87">
        <f>MONTH($B325)</f>
        <v/>
      </c>
      <c r="F325" s="93">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$N325*IF($O$292=1,$O325/$F$292,1)</f>
        <v/>
      </c>
      <c r="T325" s="95">
        <f>IF($G325&lt;nr_MStartP,$S325,$T313*(1+IF($G325&lt;nr_MStartP1,$M$292,$N$292)))</f>
        <v/>
      </c>
      <c r="U325" s="95">
        <f>IF($L$292,$T325,$N325)</f>
        <v/>
      </c>
    </row>
    <row r="326">
      <c r="A326" s="90" t="n">
        <v>32</v>
      </c>
      <c r="B326" s="91">
        <f>EDATE($B325,1)</f>
        <v/>
      </c>
      <c r="C326" s="92">
        <f>EOMONTH($B326,0)</f>
        <v/>
      </c>
      <c r="D326" s="87">
        <f>$C326-$B326+1</f>
        <v/>
      </c>
      <c r="E326" s="87">
        <f>MONTH($B326)</f>
        <v/>
      </c>
      <c r="F326" s="93">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$N326*IF($O$292=1,$O326/$F$292,1)</f>
        <v/>
      </c>
      <c r="T326" s="95">
        <f>IF($G326&lt;nr_MStartP,$S326,$T314*(1+IF($G326&lt;nr_MStartP1,$M$292,$N$292)))</f>
        <v/>
      </c>
      <c r="U326" s="95">
        <f>IF($L$292,$T326,$N326)</f>
        <v/>
      </c>
    </row>
    <row r="327">
      <c r="A327" s="90" t="n">
        <v>33</v>
      </c>
      <c r="B327" s="91">
        <f>EDATE($B326,1)</f>
        <v/>
      </c>
      <c r="C327" s="92">
        <f>EOMONTH($B327,0)</f>
        <v/>
      </c>
      <c r="D327" s="87">
        <f>$C327-$B327+1</f>
        <v/>
      </c>
      <c r="E327" s="87">
        <f>MONTH($B327)</f>
        <v/>
      </c>
      <c r="F327" s="93">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$N327*IF($O$292=1,$O327/$F$292,1)</f>
        <v/>
      </c>
      <c r="T327" s="95">
        <f>IF($G327&lt;nr_MStartP,$S327,$T315*(1+IF($G327&lt;nr_MStartP1,$M$292,$N$292)))</f>
        <v/>
      </c>
      <c r="U327" s="95">
        <f>IF($L$292,$T327,$N327)</f>
        <v/>
      </c>
    </row>
    <row r="328">
      <c r="A328" s="90" t="n">
        <v>34</v>
      </c>
      <c r="B328" s="91">
        <f>EDATE($B327,1)</f>
        <v/>
      </c>
      <c r="C328" s="92">
        <f>EOMONTH($B328,0)</f>
        <v/>
      </c>
      <c r="D328" s="87">
        <f>$C328-$B328+1</f>
        <v/>
      </c>
      <c r="E328" s="87">
        <f>MONTH($B328)</f>
        <v/>
      </c>
      <c r="F328" s="93">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$N328*IF($O$292=1,$O328/$F$292,1)</f>
        <v/>
      </c>
      <c r="T328" s="95">
        <f>IF($G328&lt;nr_MStartP,$S328,$T316*(1+IF($G328&lt;nr_MStartP1,$M$292,$N$292)))</f>
        <v/>
      </c>
      <c r="U328" s="95">
        <f>IF($L$292,$T328,$N328)</f>
        <v/>
      </c>
    </row>
    <row r="329">
      <c r="A329" s="90" t="n">
        <v>35</v>
      </c>
      <c r="B329" s="91">
        <f>EDATE($B328,1)</f>
        <v/>
      </c>
      <c r="C329" s="92">
        <f>EOMONTH($B329,0)</f>
        <v/>
      </c>
      <c r="D329" s="87">
        <f>$C329-$B329+1</f>
        <v/>
      </c>
      <c r="E329" s="87">
        <f>MONTH($B329)</f>
        <v/>
      </c>
      <c r="F329" s="93">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$N329*IF($O$292=1,$O329/$F$292,1)</f>
        <v/>
      </c>
      <c r="T329" s="95">
        <f>IF($G329&lt;nr_MStartP,$S329,$T317*(1+IF($G329&lt;nr_MStartP1,$M$292,$N$292)))</f>
        <v/>
      </c>
      <c r="U329" s="95">
        <f>IF($L$292,$T329,$N329)</f>
        <v/>
      </c>
    </row>
    <row r="330">
      <c r="A330" s="90" t="n">
        <v>36</v>
      </c>
      <c r="B330" s="91">
        <f>EDATE($B329,1)</f>
        <v/>
      </c>
      <c r="C330" s="92">
        <f>EOMONTH($B330,0)</f>
        <v/>
      </c>
      <c r="D330" s="87">
        <f>$C330-$B330+1</f>
        <v/>
      </c>
      <c r="E330" s="87">
        <f>MONTH($B330)</f>
        <v/>
      </c>
      <c r="F330" s="93">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$N330*IF($O$292=1,$O330/$F$292,1)</f>
        <v/>
      </c>
      <c r="T330" s="95">
        <f>IF($G330&lt;nr_MStartP,$S330,$T318*(1+IF($G330&lt;nr_MStartP1,$M$292,$N$292)))</f>
        <v/>
      </c>
      <c r="U330" s="95">
        <f>IF($L$292,$T330,$N330)</f>
        <v/>
      </c>
    </row>
    <row r="331">
      <c r="A331" s="90" t="n">
        <v>37</v>
      </c>
      <c r="B331" s="91">
        <f>EDATE($B330,1)</f>
        <v/>
      </c>
      <c r="C331" s="92">
        <f>EOMONTH($B331,0)</f>
        <v/>
      </c>
      <c r="D331" s="87">
        <f>$C331-$B331+1</f>
        <v/>
      </c>
      <c r="E331" s="87">
        <f>MONTH($B331)</f>
        <v/>
      </c>
      <c r="F331" s="93">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$N331*IF($O$292=1,$O331/$F$292,1)</f>
        <v/>
      </c>
      <c r="T331" s="95">
        <f>IF($G331&lt;nr_MStartP,$S331,$T319*(1+IF($G331&lt;nr_MStartP1,$M$292,$N$292)))</f>
        <v/>
      </c>
      <c r="U331" s="95">
        <f>IF($L$292,$T331,$N331)</f>
        <v/>
      </c>
    </row>
    <row r="332">
      <c r="A332" s="90" t="n">
        <v>38</v>
      </c>
      <c r="B332" s="91">
        <f>EDATE($B331,1)</f>
        <v/>
      </c>
      <c r="C332" s="92">
        <f>EOMONTH($B332,0)</f>
        <v/>
      </c>
      <c r="D332" s="87">
        <f>$C332-$B332+1</f>
        <v/>
      </c>
      <c r="E332" s="87">
        <f>MONTH($B332)</f>
        <v/>
      </c>
      <c r="F332" s="93">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$N332*IF($O$292=1,$O332/$F$292,1)</f>
        <v/>
      </c>
      <c r="T332" s="95">
        <f>IF($G332&lt;nr_MStartP,$S332,$T320*(1+IF($G332&lt;nr_MStartP1,$M$292,$N$292)))</f>
        <v/>
      </c>
      <c r="U332" s="95">
        <f>IF($L$292,$T332,$N332)</f>
        <v/>
      </c>
    </row>
    <row r="333">
      <c r="A333" s="90" t="n">
        <v>39</v>
      </c>
      <c r="B333" s="91">
        <f>EDATE($B332,1)</f>
        <v/>
      </c>
      <c r="C333" s="92">
        <f>EOMONTH($B333,0)</f>
        <v/>
      </c>
      <c r="D333" s="87">
        <f>$C333-$B333+1</f>
        <v/>
      </c>
      <c r="E333" s="87">
        <f>MONTH($B333)</f>
        <v/>
      </c>
      <c r="F333" s="93">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$N333*IF($O$292=1,$O333/$F$292,1)</f>
        <v/>
      </c>
      <c r="T333" s="95">
        <f>IF($G333&lt;nr_MStartP,$S333,$T321*(1+IF($G333&lt;nr_MStartP1,$M$292,$N$292)))</f>
        <v/>
      </c>
      <c r="U333" s="95">
        <f>IF($L$292,$T333,$N333)</f>
        <v/>
      </c>
    </row>
    <row r="334">
      <c r="A334" s="90" t="n">
        <v>40</v>
      </c>
      <c r="B334" s="91">
        <f>EDATE($B333,1)</f>
        <v/>
      </c>
      <c r="C334" s="92">
        <f>EOMONTH($B334,0)</f>
        <v/>
      </c>
      <c r="D334" s="87">
        <f>$C334-$B334+1</f>
        <v/>
      </c>
      <c r="E334" s="87">
        <f>MONTH($B334)</f>
        <v/>
      </c>
      <c r="F334" s="93">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$N334*IF($O$292=1,$O334/$F$292,1)</f>
        <v/>
      </c>
      <c r="T334" s="95">
        <f>IF($G334&lt;nr_MStartP,$S334,$T322*(1+IF($G334&lt;nr_MStartP1,$M$292,$N$292)))</f>
        <v/>
      </c>
      <c r="U334" s="95">
        <f>IF($L$292,$T334,$N334)</f>
        <v/>
      </c>
    </row>
    <row r="335">
      <c r="A335" s="90" t="n">
        <v>41</v>
      </c>
      <c r="B335" s="91">
        <f>EDATE($B334,1)</f>
        <v/>
      </c>
      <c r="C335" s="92">
        <f>EOMONTH($B335,0)</f>
        <v/>
      </c>
      <c r="D335" s="87">
        <f>$C335-$B335+1</f>
        <v/>
      </c>
      <c r="E335" s="87">
        <f>MONTH($B335)</f>
        <v/>
      </c>
      <c r="F335" s="93">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$N335*IF($O$292=1,$O335/$F$292,1)</f>
        <v/>
      </c>
      <c r="T335" s="95">
        <f>IF($G335&lt;nr_MStartP,$S335,$T323*(1+IF($G335&lt;nr_MStartP1,$M$292,$N$292)))</f>
        <v/>
      </c>
      <c r="U335" s="95">
        <f>IF($L$292,$T335,$N335)</f>
        <v/>
      </c>
    </row>
    <row r="336">
      <c r="A336" s="90" t="n">
        <v>42</v>
      </c>
      <c r="B336" s="91">
        <f>EDATE($B335,1)</f>
        <v/>
      </c>
      <c r="C336" s="92">
        <f>EOMONTH($B336,0)</f>
        <v/>
      </c>
      <c r="D336" s="87">
        <f>$C336-$B336+1</f>
        <v/>
      </c>
      <c r="E336" s="87">
        <f>MONTH($B336)</f>
        <v/>
      </c>
      <c r="F336" s="93">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$N336*IF($O$292=1,$O336/$F$292,1)</f>
        <v/>
      </c>
      <c r="T336" s="95">
        <f>IF($G336&lt;nr_MStartP,$S336,$T324*(1+IF($G336&lt;nr_MStartP1,$M$292,$N$292)))</f>
        <v/>
      </c>
      <c r="U336" s="95">
        <f>IF($L$292,$T336,$N336)</f>
        <v/>
      </c>
    </row>
    <row r="337">
      <c r="A337" s="90" t="n">
        <v>43</v>
      </c>
      <c r="B337" s="91">
        <f>EDATE($B336,1)</f>
        <v/>
      </c>
      <c r="C337" s="92">
        <f>EOMONTH($B337,0)</f>
        <v/>
      </c>
      <c r="D337" s="87">
        <f>$C337-$B337+1</f>
        <v/>
      </c>
      <c r="E337" s="87">
        <f>MONTH($B337)</f>
        <v/>
      </c>
      <c r="F337" s="93">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$N337*IF($O$292=1,$O337/$F$292,1)</f>
        <v/>
      </c>
      <c r="T337" s="95">
        <f>IF($G337&lt;nr_MStartP,$S337,$T325*(1+IF($G337&lt;nr_MStartP1,$M$292,$N$292)))</f>
        <v/>
      </c>
      <c r="U337" s="95">
        <f>IF($L$292,$T337,$N337)</f>
        <v/>
      </c>
    </row>
    <row r="338">
      <c r="A338" s="90" t="n">
        <v>44</v>
      </c>
      <c r="B338" s="91">
        <f>EDATE($B337,1)</f>
        <v/>
      </c>
      <c r="C338" s="92">
        <f>EOMONTH($B338,0)</f>
        <v/>
      </c>
      <c r="D338" s="87">
        <f>$C338-$B338+1</f>
        <v/>
      </c>
      <c r="E338" s="87">
        <f>MONTH($B338)</f>
        <v/>
      </c>
      <c r="F338" s="93">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$N338*IF($O$292=1,$O338/$F$292,1)</f>
        <v/>
      </c>
      <c r="T338" s="95">
        <f>IF($G338&lt;nr_MStartP,$S338,$T326*(1+IF($G338&lt;nr_MStartP1,$M$292,$N$292)))</f>
        <v/>
      </c>
      <c r="U338" s="95">
        <f>IF($L$292,$T338,$N338)</f>
        <v/>
      </c>
    </row>
    <row r="339">
      <c r="A339" s="90" t="n">
        <v>45</v>
      </c>
      <c r="B339" s="91">
        <f>EDATE($B338,1)</f>
        <v/>
      </c>
      <c r="C339" s="92">
        <f>EOMONTH($B339,0)</f>
        <v/>
      </c>
      <c r="D339" s="87">
        <f>$C339-$B339+1</f>
        <v/>
      </c>
      <c r="E339" s="87">
        <f>MONTH($B339)</f>
        <v/>
      </c>
      <c r="F339" s="93">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$N339*IF($O$292=1,$O339/$F$292,1)</f>
        <v/>
      </c>
      <c r="T339" s="95">
        <f>IF($G339&lt;nr_MStartP,$S339,$T327*(1+IF($G339&lt;nr_MStartP1,$M$292,$N$292)))</f>
        <v/>
      </c>
      <c r="U339" s="95">
        <f>IF($L$292,$T339,$N339)</f>
        <v/>
      </c>
    </row>
    <row r="340">
      <c r="A340" s="90" t="n">
        <v>46</v>
      </c>
      <c r="B340" s="91">
        <f>EDATE($B339,1)</f>
        <v/>
      </c>
      <c r="C340" s="92">
        <f>EOMONTH($B340,0)</f>
        <v/>
      </c>
      <c r="D340" s="87">
        <f>$C340-$B340+1</f>
        <v/>
      </c>
      <c r="E340" s="87">
        <f>MONTH($B340)</f>
        <v/>
      </c>
      <c r="F340" s="93">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$N340*IF($O$292=1,$O340/$F$292,1)</f>
        <v/>
      </c>
      <c r="T340" s="95">
        <f>IF($G340&lt;nr_MStartP,$S340,$T328*(1+IF($G340&lt;nr_MStartP1,$M$292,$N$292)))</f>
        <v/>
      </c>
      <c r="U340" s="95">
        <f>IF($L$292,$T340,$N340)</f>
        <v/>
      </c>
    </row>
    <row r="341">
      <c r="A341" s="90" t="n">
        <v>47</v>
      </c>
      <c r="B341" s="91">
        <f>EDATE($B340,1)</f>
        <v/>
      </c>
      <c r="C341" s="92">
        <f>EOMONTH($B341,0)</f>
        <v/>
      </c>
      <c r="D341" s="87">
        <f>$C341-$B341+1</f>
        <v/>
      </c>
      <c r="E341" s="87">
        <f>MONTH($B341)</f>
        <v/>
      </c>
      <c r="F341" s="93">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$N341*IF($O$292=1,$O341/$F$292,1)</f>
        <v/>
      </c>
      <c r="T341" s="95">
        <f>IF($G341&lt;nr_MStartP,$S341,$T329*(1+IF($G341&lt;nr_MStartP1,$M$292,$N$292)))</f>
        <v/>
      </c>
      <c r="U341" s="95">
        <f>IF($L$292,$T341,$N341)</f>
        <v/>
      </c>
    </row>
    <row r="342">
      <c r="A342" s="90" t="n">
        <v>48</v>
      </c>
      <c r="B342" s="91">
        <f>EDATE($B341,1)</f>
        <v/>
      </c>
      <c r="C342" s="92">
        <f>EOMONTH($B342,0)</f>
        <v/>
      </c>
      <c r="D342" s="87">
        <f>$C342-$B342+1</f>
        <v/>
      </c>
      <c r="E342" s="87">
        <f>MONTH($B342)</f>
        <v/>
      </c>
      <c r="F342" s="93">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$N342*IF($O$292=1,$O342/$F$292,1)</f>
        <v/>
      </c>
      <c r="T342" s="95">
        <f>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04">
        <f>SUMPRODUCT($H$295:$H$342,$Q$295:$Q$342,$O$295:$O$342)/SUMPRODUCT($H$295:$H$342,$Q$295:$Q$342)</f>
        <v/>
      </c>
      <c r="G343" s="20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04">
        <f>IF(N(INDEX(lr_mind,6))=0,1,INDEX(lr_mind,6))</f>
        <v/>
      </c>
      <c r="G346" s="204">
        <f>IF(N(INDEX(lr_m0,6))=0,1,INDEX(lr_m0,6))</f>
        <v/>
      </c>
      <c r="H346" s="73">
        <f>IF(N(INDEX(lr_m0asof,6))=0,DATE(nr_PlanYear-1,10,1),INDEX(lr_m0asof,6))</f>
        <v/>
      </c>
      <c r="I346" s="204">
        <f>IF(N(INDEX(lr_m1,6))=0,1,INDEX(lr_m1,6))</f>
        <v/>
      </c>
      <c r="J346" s="204">
        <f>INDEX(lr_mprior,6)</f>
        <v/>
      </c>
      <c r="K346" s="20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93">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$N349*IF($O$346=1,$O349/$F$346,1)</f>
        <v/>
      </c>
      <c r="T349" s="95">
        <f>IF($G349&lt;nr_MStartP,$S349,$T337*(1+IF($G349&lt;nr_MStartP1,$M$346,$N$346)))</f>
        <v/>
      </c>
      <c r="U349" s="95">
        <f>IF($L$346,$T349,$N349)</f>
        <v/>
      </c>
    </row>
    <row r="350">
      <c r="A350" s="90" t="n">
        <v>2</v>
      </c>
      <c r="B350" s="91">
        <f>EDATE($B349,1)</f>
        <v/>
      </c>
      <c r="C350" s="92">
        <f>EOMONTH($B350,0)</f>
        <v/>
      </c>
      <c r="D350" s="87">
        <f>$C350-$B350+1</f>
        <v/>
      </c>
      <c r="E350" s="87">
        <f>MONTH($B350)</f>
        <v/>
      </c>
      <c r="F350" s="93">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$N350*IF($O$346=1,$O350/$F$346,1)</f>
        <v/>
      </c>
      <c r="T350" s="95">
        <f>IF($G350&lt;nr_MStartP,$S350,$T338*(1+IF($G350&lt;nr_MStartP1,$M$346,$N$346)))</f>
        <v/>
      </c>
      <c r="U350" s="95">
        <f>IF($L$346,$T350,$N350)</f>
        <v/>
      </c>
    </row>
    <row r="351">
      <c r="A351" s="90" t="n">
        <v>3</v>
      </c>
      <c r="B351" s="91">
        <f>EDATE($B350,1)</f>
        <v/>
      </c>
      <c r="C351" s="92">
        <f>EOMONTH($B351,0)</f>
        <v/>
      </c>
      <c r="D351" s="87">
        <f>$C351-$B351+1</f>
        <v/>
      </c>
      <c r="E351" s="87">
        <f>MONTH($B351)</f>
        <v/>
      </c>
      <c r="F351" s="93">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$N351*IF($O$346=1,$O351/$F$346,1)</f>
        <v/>
      </c>
      <c r="T351" s="95">
        <f>IF($G351&lt;nr_MStartP,$S351,$T339*(1+IF($G351&lt;nr_MStartP1,$M$346,$N$346)))</f>
        <v/>
      </c>
      <c r="U351" s="95">
        <f>IF($L$346,$T351,$N351)</f>
        <v/>
      </c>
    </row>
    <row r="352">
      <c r="A352" s="90" t="n">
        <v>4</v>
      </c>
      <c r="B352" s="91">
        <f>EDATE($B351,1)</f>
        <v/>
      </c>
      <c r="C352" s="92">
        <f>EOMONTH($B352,0)</f>
        <v/>
      </c>
      <c r="D352" s="87">
        <f>$C352-$B352+1</f>
        <v/>
      </c>
      <c r="E352" s="87">
        <f>MONTH($B352)</f>
        <v/>
      </c>
      <c r="F352" s="93">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$N352*IF($O$346=1,$O352/$F$346,1)</f>
        <v/>
      </c>
      <c r="T352" s="95">
        <f>IF($G352&lt;nr_MStartP,$S352,$T340*(1+IF($G352&lt;nr_MStartP1,$M$346,$N$346)))</f>
        <v/>
      </c>
      <c r="U352" s="95">
        <f>IF($L$346,$T352,$N352)</f>
        <v/>
      </c>
    </row>
    <row r="353">
      <c r="A353" s="90" t="n">
        <v>5</v>
      </c>
      <c r="B353" s="91">
        <f>EDATE($B352,1)</f>
        <v/>
      </c>
      <c r="C353" s="92">
        <f>EOMONTH($B353,0)</f>
        <v/>
      </c>
      <c r="D353" s="87">
        <f>$C353-$B353+1</f>
        <v/>
      </c>
      <c r="E353" s="87">
        <f>MONTH($B353)</f>
        <v/>
      </c>
      <c r="F353" s="93">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$N353*IF($O$346=1,$O353/$F$346,1)</f>
        <v/>
      </c>
      <c r="T353" s="95">
        <f>IF($G353&lt;nr_MStartP,$S353,$T341*(1+IF($G353&lt;nr_MStartP1,$M$346,$N$346)))</f>
        <v/>
      </c>
      <c r="U353" s="95">
        <f>IF($L$346,$T353,$N353)</f>
        <v/>
      </c>
    </row>
    <row r="354">
      <c r="A354" s="90" t="n">
        <v>6</v>
      </c>
      <c r="B354" s="91">
        <f>EDATE($B353,1)</f>
        <v/>
      </c>
      <c r="C354" s="92">
        <f>EOMONTH($B354,0)</f>
        <v/>
      </c>
      <c r="D354" s="87">
        <f>$C354-$B354+1</f>
        <v/>
      </c>
      <c r="E354" s="87">
        <f>MONTH($B354)</f>
        <v/>
      </c>
      <c r="F354" s="93">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$N354*IF($O$346=1,$O354/$F$346,1)</f>
        <v/>
      </c>
      <c r="T354" s="95">
        <f>IF($G354&lt;nr_MStartP,$S354,$T342*(1+IF($G354&lt;nr_MStartP1,$M$346,$N$346)))</f>
        <v/>
      </c>
      <c r="U354" s="95">
        <f>IF($L$346,$T354,$N354)</f>
        <v/>
      </c>
    </row>
    <row r="355">
      <c r="A355" s="90" t="n">
        <v>7</v>
      </c>
      <c r="B355" s="91">
        <f>EDATE($B354,1)</f>
        <v/>
      </c>
      <c r="C355" s="92">
        <f>EOMONTH($B355,0)</f>
        <v/>
      </c>
      <c r="D355" s="87">
        <f>$C355-$B355+1</f>
        <v/>
      </c>
      <c r="E355" s="87">
        <f>MONTH($B355)</f>
        <v/>
      </c>
      <c r="F355" s="93">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$N355*IF($O$346=1,$O355/$F$346,1)</f>
        <v/>
      </c>
      <c r="T355" s="95">
        <f>IF($G355&lt;nr_MStartP,$S355,$T343*(1+IF($G355&lt;nr_MStartP1,$M$346,$N$346)))</f>
        <v/>
      </c>
      <c r="U355" s="95">
        <f>IF($L$346,$T355,$N355)</f>
        <v/>
      </c>
    </row>
    <row r="356">
      <c r="A356" s="90" t="n">
        <v>8</v>
      </c>
      <c r="B356" s="91">
        <f>EDATE($B355,1)</f>
        <v/>
      </c>
      <c r="C356" s="92">
        <f>EOMONTH($B356,0)</f>
        <v/>
      </c>
      <c r="D356" s="87">
        <f>$C356-$B356+1</f>
        <v/>
      </c>
      <c r="E356" s="87">
        <f>MONTH($B356)</f>
        <v/>
      </c>
      <c r="F356" s="93">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$N356*IF($O$346=1,$O356/$F$346,1)</f>
        <v/>
      </c>
      <c r="T356" s="95">
        <f>IF($G356&lt;nr_MStartP,$S356,$T344*(1+IF($G356&lt;nr_MStartP1,$M$346,$N$346)))</f>
        <v/>
      </c>
      <c r="U356" s="95">
        <f>IF($L$346,$T356,$N356)</f>
        <v/>
      </c>
    </row>
    <row r="357">
      <c r="A357" s="90" t="n">
        <v>9</v>
      </c>
      <c r="B357" s="91">
        <f>EDATE($B356,1)</f>
        <v/>
      </c>
      <c r="C357" s="92">
        <f>EOMONTH($B357,0)</f>
        <v/>
      </c>
      <c r="D357" s="87">
        <f>$C357-$B357+1</f>
        <v/>
      </c>
      <c r="E357" s="87">
        <f>MONTH($B357)</f>
        <v/>
      </c>
      <c r="F357" s="93">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$N357*IF($O$346=1,$O357/$F$346,1)</f>
        <v/>
      </c>
      <c r="T357" s="95">
        <f>IF($G357&lt;nr_MStartP,$S357,$T345*(1+IF($G357&lt;nr_MStartP1,$M$346,$N$346)))</f>
        <v/>
      </c>
      <c r="U357" s="95">
        <f>IF($L$346,$T357,$N357)</f>
        <v/>
      </c>
    </row>
    <row r="358">
      <c r="A358" s="90" t="n">
        <v>10</v>
      </c>
      <c r="B358" s="91">
        <f>EDATE($B357,1)</f>
        <v/>
      </c>
      <c r="C358" s="92">
        <f>EOMONTH($B358,0)</f>
        <v/>
      </c>
      <c r="D358" s="87">
        <f>$C358-$B358+1</f>
        <v/>
      </c>
      <c r="E358" s="87">
        <f>MONTH($B358)</f>
        <v/>
      </c>
      <c r="F358" s="93">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$N358*IF($O$346=1,$O358/$F$346,1)</f>
        <v/>
      </c>
      <c r="T358" s="95">
        <f>IF($G358&lt;nr_MStartP,$S358,$T346*(1+IF($G358&lt;nr_MStartP1,$M$346,$N$346)))</f>
        <v/>
      </c>
      <c r="U358" s="95">
        <f>IF($L$346,$T358,$N358)</f>
        <v/>
      </c>
    </row>
    <row r="359">
      <c r="A359" s="90" t="n">
        <v>11</v>
      </c>
      <c r="B359" s="91">
        <f>EDATE($B358,1)</f>
        <v/>
      </c>
      <c r="C359" s="92">
        <f>EOMONTH($B359,0)</f>
        <v/>
      </c>
      <c r="D359" s="87">
        <f>$C359-$B359+1</f>
        <v/>
      </c>
      <c r="E359" s="87">
        <f>MONTH($B359)</f>
        <v/>
      </c>
      <c r="F359" s="93">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$N359*IF($O$346=1,$O359/$F$346,1)</f>
        <v/>
      </c>
      <c r="T359" s="95">
        <f>IF($G359&lt;nr_MStartP,$S359,$T347*(1+IF($G359&lt;nr_MStartP1,$M$346,$N$346)))</f>
        <v/>
      </c>
      <c r="U359" s="95">
        <f>IF($L$346,$T359,$N359)</f>
        <v/>
      </c>
    </row>
    <row r="360">
      <c r="A360" s="90" t="n">
        <v>12</v>
      </c>
      <c r="B360" s="91">
        <f>EDATE($B359,1)</f>
        <v/>
      </c>
      <c r="C360" s="92">
        <f>EOMONTH($B360,0)</f>
        <v/>
      </c>
      <c r="D360" s="87">
        <f>$C360-$B360+1</f>
        <v/>
      </c>
      <c r="E360" s="87">
        <f>MONTH($B360)</f>
        <v/>
      </c>
      <c r="F360" s="93">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$N360*IF($O$346=1,$O360/$F$346,1)</f>
        <v/>
      </c>
      <c r="T360" s="95">
        <f>IF($G360&lt;nr_MStartP,$S360,$T348*(1+IF($G360&lt;nr_MStartP1,$M$346,$N$346)))</f>
        <v/>
      </c>
      <c r="U360" s="95">
        <f>IF($L$346,$T360,$N360)</f>
        <v/>
      </c>
    </row>
    <row r="361">
      <c r="A361" s="90" t="n">
        <v>13</v>
      </c>
      <c r="B361" s="91">
        <f>EDATE($B360,1)</f>
        <v/>
      </c>
      <c r="C361" s="92">
        <f>EOMONTH($B361,0)</f>
        <v/>
      </c>
      <c r="D361" s="87">
        <f>$C361-$B361+1</f>
        <v/>
      </c>
      <c r="E361" s="87">
        <f>MONTH($B361)</f>
        <v/>
      </c>
      <c r="F361" s="93">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$N361*IF($O$346=1,$O361/$F$346,1)</f>
        <v/>
      </c>
      <c r="T361" s="95">
        <f>IF($G361&lt;nr_MStartP,$S361,$T349*(1+IF($G361&lt;nr_MStartP1,$M$346,$N$346)))</f>
        <v/>
      </c>
      <c r="U361" s="95">
        <f>IF($L$346,$T361,$N361)</f>
        <v/>
      </c>
    </row>
    <row r="362">
      <c r="A362" s="90" t="n">
        <v>14</v>
      </c>
      <c r="B362" s="91">
        <f>EDATE($B361,1)</f>
        <v/>
      </c>
      <c r="C362" s="92">
        <f>EOMONTH($B362,0)</f>
        <v/>
      </c>
      <c r="D362" s="87">
        <f>$C362-$B362+1</f>
        <v/>
      </c>
      <c r="E362" s="87">
        <f>MONTH($B362)</f>
        <v/>
      </c>
      <c r="F362" s="93">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$N362*IF($O$346=1,$O362/$F$346,1)</f>
        <v/>
      </c>
      <c r="T362" s="95">
        <f>IF($G362&lt;nr_MStartP,$S362,$T350*(1+IF($G362&lt;nr_MStartP1,$M$346,$N$346)))</f>
        <v/>
      </c>
      <c r="U362" s="95">
        <f>IF($L$346,$T362,$N362)</f>
        <v/>
      </c>
    </row>
    <row r="363">
      <c r="A363" s="90" t="n">
        <v>15</v>
      </c>
      <c r="B363" s="91">
        <f>EDATE($B362,1)</f>
        <v/>
      </c>
      <c r="C363" s="92">
        <f>EOMONTH($B363,0)</f>
        <v/>
      </c>
      <c r="D363" s="87">
        <f>$C363-$B363+1</f>
        <v/>
      </c>
      <c r="E363" s="87">
        <f>MONTH($B363)</f>
        <v/>
      </c>
      <c r="F363" s="93">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$N363*IF($O$346=1,$O363/$F$346,1)</f>
        <v/>
      </c>
      <c r="T363" s="95">
        <f>IF($G363&lt;nr_MStartP,$S363,$T351*(1+IF($G363&lt;nr_MStartP1,$M$346,$N$346)))</f>
        <v/>
      </c>
      <c r="U363" s="95">
        <f>IF($L$346,$T363,$N363)</f>
        <v/>
      </c>
    </row>
    <row r="364">
      <c r="A364" s="90" t="n">
        <v>16</v>
      </c>
      <c r="B364" s="91">
        <f>EDATE($B363,1)</f>
        <v/>
      </c>
      <c r="C364" s="92">
        <f>EOMONTH($B364,0)</f>
        <v/>
      </c>
      <c r="D364" s="87">
        <f>$C364-$B364+1</f>
        <v/>
      </c>
      <c r="E364" s="87">
        <f>MONTH($B364)</f>
        <v/>
      </c>
      <c r="F364" s="93">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$N364*IF($O$346=1,$O364/$F$346,1)</f>
        <v/>
      </c>
      <c r="T364" s="95">
        <f>IF($G364&lt;nr_MStartP,$S364,$T352*(1+IF($G364&lt;nr_MStartP1,$M$346,$N$346)))</f>
        <v/>
      </c>
      <c r="U364" s="95">
        <f>IF($L$346,$T364,$N364)</f>
        <v/>
      </c>
    </row>
    <row r="365">
      <c r="A365" s="90" t="n">
        <v>17</v>
      </c>
      <c r="B365" s="91">
        <f>EDATE($B364,1)</f>
        <v/>
      </c>
      <c r="C365" s="92">
        <f>EOMONTH($B365,0)</f>
        <v/>
      </c>
      <c r="D365" s="87">
        <f>$C365-$B365+1</f>
        <v/>
      </c>
      <c r="E365" s="87">
        <f>MONTH($B365)</f>
        <v/>
      </c>
      <c r="F365" s="93">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$N365*IF($O$346=1,$O365/$F$346,1)</f>
        <v/>
      </c>
      <c r="T365" s="95">
        <f>IF($G365&lt;nr_MStartP,$S365,$T353*(1+IF($G365&lt;nr_MStartP1,$M$346,$N$346)))</f>
        <v/>
      </c>
      <c r="U365" s="95">
        <f>IF($L$346,$T365,$N365)</f>
        <v/>
      </c>
    </row>
    <row r="366">
      <c r="A366" s="90" t="n">
        <v>18</v>
      </c>
      <c r="B366" s="91">
        <f>EDATE($B365,1)</f>
        <v/>
      </c>
      <c r="C366" s="92">
        <f>EOMONTH($B366,0)</f>
        <v/>
      </c>
      <c r="D366" s="87">
        <f>$C366-$B366+1</f>
        <v/>
      </c>
      <c r="E366" s="87">
        <f>MONTH($B366)</f>
        <v/>
      </c>
      <c r="F366" s="93">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$N366*IF($O$346=1,$O366/$F$346,1)</f>
        <v/>
      </c>
      <c r="T366" s="95">
        <f>IF($G366&lt;nr_MStartP,$S366,$T354*(1+IF($G366&lt;nr_MStartP1,$M$346,$N$346)))</f>
        <v/>
      </c>
      <c r="U366" s="95">
        <f>IF($L$346,$T366,$N366)</f>
        <v/>
      </c>
    </row>
    <row r="367">
      <c r="A367" s="90" t="n">
        <v>19</v>
      </c>
      <c r="B367" s="91">
        <f>EDATE($B366,1)</f>
        <v/>
      </c>
      <c r="C367" s="92">
        <f>EOMONTH($B367,0)</f>
        <v/>
      </c>
      <c r="D367" s="87">
        <f>$C367-$B367+1</f>
        <v/>
      </c>
      <c r="E367" s="87">
        <f>MONTH($B367)</f>
        <v/>
      </c>
      <c r="F367" s="93">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$N367*IF($O$346=1,$O367/$F$346,1)</f>
        <v/>
      </c>
      <c r="T367" s="95">
        <f>IF($G367&lt;nr_MStartP,$S367,$T355*(1+IF($G367&lt;nr_MStartP1,$M$346,$N$346)))</f>
        <v/>
      </c>
      <c r="U367" s="95">
        <f>IF($L$346,$T367,$N367)</f>
        <v/>
      </c>
    </row>
    <row r="368">
      <c r="A368" s="90" t="n">
        <v>20</v>
      </c>
      <c r="B368" s="91">
        <f>EDATE($B367,1)</f>
        <v/>
      </c>
      <c r="C368" s="92">
        <f>EOMONTH($B368,0)</f>
        <v/>
      </c>
      <c r="D368" s="87">
        <f>$C368-$B368+1</f>
        <v/>
      </c>
      <c r="E368" s="87">
        <f>MONTH($B368)</f>
        <v/>
      </c>
      <c r="F368" s="93">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$N368*IF($O$346=1,$O368/$F$346,1)</f>
        <v/>
      </c>
      <c r="T368" s="95">
        <f>IF($G368&lt;nr_MStartP,$S368,$T356*(1+IF($G368&lt;nr_MStartP1,$M$346,$N$346)))</f>
        <v/>
      </c>
      <c r="U368" s="95">
        <f>IF($L$346,$T368,$N368)</f>
        <v/>
      </c>
    </row>
    <row r="369">
      <c r="A369" s="90" t="n">
        <v>21</v>
      </c>
      <c r="B369" s="91">
        <f>EDATE($B368,1)</f>
        <v/>
      </c>
      <c r="C369" s="92">
        <f>EOMONTH($B369,0)</f>
        <v/>
      </c>
      <c r="D369" s="87">
        <f>$C369-$B369+1</f>
        <v/>
      </c>
      <c r="E369" s="87">
        <f>MONTH($B369)</f>
        <v/>
      </c>
      <c r="F369" s="93">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$N369*IF($O$346=1,$O369/$F$346,1)</f>
        <v/>
      </c>
      <c r="T369" s="95">
        <f>IF($G369&lt;nr_MStartP,$S369,$T357*(1+IF($G369&lt;nr_MStartP1,$M$346,$N$346)))</f>
        <v/>
      </c>
      <c r="U369" s="95">
        <f>IF($L$346,$T369,$N369)</f>
        <v/>
      </c>
    </row>
    <row r="370">
      <c r="A370" s="90" t="n">
        <v>22</v>
      </c>
      <c r="B370" s="91">
        <f>EDATE($B369,1)</f>
        <v/>
      </c>
      <c r="C370" s="92">
        <f>EOMONTH($B370,0)</f>
        <v/>
      </c>
      <c r="D370" s="87">
        <f>$C370-$B370+1</f>
        <v/>
      </c>
      <c r="E370" s="87">
        <f>MONTH($B370)</f>
        <v/>
      </c>
      <c r="F370" s="93">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$N370*IF($O$346=1,$O370/$F$346,1)</f>
        <v/>
      </c>
      <c r="T370" s="95">
        <f>IF($G370&lt;nr_MStartP,$S370,$T358*(1+IF($G370&lt;nr_MStartP1,$M$346,$N$346)))</f>
        <v/>
      </c>
      <c r="U370" s="95">
        <f>IF($L$346,$T370,$N370)</f>
        <v/>
      </c>
    </row>
    <row r="371">
      <c r="A371" s="90" t="n">
        <v>23</v>
      </c>
      <c r="B371" s="91">
        <f>EDATE($B370,1)</f>
        <v/>
      </c>
      <c r="C371" s="92">
        <f>EOMONTH($B371,0)</f>
        <v/>
      </c>
      <c r="D371" s="87">
        <f>$C371-$B371+1</f>
        <v/>
      </c>
      <c r="E371" s="87">
        <f>MONTH($B371)</f>
        <v/>
      </c>
      <c r="F371" s="93">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$N371*IF($O$346=1,$O371/$F$346,1)</f>
        <v/>
      </c>
      <c r="T371" s="95">
        <f>IF($G371&lt;nr_MStartP,$S371,$T359*(1+IF($G371&lt;nr_MStartP1,$M$346,$N$346)))</f>
        <v/>
      </c>
      <c r="U371" s="95">
        <f>IF($L$346,$T371,$N371)</f>
        <v/>
      </c>
    </row>
    <row r="372">
      <c r="A372" s="90" t="n">
        <v>24</v>
      </c>
      <c r="B372" s="91">
        <f>EDATE($B371,1)</f>
        <v/>
      </c>
      <c r="C372" s="92">
        <f>EOMONTH($B372,0)</f>
        <v/>
      </c>
      <c r="D372" s="87">
        <f>$C372-$B372+1</f>
        <v/>
      </c>
      <c r="E372" s="87">
        <f>MONTH($B372)</f>
        <v/>
      </c>
      <c r="F372" s="93">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$N372*IF($O$346=1,$O372/$F$346,1)</f>
        <v/>
      </c>
      <c r="T372" s="95">
        <f>IF($G372&lt;nr_MStartP,$S372,$T360*(1+IF($G372&lt;nr_MStartP1,$M$346,$N$346)))</f>
        <v/>
      </c>
      <c r="U372" s="95">
        <f>IF($L$346,$T372,$N372)</f>
        <v/>
      </c>
    </row>
    <row r="373">
      <c r="A373" s="90" t="n">
        <v>25</v>
      </c>
      <c r="B373" s="91">
        <f>EDATE($B372,1)</f>
        <v/>
      </c>
      <c r="C373" s="92">
        <f>EOMONTH($B373,0)</f>
        <v/>
      </c>
      <c r="D373" s="87">
        <f>$C373-$B373+1</f>
        <v/>
      </c>
      <c r="E373" s="87">
        <f>MONTH($B373)</f>
        <v/>
      </c>
      <c r="F373" s="93">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$N373*IF($O$346=1,$O373/$F$346,1)</f>
        <v/>
      </c>
      <c r="T373" s="95">
        <f>IF($G373&lt;nr_MStartP,$S373,$T361*(1+IF($G373&lt;nr_MStartP1,$M$346,$N$346)))</f>
        <v/>
      </c>
      <c r="U373" s="95">
        <f>IF($L$346,$T373,$N373)</f>
        <v/>
      </c>
    </row>
    <row r="374">
      <c r="A374" s="90" t="n">
        <v>26</v>
      </c>
      <c r="B374" s="91">
        <f>EDATE($B373,1)</f>
        <v/>
      </c>
      <c r="C374" s="92">
        <f>EOMONTH($B374,0)</f>
        <v/>
      </c>
      <c r="D374" s="87">
        <f>$C374-$B374+1</f>
        <v/>
      </c>
      <c r="E374" s="87">
        <f>MONTH($B374)</f>
        <v/>
      </c>
      <c r="F374" s="93">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$N374*IF($O$346=1,$O374/$F$346,1)</f>
        <v/>
      </c>
      <c r="T374" s="95">
        <f>IF($G374&lt;nr_MStartP,$S374,$T362*(1+IF($G374&lt;nr_MStartP1,$M$346,$N$346)))</f>
        <v/>
      </c>
      <c r="U374" s="95">
        <f>IF($L$346,$T374,$N374)</f>
        <v/>
      </c>
    </row>
    <row r="375">
      <c r="A375" s="90" t="n">
        <v>27</v>
      </c>
      <c r="B375" s="91">
        <f>EDATE($B374,1)</f>
        <v/>
      </c>
      <c r="C375" s="92">
        <f>EOMONTH($B375,0)</f>
        <v/>
      </c>
      <c r="D375" s="87">
        <f>$C375-$B375+1</f>
        <v/>
      </c>
      <c r="E375" s="87">
        <f>MONTH($B375)</f>
        <v/>
      </c>
      <c r="F375" s="93">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$N375*IF($O$346=1,$O375/$F$346,1)</f>
        <v/>
      </c>
      <c r="T375" s="95">
        <f>IF($G375&lt;nr_MStartP,$S375,$T363*(1+IF($G375&lt;nr_MStartP1,$M$346,$N$346)))</f>
        <v/>
      </c>
      <c r="U375" s="95">
        <f>IF($L$346,$T375,$N375)</f>
        <v/>
      </c>
    </row>
    <row r="376">
      <c r="A376" s="90" t="n">
        <v>28</v>
      </c>
      <c r="B376" s="91">
        <f>EDATE($B375,1)</f>
        <v/>
      </c>
      <c r="C376" s="92">
        <f>EOMONTH($B376,0)</f>
        <v/>
      </c>
      <c r="D376" s="87">
        <f>$C376-$B376+1</f>
        <v/>
      </c>
      <c r="E376" s="87">
        <f>MONTH($B376)</f>
        <v/>
      </c>
      <c r="F376" s="93">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$N376*IF($O$346=1,$O376/$F$346,1)</f>
        <v/>
      </c>
      <c r="T376" s="95">
        <f>IF($G376&lt;nr_MStartP,$S376,$T364*(1+IF($G376&lt;nr_MStartP1,$M$346,$N$346)))</f>
        <v/>
      </c>
      <c r="U376" s="95">
        <f>IF($L$346,$T376,$N376)</f>
        <v/>
      </c>
    </row>
    <row r="377">
      <c r="A377" s="90" t="n">
        <v>29</v>
      </c>
      <c r="B377" s="91">
        <f>EDATE($B376,1)</f>
        <v/>
      </c>
      <c r="C377" s="92">
        <f>EOMONTH($B377,0)</f>
        <v/>
      </c>
      <c r="D377" s="87">
        <f>$C377-$B377+1</f>
        <v/>
      </c>
      <c r="E377" s="87">
        <f>MONTH($B377)</f>
        <v/>
      </c>
      <c r="F377" s="93">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$N377*IF($O$346=1,$O377/$F$346,1)</f>
        <v/>
      </c>
      <c r="T377" s="95">
        <f>IF($G377&lt;nr_MStartP,$S377,$T365*(1+IF($G377&lt;nr_MStartP1,$M$346,$N$346)))</f>
        <v/>
      </c>
      <c r="U377" s="95">
        <f>IF($L$346,$T377,$N377)</f>
        <v/>
      </c>
    </row>
    <row r="378">
      <c r="A378" s="90" t="n">
        <v>30</v>
      </c>
      <c r="B378" s="91">
        <f>EDATE($B377,1)</f>
        <v/>
      </c>
      <c r="C378" s="92">
        <f>EOMONTH($B378,0)</f>
        <v/>
      </c>
      <c r="D378" s="87">
        <f>$C378-$B378+1</f>
        <v/>
      </c>
      <c r="E378" s="87">
        <f>MONTH($B378)</f>
        <v/>
      </c>
      <c r="F378" s="93">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$N378*IF($O$346=1,$O378/$F$346,1)</f>
        <v/>
      </c>
      <c r="T378" s="95">
        <f>IF($G378&lt;nr_MStartP,$S378,$T366*(1+IF($G378&lt;nr_MStartP1,$M$346,$N$346)))</f>
        <v/>
      </c>
      <c r="U378" s="95">
        <f>IF($L$346,$T378,$N378)</f>
        <v/>
      </c>
    </row>
    <row r="379">
      <c r="A379" s="90" t="n">
        <v>31</v>
      </c>
      <c r="B379" s="91">
        <f>EDATE($B378,1)</f>
        <v/>
      </c>
      <c r="C379" s="92">
        <f>EOMONTH($B379,0)</f>
        <v/>
      </c>
      <c r="D379" s="87">
        <f>$C379-$B379+1</f>
        <v/>
      </c>
      <c r="E379" s="87">
        <f>MONTH($B379)</f>
        <v/>
      </c>
      <c r="F379" s="93">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$N379*IF($O$346=1,$O379/$F$346,1)</f>
        <v/>
      </c>
      <c r="T379" s="95">
        <f>IF($G379&lt;nr_MStartP,$S379,$T367*(1+IF($G379&lt;nr_MStartP1,$M$346,$N$346)))</f>
        <v/>
      </c>
      <c r="U379" s="95">
        <f>IF($L$346,$T379,$N379)</f>
        <v/>
      </c>
    </row>
    <row r="380">
      <c r="A380" s="90" t="n">
        <v>32</v>
      </c>
      <c r="B380" s="91">
        <f>EDATE($B379,1)</f>
        <v/>
      </c>
      <c r="C380" s="92">
        <f>EOMONTH($B380,0)</f>
        <v/>
      </c>
      <c r="D380" s="87">
        <f>$C380-$B380+1</f>
        <v/>
      </c>
      <c r="E380" s="87">
        <f>MONTH($B380)</f>
        <v/>
      </c>
      <c r="F380" s="93">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$N380*IF($O$346=1,$O380/$F$346,1)</f>
        <v/>
      </c>
      <c r="T380" s="95">
        <f>IF($G380&lt;nr_MStartP,$S380,$T368*(1+IF($G380&lt;nr_MStartP1,$M$346,$N$346)))</f>
        <v/>
      </c>
      <c r="U380" s="95">
        <f>IF($L$346,$T380,$N380)</f>
        <v/>
      </c>
    </row>
    <row r="381">
      <c r="A381" s="90" t="n">
        <v>33</v>
      </c>
      <c r="B381" s="91">
        <f>EDATE($B380,1)</f>
        <v/>
      </c>
      <c r="C381" s="92">
        <f>EOMONTH($B381,0)</f>
        <v/>
      </c>
      <c r="D381" s="87">
        <f>$C381-$B381+1</f>
        <v/>
      </c>
      <c r="E381" s="87">
        <f>MONTH($B381)</f>
        <v/>
      </c>
      <c r="F381" s="93">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$N381*IF($O$346=1,$O381/$F$346,1)</f>
        <v/>
      </c>
      <c r="T381" s="95">
        <f>IF($G381&lt;nr_MStartP,$S381,$T369*(1+IF($G381&lt;nr_MStartP1,$M$346,$N$346)))</f>
        <v/>
      </c>
      <c r="U381" s="95">
        <f>IF($L$346,$T381,$N381)</f>
        <v/>
      </c>
    </row>
    <row r="382">
      <c r="A382" s="90" t="n">
        <v>34</v>
      </c>
      <c r="B382" s="91">
        <f>EDATE($B381,1)</f>
        <v/>
      </c>
      <c r="C382" s="92">
        <f>EOMONTH($B382,0)</f>
        <v/>
      </c>
      <c r="D382" s="87">
        <f>$C382-$B382+1</f>
        <v/>
      </c>
      <c r="E382" s="87">
        <f>MONTH($B382)</f>
        <v/>
      </c>
      <c r="F382" s="93">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$N382*IF($O$346=1,$O382/$F$346,1)</f>
        <v/>
      </c>
      <c r="T382" s="95">
        <f>IF($G382&lt;nr_MStartP,$S382,$T370*(1+IF($G382&lt;nr_MStartP1,$M$346,$N$346)))</f>
        <v/>
      </c>
      <c r="U382" s="95">
        <f>IF($L$346,$T382,$N382)</f>
        <v/>
      </c>
    </row>
    <row r="383">
      <c r="A383" s="90" t="n">
        <v>35</v>
      </c>
      <c r="B383" s="91">
        <f>EDATE($B382,1)</f>
        <v/>
      </c>
      <c r="C383" s="92">
        <f>EOMONTH($B383,0)</f>
        <v/>
      </c>
      <c r="D383" s="87">
        <f>$C383-$B383+1</f>
        <v/>
      </c>
      <c r="E383" s="87">
        <f>MONTH($B383)</f>
        <v/>
      </c>
      <c r="F383" s="93">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$N383*IF($O$346=1,$O383/$F$346,1)</f>
        <v/>
      </c>
      <c r="T383" s="95">
        <f>IF($G383&lt;nr_MStartP,$S383,$T371*(1+IF($G383&lt;nr_MStartP1,$M$346,$N$346)))</f>
        <v/>
      </c>
      <c r="U383" s="95">
        <f>IF($L$346,$T383,$N383)</f>
        <v/>
      </c>
    </row>
    <row r="384">
      <c r="A384" s="90" t="n">
        <v>36</v>
      </c>
      <c r="B384" s="91">
        <f>EDATE($B383,1)</f>
        <v/>
      </c>
      <c r="C384" s="92">
        <f>EOMONTH($B384,0)</f>
        <v/>
      </c>
      <c r="D384" s="87">
        <f>$C384-$B384+1</f>
        <v/>
      </c>
      <c r="E384" s="87">
        <f>MONTH($B384)</f>
        <v/>
      </c>
      <c r="F384" s="93">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$N384*IF($O$346=1,$O384/$F$346,1)</f>
        <v/>
      </c>
      <c r="T384" s="95">
        <f>IF($G384&lt;nr_MStartP,$S384,$T372*(1+IF($G384&lt;nr_MStartP1,$M$346,$N$346)))</f>
        <v/>
      </c>
      <c r="U384" s="95">
        <f>IF($L$346,$T384,$N384)</f>
        <v/>
      </c>
    </row>
    <row r="385">
      <c r="A385" s="90" t="n">
        <v>37</v>
      </c>
      <c r="B385" s="91">
        <f>EDATE($B384,1)</f>
        <v/>
      </c>
      <c r="C385" s="92">
        <f>EOMONTH($B385,0)</f>
        <v/>
      </c>
      <c r="D385" s="87">
        <f>$C385-$B385+1</f>
        <v/>
      </c>
      <c r="E385" s="87">
        <f>MONTH($B385)</f>
        <v/>
      </c>
      <c r="F385" s="93">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$N385*IF($O$346=1,$O385/$F$346,1)</f>
        <v/>
      </c>
      <c r="T385" s="95">
        <f>IF($G385&lt;nr_MStartP,$S385,$T373*(1+IF($G385&lt;nr_MStartP1,$M$346,$N$346)))</f>
        <v/>
      </c>
      <c r="U385" s="95">
        <f>IF($L$346,$T385,$N385)</f>
        <v/>
      </c>
    </row>
    <row r="386">
      <c r="A386" s="90" t="n">
        <v>38</v>
      </c>
      <c r="B386" s="91">
        <f>EDATE($B385,1)</f>
        <v/>
      </c>
      <c r="C386" s="92">
        <f>EOMONTH($B386,0)</f>
        <v/>
      </c>
      <c r="D386" s="87">
        <f>$C386-$B386+1</f>
        <v/>
      </c>
      <c r="E386" s="87">
        <f>MONTH($B386)</f>
        <v/>
      </c>
      <c r="F386" s="93">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$N386*IF($O$346=1,$O386/$F$346,1)</f>
        <v/>
      </c>
      <c r="T386" s="95">
        <f>IF($G386&lt;nr_MStartP,$S386,$T374*(1+IF($G386&lt;nr_MStartP1,$M$346,$N$346)))</f>
        <v/>
      </c>
      <c r="U386" s="95">
        <f>IF($L$346,$T386,$N386)</f>
        <v/>
      </c>
    </row>
    <row r="387">
      <c r="A387" s="90" t="n">
        <v>39</v>
      </c>
      <c r="B387" s="91">
        <f>EDATE($B386,1)</f>
        <v/>
      </c>
      <c r="C387" s="92">
        <f>EOMONTH($B387,0)</f>
        <v/>
      </c>
      <c r="D387" s="87">
        <f>$C387-$B387+1</f>
        <v/>
      </c>
      <c r="E387" s="87">
        <f>MONTH($B387)</f>
        <v/>
      </c>
      <c r="F387" s="93">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$N387*IF($O$346=1,$O387/$F$346,1)</f>
        <v/>
      </c>
      <c r="T387" s="95">
        <f>IF($G387&lt;nr_MStartP,$S387,$T375*(1+IF($G387&lt;nr_MStartP1,$M$346,$N$346)))</f>
        <v/>
      </c>
      <c r="U387" s="95">
        <f>IF($L$346,$T387,$N387)</f>
        <v/>
      </c>
    </row>
    <row r="388">
      <c r="A388" s="90" t="n">
        <v>40</v>
      </c>
      <c r="B388" s="91">
        <f>EDATE($B387,1)</f>
        <v/>
      </c>
      <c r="C388" s="92">
        <f>EOMONTH($B388,0)</f>
        <v/>
      </c>
      <c r="D388" s="87">
        <f>$C388-$B388+1</f>
        <v/>
      </c>
      <c r="E388" s="87">
        <f>MONTH($B388)</f>
        <v/>
      </c>
      <c r="F388" s="93">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$N388*IF($O$346=1,$O388/$F$346,1)</f>
        <v/>
      </c>
      <c r="T388" s="95">
        <f>IF($G388&lt;nr_MStartP,$S388,$T376*(1+IF($G388&lt;nr_MStartP1,$M$346,$N$346)))</f>
        <v/>
      </c>
      <c r="U388" s="95">
        <f>IF($L$346,$T388,$N388)</f>
        <v/>
      </c>
    </row>
    <row r="389">
      <c r="A389" s="90" t="n">
        <v>41</v>
      </c>
      <c r="B389" s="91">
        <f>EDATE($B388,1)</f>
        <v/>
      </c>
      <c r="C389" s="92">
        <f>EOMONTH($B389,0)</f>
        <v/>
      </c>
      <c r="D389" s="87">
        <f>$C389-$B389+1</f>
        <v/>
      </c>
      <c r="E389" s="87">
        <f>MONTH($B389)</f>
        <v/>
      </c>
      <c r="F389" s="93">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$N389*IF($O$346=1,$O389/$F$346,1)</f>
        <v/>
      </c>
      <c r="T389" s="95">
        <f>IF($G389&lt;nr_MStartP,$S389,$T377*(1+IF($G389&lt;nr_MStartP1,$M$346,$N$346)))</f>
        <v/>
      </c>
      <c r="U389" s="95">
        <f>IF($L$346,$T389,$N389)</f>
        <v/>
      </c>
    </row>
    <row r="390">
      <c r="A390" s="90" t="n">
        <v>42</v>
      </c>
      <c r="B390" s="91">
        <f>EDATE($B389,1)</f>
        <v/>
      </c>
      <c r="C390" s="92">
        <f>EOMONTH($B390,0)</f>
        <v/>
      </c>
      <c r="D390" s="87">
        <f>$C390-$B390+1</f>
        <v/>
      </c>
      <c r="E390" s="87">
        <f>MONTH($B390)</f>
        <v/>
      </c>
      <c r="F390" s="93">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$N390*IF($O$346=1,$O390/$F$346,1)</f>
        <v/>
      </c>
      <c r="T390" s="95">
        <f>IF($G390&lt;nr_MStartP,$S390,$T378*(1+IF($G390&lt;nr_MStartP1,$M$346,$N$346)))</f>
        <v/>
      </c>
      <c r="U390" s="95">
        <f>IF($L$346,$T390,$N390)</f>
        <v/>
      </c>
    </row>
    <row r="391">
      <c r="A391" s="90" t="n">
        <v>43</v>
      </c>
      <c r="B391" s="91">
        <f>EDATE($B390,1)</f>
        <v/>
      </c>
      <c r="C391" s="92">
        <f>EOMONTH($B391,0)</f>
        <v/>
      </c>
      <c r="D391" s="87">
        <f>$C391-$B391+1</f>
        <v/>
      </c>
      <c r="E391" s="87">
        <f>MONTH($B391)</f>
        <v/>
      </c>
      <c r="F391" s="93">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$N391*IF($O$346=1,$O391/$F$346,1)</f>
        <v/>
      </c>
      <c r="T391" s="95">
        <f>IF($G391&lt;nr_MStartP,$S391,$T379*(1+IF($G391&lt;nr_MStartP1,$M$346,$N$346)))</f>
        <v/>
      </c>
      <c r="U391" s="95">
        <f>IF($L$346,$T391,$N391)</f>
        <v/>
      </c>
    </row>
    <row r="392">
      <c r="A392" s="90" t="n">
        <v>44</v>
      </c>
      <c r="B392" s="91">
        <f>EDATE($B391,1)</f>
        <v/>
      </c>
      <c r="C392" s="92">
        <f>EOMONTH($B392,0)</f>
        <v/>
      </c>
      <c r="D392" s="87">
        <f>$C392-$B392+1</f>
        <v/>
      </c>
      <c r="E392" s="87">
        <f>MONTH($B392)</f>
        <v/>
      </c>
      <c r="F392" s="93">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$N392*IF($O$346=1,$O392/$F$346,1)</f>
        <v/>
      </c>
      <c r="T392" s="95">
        <f>IF($G392&lt;nr_MStartP,$S392,$T380*(1+IF($G392&lt;nr_MStartP1,$M$346,$N$346)))</f>
        <v/>
      </c>
      <c r="U392" s="95">
        <f>IF($L$346,$T392,$N392)</f>
        <v/>
      </c>
    </row>
    <row r="393">
      <c r="A393" s="90" t="n">
        <v>45</v>
      </c>
      <c r="B393" s="91">
        <f>EDATE($B392,1)</f>
        <v/>
      </c>
      <c r="C393" s="92">
        <f>EOMONTH($B393,0)</f>
        <v/>
      </c>
      <c r="D393" s="87">
        <f>$C393-$B393+1</f>
        <v/>
      </c>
      <c r="E393" s="87">
        <f>MONTH($B393)</f>
        <v/>
      </c>
      <c r="F393" s="93">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$N393*IF($O$346=1,$O393/$F$346,1)</f>
        <v/>
      </c>
      <c r="T393" s="95">
        <f>IF($G393&lt;nr_MStartP,$S393,$T381*(1+IF($G393&lt;nr_MStartP1,$M$346,$N$346)))</f>
        <v/>
      </c>
      <c r="U393" s="95">
        <f>IF($L$346,$T393,$N393)</f>
        <v/>
      </c>
    </row>
    <row r="394">
      <c r="A394" s="90" t="n">
        <v>46</v>
      </c>
      <c r="B394" s="91">
        <f>EDATE($B393,1)</f>
        <v/>
      </c>
      <c r="C394" s="92">
        <f>EOMONTH($B394,0)</f>
        <v/>
      </c>
      <c r="D394" s="87">
        <f>$C394-$B394+1</f>
        <v/>
      </c>
      <c r="E394" s="87">
        <f>MONTH($B394)</f>
        <v/>
      </c>
      <c r="F394" s="93">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$N394*IF($O$346=1,$O394/$F$346,1)</f>
        <v/>
      </c>
      <c r="T394" s="95">
        <f>IF($G394&lt;nr_MStartP,$S394,$T382*(1+IF($G394&lt;nr_MStartP1,$M$346,$N$346)))</f>
        <v/>
      </c>
      <c r="U394" s="95">
        <f>IF($L$346,$T394,$N394)</f>
        <v/>
      </c>
    </row>
    <row r="395">
      <c r="A395" s="90" t="n">
        <v>47</v>
      </c>
      <c r="B395" s="91">
        <f>EDATE($B394,1)</f>
        <v/>
      </c>
      <c r="C395" s="92">
        <f>EOMONTH($B395,0)</f>
        <v/>
      </c>
      <c r="D395" s="87">
        <f>$C395-$B395+1</f>
        <v/>
      </c>
      <c r="E395" s="87">
        <f>MONTH($B395)</f>
        <v/>
      </c>
      <c r="F395" s="93">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$N395*IF($O$346=1,$O395/$F$346,1)</f>
        <v/>
      </c>
      <c r="T395" s="95">
        <f>IF($G395&lt;nr_MStartP,$S395,$T383*(1+IF($G395&lt;nr_MStartP1,$M$346,$N$346)))</f>
        <v/>
      </c>
      <c r="U395" s="95">
        <f>IF($L$346,$T395,$N395)</f>
        <v/>
      </c>
    </row>
    <row r="396">
      <c r="A396" s="90" t="n">
        <v>48</v>
      </c>
      <c r="B396" s="91">
        <f>EDATE($B395,1)</f>
        <v/>
      </c>
      <c r="C396" s="92">
        <f>EOMONTH($B396,0)</f>
        <v/>
      </c>
      <c r="D396" s="87">
        <f>$C396-$B396+1</f>
        <v/>
      </c>
      <c r="E396" s="87">
        <f>MONTH($B396)</f>
        <v/>
      </c>
      <c r="F396" s="93">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$N396*IF($O$346=1,$O396/$F$346,1)</f>
        <v/>
      </c>
      <c r="T396" s="95">
        <f>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04">
        <f>SUMPRODUCT($H$349:$H$396,$Q$349:$Q$396,$O$349:$O$396)/SUMPRODUCT($H$349:$H$396,$Q$349:$Q$396)</f>
        <v/>
      </c>
      <c r="G397" s="20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04">
        <f>IF(N(INDEX(lr_mind,7))=0,1,INDEX(lr_mind,7))</f>
        <v/>
      </c>
      <c r="G400" s="204">
        <f>IF(N(INDEX(lr_m0,7))=0,1,INDEX(lr_m0,7))</f>
        <v/>
      </c>
      <c r="H400" s="73">
        <f>IF(N(INDEX(lr_m0asof,7))=0,DATE(nr_PlanYear-1,10,1),INDEX(lr_m0asof,7))</f>
        <v/>
      </c>
      <c r="I400" s="204">
        <f>IF(N(INDEX(lr_m1,7))=0,1,INDEX(lr_m1,7))</f>
        <v/>
      </c>
      <c r="J400" s="204">
        <f>INDEX(lr_mprior,7)</f>
        <v/>
      </c>
      <c r="K400" s="20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93">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$N403*IF($O$400=1,$O403/$F$400,1)</f>
        <v/>
      </c>
      <c r="T403" s="95">
        <f>IF($G403&lt;nr_MStartP,$S403,$T391*(1+IF($G403&lt;nr_MStartP1,$M$400,$N$400)))</f>
        <v/>
      </c>
      <c r="U403" s="95">
        <f>IF($L$400,$T403,$N403)</f>
        <v/>
      </c>
    </row>
    <row r="404">
      <c r="A404" s="90" t="n">
        <v>2</v>
      </c>
      <c r="B404" s="91">
        <f>EDATE($B403,1)</f>
        <v/>
      </c>
      <c r="C404" s="92">
        <f>EOMONTH($B404,0)</f>
        <v/>
      </c>
      <c r="D404" s="87">
        <f>$C404-$B404+1</f>
        <v/>
      </c>
      <c r="E404" s="87">
        <f>MONTH($B404)</f>
        <v/>
      </c>
      <c r="F404" s="93">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$N404*IF($O$400=1,$O404/$F$400,1)</f>
        <v/>
      </c>
      <c r="T404" s="95">
        <f>IF($G404&lt;nr_MStartP,$S404,$T392*(1+IF($G404&lt;nr_MStartP1,$M$400,$N$400)))</f>
        <v/>
      </c>
      <c r="U404" s="95">
        <f>IF($L$400,$T404,$N404)</f>
        <v/>
      </c>
    </row>
    <row r="405">
      <c r="A405" s="90" t="n">
        <v>3</v>
      </c>
      <c r="B405" s="91">
        <f>EDATE($B404,1)</f>
        <v/>
      </c>
      <c r="C405" s="92">
        <f>EOMONTH($B405,0)</f>
        <v/>
      </c>
      <c r="D405" s="87">
        <f>$C405-$B405+1</f>
        <v/>
      </c>
      <c r="E405" s="87">
        <f>MONTH($B405)</f>
        <v/>
      </c>
      <c r="F405" s="93">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$N405*IF($O$400=1,$O405/$F$400,1)</f>
        <v/>
      </c>
      <c r="T405" s="95">
        <f>IF($G405&lt;nr_MStartP,$S405,$T393*(1+IF($G405&lt;nr_MStartP1,$M$400,$N$400)))</f>
        <v/>
      </c>
      <c r="U405" s="95">
        <f>IF($L$400,$T405,$N405)</f>
        <v/>
      </c>
    </row>
    <row r="406">
      <c r="A406" s="90" t="n">
        <v>4</v>
      </c>
      <c r="B406" s="91">
        <f>EDATE($B405,1)</f>
        <v/>
      </c>
      <c r="C406" s="92">
        <f>EOMONTH($B406,0)</f>
        <v/>
      </c>
      <c r="D406" s="87">
        <f>$C406-$B406+1</f>
        <v/>
      </c>
      <c r="E406" s="87">
        <f>MONTH($B406)</f>
        <v/>
      </c>
      <c r="F406" s="93">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$N406*IF($O$400=1,$O406/$F$400,1)</f>
        <v/>
      </c>
      <c r="T406" s="95">
        <f>IF($G406&lt;nr_MStartP,$S406,$T394*(1+IF($G406&lt;nr_MStartP1,$M$400,$N$400)))</f>
        <v/>
      </c>
      <c r="U406" s="95">
        <f>IF($L$400,$T406,$N406)</f>
        <v/>
      </c>
    </row>
    <row r="407">
      <c r="A407" s="90" t="n">
        <v>5</v>
      </c>
      <c r="B407" s="91">
        <f>EDATE($B406,1)</f>
        <v/>
      </c>
      <c r="C407" s="92">
        <f>EOMONTH($B407,0)</f>
        <v/>
      </c>
      <c r="D407" s="87">
        <f>$C407-$B407+1</f>
        <v/>
      </c>
      <c r="E407" s="87">
        <f>MONTH($B407)</f>
        <v/>
      </c>
      <c r="F407" s="93">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$N407*IF($O$400=1,$O407/$F$400,1)</f>
        <v/>
      </c>
      <c r="T407" s="95">
        <f>IF($G407&lt;nr_MStartP,$S407,$T395*(1+IF($G407&lt;nr_MStartP1,$M$400,$N$400)))</f>
        <v/>
      </c>
      <c r="U407" s="95">
        <f>IF($L$400,$T407,$N407)</f>
        <v/>
      </c>
    </row>
    <row r="408">
      <c r="A408" s="90" t="n">
        <v>6</v>
      </c>
      <c r="B408" s="91">
        <f>EDATE($B407,1)</f>
        <v/>
      </c>
      <c r="C408" s="92">
        <f>EOMONTH($B408,0)</f>
        <v/>
      </c>
      <c r="D408" s="87">
        <f>$C408-$B408+1</f>
        <v/>
      </c>
      <c r="E408" s="87">
        <f>MONTH($B408)</f>
        <v/>
      </c>
      <c r="F408" s="93">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$N408*IF($O$400=1,$O408/$F$400,1)</f>
        <v/>
      </c>
      <c r="T408" s="95">
        <f>IF($G408&lt;nr_MStartP,$S408,$T396*(1+IF($G408&lt;nr_MStartP1,$M$400,$N$400)))</f>
        <v/>
      </c>
      <c r="U408" s="95">
        <f>IF($L$400,$T408,$N408)</f>
        <v/>
      </c>
    </row>
    <row r="409">
      <c r="A409" s="90" t="n">
        <v>7</v>
      </c>
      <c r="B409" s="91">
        <f>EDATE($B408,1)</f>
        <v/>
      </c>
      <c r="C409" s="92">
        <f>EOMONTH($B409,0)</f>
        <v/>
      </c>
      <c r="D409" s="87">
        <f>$C409-$B409+1</f>
        <v/>
      </c>
      <c r="E409" s="87">
        <f>MONTH($B409)</f>
        <v/>
      </c>
      <c r="F409" s="93">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$N409*IF($O$400=1,$O409/$F$400,1)</f>
        <v/>
      </c>
      <c r="T409" s="95">
        <f>IF($G409&lt;nr_MStartP,$S409,$T397*(1+IF($G409&lt;nr_MStartP1,$M$400,$N$400)))</f>
        <v/>
      </c>
      <c r="U409" s="95">
        <f>IF($L$400,$T409,$N409)</f>
        <v/>
      </c>
    </row>
    <row r="410">
      <c r="A410" s="90" t="n">
        <v>8</v>
      </c>
      <c r="B410" s="91">
        <f>EDATE($B409,1)</f>
        <v/>
      </c>
      <c r="C410" s="92">
        <f>EOMONTH($B410,0)</f>
        <v/>
      </c>
      <c r="D410" s="87">
        <f>$C410-$B410+1</f>
        <v/>
      </c>
      <c r="E410" s="87">
        <f>MONTH($B410)</f>
        <v/>
      </c>
      <c r="F410" s="93">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$N410*IF($O$400=1,$O410/$F$400,1)</f>
        <v/>
      </c>
      <c r="T410" s="95">
        <f>IF($G410&lt;nr_MStartP,$S410,$T398*(1+IF($G410&lt;nr_MStartP1,$M$400,$N$400)))</f>
        <v/>
      </c>
      <c r="U410" s="95">
        <f>IF($L$400,$T410,$N410)</f>
        <v/>
      </c>
    </row>
    <row r="411">
      <c r="A411" s="90" t="n">
        <v>9</v>
      </c>
      <c r="B411" s="91">
        <f>EDATE($B410,1)</f>
        <v/>
      </c>
      <c r="C411" s="92">
        <f>EOMONTH($B411,0)</f>
        <v/>
      </c>
      <c r="D411" s="87">
        <f>$C411-$B411+1</f>
        <v/>
      </c>
      <c r="E411" s="87">
        <f>MONTH($B411)</f>
        <v/>
      </c>
      <c r="F411" s="93">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$N411*IF($O$400=1,$O411/$F$400,1)</f>
        <v/>
      </c>
      <c r="T411" s="95">
        <f>IF($G411&lt;nr_MStartP,$S411,$T399*(1+IF($G411&lt;nr_MStartP1,$M$400,$N$400)))</f>
        <v/>
      </c>
      <c r="U411" s="95">
        <f>IF($L$400,$T411,$N411)</f>
        <v/>
      </c>
    </row>
    <row r="412">
      <c r="A412" s="90" t="n">
        <v>10</v>
      </c>
      <c r="B412" s="91">
        <f>EDATE($B411,1)</f>
        <v/>
      </c>
      <c r="C412" s="92">
        <f>EOMONTH($B412,0)</f>
        <v/>
      </c>
      <c r="D412" s="87">
        <f>$C412-$B412+1</f>
        <v/>
      </c>
      <c r="E412" s="87">
        <f>MONTH($B412)</f>
        <v/>
      </c>
      <c r="F412" s="93">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$N412*IF($O$400=1,$O412/$F$400,1)</f>
        <v/>
      </c>
      <c r="T412" s="95">
        <f>IF($G412&lt;nr_MStartP,$S412,$T400*(1+IF($G412&lt;nr_MStartP1,$M$400,$N$400)))</f>
        <v/>
      </c>
      <c r="U412" s="95">
        <f>IF($L$400,$T412,$N412)</f>
        <v/>
      </c>
    </row>
    <row r="413">
      <c r="A413" s="90" t="n">
        <v>11</v>
      </c>
      <c r="B413" s="91">
        <f>EDATE($B412,1)</f>
        <v/>
      </c>
      <c r="C413" s="92">
        <f>EOMONTH($B413,0)</f>
        <v/>
      </c>
      <c r="D413" s="87">
        <f>$C413-$B413+1</f>
        <v/>
      </c>
      <c r="E413" s="87">
        <f>MONTH($B413)</f>
        <v/>
      </c>
      <c r="F413" s="93">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$N413*IF($O$400=1,$O413/$F$400,1)</f>
        <v/>
      </c>
      <c r="T413" s="95">
        <f>IF($G413&lt;nr_MStartP,$S413,$T401*(1+IF($G413&lt;nr_MStartP1,$M$400,$N$400)))</f>
        <v/>
      </c>
      <c r="U413" s="95">
        <f>IF($L$400,$T413,$N413)</f>
        <v/>
      </c>
    </row>
    <row r="414">
      <c r="A414" s="90" t="n">
        <v>12</v>
      </c>
      <c r="B414" s="91">
        <f>EDATE($B413,1)</f>
        <v/>
      </c>
      <c r="C414" s="92">
        <f>EOMONTH($B414,0)</f>
        <v/>
      </c>
      <c r="D414" s="87">
        <f>$C414-$B414+1</f>
        <v/>
      </c>
      <c r="E414" s="87">
        <f>MONTH($B414)</f>
        <v/>
      </c>
      <c r="F414" s="93">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$N414*IF($O$400=1,$O414/$F$400,1)</f>
        <v/>
      </c>
      <c r="T414" s="95">
        <f>IF($G414&lt;nr_MStartP,$S414,$T402*(1+IF($G414&lt;nr_MStartP1,$M$400,$N$400)))</f>
        <v/>
      </c>
      <c r="U414" s="95">
        <f>IF($L$400,$T414,$N414)</f>
        <v/>
      </c>
    </row>
    <row r="415">
      <c r="A415" s="90" t="n">
        <v>13</v>
      </c>
      <c r="B415" s="91">
        <f>EDATE($B414,1)</f>
        <v/>
      </c>
      <c r="C415" s="92">
        <f>EOMONTH($B415,0)</f>
        <v/>
      </c>
      <c r="D415" s="87">
        <f>$C415-$B415+1</f>
        <v/>
      </c>
      <c r="E415" s="87">
        <f>MONTH($B415)</f>
        <v/>
      </c>
      <c r="F415" s="93">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$N415*IF($O$400=1,$O415/$F$400,1)</f>
        <v/>
      </c>
      <c r="T415" s="95">
        <f>IF($G415&lt;nr_MStartP,$S415,$T403*(1+IF($G415&lt;nr_MStartP1,$M$400,$N$400)))</f>
        <v/>
      </c>
      <c r="U415" s="95">
        <f>IF($L$400,$T415,$N415)</f>
        <v/>
      </c>
    </row>
    <row r="416">
      <c r="A416" s="90" t="n">
        <v>14</v>
      </c>
      <c r="B416" s="91">
        <f>EDATE($B415,1)</f>
        <v/>
      </c>
      <c r="C416" s="92">
        <f>EOMONTH($B416,0)</f>
        <v/>
      </c>
      <c r="D416" s="87">
        <f>$C416-$B416+1</f>
        <v/>
      </c>
      <c r="E416" s="87">
        <f>MONTH($B416)</f>
        <v/>
      </c>
      <c r="F416" s="93">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$N416*IF($O$400=1,$O416/$F$400,1)</f>
        <v/>
      </c>
      <c r="T416" s="95">
        <f>IF($G416&lt;nr_MStartP,$S416,$T404*(1+IF($G416&lt;nr_MStartP1,$M$400,$N$400)))</f>
        <v/>
      </c>
      <c r="U416" s="95">
        <f>IF($L$400,$T416,$N416)</f>
        <v/>
      </c>
    </row>
    <row r="417">
      <c r="A417" s="90" t="n">
        <v>15</v>
      </c>
      <c r="B417" s="91">
        <f>EDATE($B416,1)</f>
        <v/>
      </c>
      <c r="C417" s="92">
        <f>EOMONTH($B417,0)</f>
        <v/>
      </c>
      <c r="D417" s="87">
        <f>$C417-$B417+1</f>
        <v/>
      </c>
      <c r="E417" s="87">
        <f>MONTH($B417)</f>
        <v/>
      </c>
      <c r="F417" s="93">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$N417*IF($O$400=1,$O417/$F$400,1)</f>
        <v/>
      </c>
      <c r="T417" s="95">
        <f>IF($G417&lt;nr_MStartP,$S417,$T405*(1+IF($G417&lt;nr_MStartP1,$M$400,$N$400)))</f>
        <v/>
      </c>
      <c r="U417" s="95">
        <f>IF($L$400,$T417,$N417)</f>
        <v/>
      </c>
    </row>
    <row r="418">
      <c r="A418" s="90" t="n">
        <v>16</v>
      </c>
      <c r="B418" s="91">
        <f>EDATE($B417,1)</f>
        <v/>
      </c>
      <c r="C418" s="92">
        <f>EOMONTH($B418,0)</f>
        <v/>
      </c>
      <c r="D418" s="87">
        <f>$C418-$B418+1</f>
        <v/>
      </c>
      <c r="E418" s="87">
        <f>MONTH($B418)</f>
        <v/>
      </c>
      <c r="F418" s="93">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$N418*IF($O$400=1,$O418/$F$400,1)</f>
        <v/>
      </c>
      <c r="T418" s="95">
        <f>IF($G418&lt;nr_MStartP,$S418,$T406*(1+IF($G418&lt;nr_MStartP1,$M$400,$N$400)))</f>
        <v/>
      </c>
      <c r="U418" s="95">
        <f>IF($L$400,$T418,$N418)</f>
        <v/>
      </c>
    </row>
    <row r="419">
      <c r="A419" s="90" t="n">
        <v>17</v>
      </c>
      <c r="B419" s="91">
        <f>EDATE($B418,1)</f>
        <v/>
      </c>
      <c r="C419" s="92">
        <f>EOMONTH($B419,0)</f>
        <v/>
      </c>
      <c r="D419" s="87">
        <f>$C419-$B419+1</f>
        <v/>
      </c>
      <c r="E419" s="87">
        <f>MONTH($B419)</f>
        <v/>
      </c>
      <c r="F419" s="93">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$N419*IF($O$400=1,$O419/$F$400,1)</f>
        <v/>
      </c>
      <c r="T419" s="95">
        <f>IF($G419&lt;nr_MStartP,$S419,$T407*(1+IF($G419&lt;nr_MStartP1,$M$400,$N$400)))</f>
        <v/>
      </c>
      <c r="U419" s="95">
        <f>IF($L$400,$T419,$N419)</f>
        <v/>
      </c>
    </row>
    <row r="420">
      <c r="A420" s="90" t="n">
        <v>18</v>
      </c>
      <c r="B420" s="91">
        <f>EDATE($B419,1)</f>
        <v/>
      </c>
      <c r="C420" s="92">
        <f>EOMONTH($B420,0)</f>
        <v/>
      </c>
      <c r="D420" s="87">
        <f>$C420-$B420+1</f>
        <v/>
      </c>
      <c r="E420" s="87">
        <f>MONTH($B420)</f>
        <v/>
      </c>
      <c r="F420" s="93">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$N420*IF($O$400=1,$O420/$F$400,1)</f>
        <v/>
      </c>
      <c r="T420" s="95">
        <f>IF($G420&lt;nr_MStartP,$S420,$T408*(1+IF($G420&lt;nr_MStartP1,$M$400,$N$400)))</f>
        <v/>
      </c>
      <c r="U420" s="95">
        <f>IF($L$400,$T420,$N420)</f>
        <v/>
      </c>
    </row>
    <row r="421">
      <c r="A421" s="90" t="n">
        <v>19</v>
      </c>
      <c r="B421" s="91">
        <f>EDATE($B420,1)</f>
        <v/>
      </c>
      <c r="C421" s="92">
        <f>EOMONTH($B421,0)</f>
        <v/>
      </c>
      <c r="D421" s="87">
        <f>$C421-$B421+1</f>
        <v/>
      </c>
      <c r="E421" s="87">
        <f>MONTH($B421)</f>
        <v/>
      </c>
      <c r="F421" s="93">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$N421*IF($O$400=1,$O421/$F$400,1)</f>
        <v/>
      </c>
      <c r="T421" s="95">
        <f>IF($G421&lt;nr_MStartP,$S421,$T409*(1+IF($G421&lt;nr_MStartP1,$M$400,$N$400)))</f>
        <v/>
      </c>
      <c r="U421" s="95">
        <f>IF($L$400,$T421,$N421)</f>
        <v/>
      </c>
    </row>
    <row r="422">
      <c r="A422" s="90" t="n">
        <v>20</v>
      </c>
      <c r="B422" s="91">
        <f>EDATE($B421,1)</f>
        <v/>
      </c>
      <c r="C422" s="92">
        <f>EOMONTH($B422,0)</f>
        <v/>
      </c>
      <c r="D422" s="87">
        <f>$C422-$B422+1</f>
        <v/>
      </c>
      <c r="E422" s="87">
        <f>MONTH($B422)</f>
        <v/>
      </c>
      <c r="F422" s="93">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$N422*IF($O$400=1,$O422/$F$400,1)</f>
        <v/>
      </c>
      <c r="T422" s="95">
        <f>IF($G422&lt;nr_MStartP,$S422,$T410*(1+IF($G422&lt;nr_MStartP1,$M$400,$N$400)))</f>
        <v/>
      </c>
      <c r="U422" s="95">
        <f>IF($L$400,$T422,$N422)</f>
        <v/>
      </c>
    </row>
    <row r="423">
      <c r="A423" s="90" t="n">
        <v>21</v>
      </c>
      <c r="B423" s="91">
        <f>EDATE($B422,1)</f>
        <v/>
      </c>
      <c r="C423" s="92">
        <f>EOMONTH($B423,0)</f>
        <v/>
      </c>
      <c r="D423" s="87">
        <f>$C423-$B423+1</f>
        <v/>
      </c>
      <c r="E423" s="87">
        <f>MONTH($B423)</f>
        <v/>
      </c>
      <c r="F423" s="93">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$N423*IF($O$400=1,$O423/$F$400,1)</f>
        <v/>
      </c>
      <c r="T423" s="95">
        <f>IF($G423&lt;nr_MStartP,$S423,$T411*(1+IF($G423&lt;nr_MStartP1,$M$400,$N$400)))</f>
        <v/>
      </c>
      <c r="U423" s="95">
        <f>IF($L$400,$T423,$N423)</f>
        <v/>
      </c>
    </row>
    <row r="424">
      <c r="A424" s="90" t="n">
        <v>22</v>
      </c>
      <c r="B424" s="91">
        <f>EDATE($B423,1)</f>
        <v/>
      </c>
      <c r="C424" s="92">
        <f>EOMONTH($B424,0)</f>
        <v/>
      </c>
      <c r="D424" s="87">
        <f>$C424-$B424+1</f>
        <v/>
      </c>
      <c r="E424" s="87">
        <f>MONTH($B424)</f>
        <v/>
      </c>
      <c r="F424" s="93">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$N424*IF($O$400=1,$O424/$F$400,1)</f>
        <v/>
      </c>
      <c r="T424" s="95">
        <f>IF($G424&lt;nr_MStartP,$S424,$T412*(1+IF($G424&lt;nr_MStartP1,$M$400,$N$400)))</f>
        <v/>
      </c>
      <c r="U424" s="95">
        <f>IF($L$400,$T424,$N424)</f>
        <v/>
      </c>
    </row>
    <row r="425">
      <c r="A425" s="90" t="n">
        <v>23</v>
      </c>
      <c r="B425" s="91">
        <f>EDATE($B424,1)</f>
        <v/>
      </c>
      <c r="C425" s="92">
        <f>EOMONTH($B425,0)</f>
        <v/>
      </c>
      <c r="D425" s="87">
        <f>$C425-$B425+1</f>
        <v/>
      </c>
      <c r="E425" s="87">
        <f>MONTH($B425)</f>
        <v/>
      </c>
      <c r="F425" s="93">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$N425*IF($O$400=1,$O425/$F$400,1)</f>
        <v/>
      </c>
      <c r="T425" s="95">
        <f>IF($G425&lt;nr_MStartP,$S425,$T413*(1+IF($G425&lt;nr_MStartP1,$M$400,$N$400)))</f>
        <v/>
      </c>
      <c r="U425" s="95">
        <f>IF($L$400,$T425,$N425)</f>
        <v/>
      </c>
    </row>
    <row r="426">
      <c r="A426" s="90" t="n">
        <v>24</v>
      </c>
      <c r="B426" s="91">
        <f>EDATE($B425,1)</f>
        <v/>
      </c>
      <c r="C426" s="92">
        <f>EOMONTH($B426,0)</f>
        <v/>
      </c>
      <c r="D426" s="87">
        <f>$C426-$B426+1</f>
        <v/>
      </c>
      <c r="E426" s="87">
        <f>MONTH($B426)</f>
        <v/>
      </c>
      <c r="F426" s="93">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$N426*IF($O$400=1,$O426/$F$400,1)</f>
        <v/>
      </c>
      <c r="T426" s="95">
        <f>IF($G426&lt;nr_MStartP,$S426,$T414*(1+IF($G426&lt;nr_MStartP1,$M$400,$N$400)))</f>
        <v/>
      </c>
      <c r="U426" s="95">
        <f>IF($L$400,$T426,$N426)</f>
        <v/>
      </c>
    </row>
    <row r="427">
      <c r="A427" s="90" t="n">
        <v>25</v>
      </c>
      <c r="B427" s="91">
        <f>EDATE($B426,1)</f>
        <v/>
      </c>
      <c r="C427" s="92">
        <f>EOMONTH($B427,0)</f>
        <v/>
      </c>
      <c r="D427" s="87">
        <f>$C427-$B427+1</f>
        <v/>
      </c>
      <c r="E427" s="87">
        <f>MONTH($B427)</f>
        <v/>
      </c>
      <c r="F427" s="93">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$N427*IF($O$400=1,$O427/$F$400,1)</f>
        <v/>
      </c>
      <c r="T427" s="95">
        <f>IF($G427&lt;nr_MStartP,$S427,$T415*(1+IF($G427&lt;nr_MStartP1,$M$400,$N$400)))</f>
        <v/>
      </c>
      <c r="U427" s="95">
        <f>IF($L$400,$T427,$N427)</f>
        <v/>
      </c>
    </row>
    <row r="428">
      <c r="A428" s="90" t="n">
        <v>26</v>
      </c>
      <c r="B428" s="91">
        <f>EDATE($B427,1)</f>
        <v/>
      </c>
      <c r="C428" s="92">
        <f>EOMONTH($B428,0)</f>
        <v/>
      </c>
      <c r="D428" s="87">
        <f>$C428-$B428+1</f>
        <v/>
      </c>
      <c r="E428" s="87">
        <f>MONTH($B428)</f>
        <v/>
      </c>
      <c r="F428" s="93">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$N428*IF($O$400=1,$O428/$F$400,1)</f>
        <v/>
      </c>
      <c r="T428" s="95">
        <f>IF($G428&lt;nr_MStartP,$S428,$T416*(1+IF($G428&lt;nr_MStartP1,$M$400,$N$400)))</f>
        <v/>
      </c>
      <c r="U428" s="95">
        <f>IF($L$400,$T428,$N428)</f>
        <v/>
      </c>
    </row>
    <row r="429">
      <c r="A429" s="90" t="n">
        <v>27</v>
      </c>
      <c r="B429" s="91">
        <f>EDATE($B428,1)</f>
        <v/>
      </c>
      <c r="C429" s="92">
        <f>EOMONTH($B429,0)</f>
        <v/>
      </c>
      <c r="D429" s="87">
        <f>$C429-$B429+1</f>
        <v/>
      </c>
      <c r="E429" s="87">
        <f>MONTH($B429)</f>
        <v/>
      </c>
      <c r="F429" s="93">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$N429*IF($O$400=1,$O429/$F$400,1)</f>
        <v/>
      </c>
      <c r="T429" s="95">
        <f>IF($G429&lt;nr_MStartP,$S429,$T417*(1+IF($G429&lt;nr_MStartP1,$M$400,$N$400)))</f>
        <v/>
      </c>
      <c r="U429" s="95">
        <f>IF($L$400,$T429,$N429)</f>
        <v/>
      </c>
    </row>
    <row r="430">
      <c r="A430" s="90" t="n">
        <v>28</v>
      </c>
      <c r="B430" s="91">
        <f>EDATE($B429,1)</f>
        <v/>
      </c>
      <c r="C430" s="92">
        <f>EOMONTH($B430,0)</f>
        <v/>
      </c>
      <c r="D430" s="87">
        <f>$C430-$B430+1</f>
        <v/>
      </c>
      <c r="E430" s="87">
        <f>MONTH($B430)</f>
        <v/>
      </c>
      <c r="F430" s="93">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$N430*IF($O$400=1,$O430/$F$400,1)</f>
        <v/>
      </c>
      <c r="T430" s="95">
        <f>IF($G430&lt;nr_MStartP,$S430,$T418*(1+IF($G430&lt;nr_MStartP1,$M$400,$N$400)))</f>
        <v/>
      </c>
      <c r="U430" s="95">
        <f>IF($L$400,$T430,$N430)</f>
        <v/>
      </c>
    </row>
    <row r="431">
      <c r="A431" s="90" t="n">
        <v>29</v>
      </c>
      <c r="B431" s="91">
        <f>EDATE($B430,1)</f>
        <v/>
      </c>
      <c r="C431" s="92">
        <f>EOMONTH($B431,0)</f>
        <v/>
      </c>
      <c r="D431" s="87">
        <f>$C431-$B431+1</f>
        <v/>
      </c>
      <c r="E431" s="87">
        <f>MONTH($B431)</f>
        <v/>
      </c>
      <c r="F431" s="93">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$N431*IF($O$400=1,$O431/$F$400,1)</f>
        <v/>
      </c>
      <c r="T431" s="95">
        <f>IF($G431&lt;nr_MStartP,$S431,$T419*(1+IF($G431&lt;nr_MStartP1,$M$400,$N$400)))</f>
        <v/>
      </c>
      <c r="U431" s="95">
        <f>IF($L$400,$T431,$N431)</f>
        <v/>
      </c>
    </row>
    <row r="432">
      <c r="A432" s="90" t="n">
        <v>30</v>
      </c>
      <c r="B432" s="91">
        <f>EDATE($B431,1)</f>
        <v/>
      </c>
      <c r="C432" s="92">
        <f>EOMONTH($B432,0)</f>
        <v/>
      </c>
      <c r="D432" s="87">
        <f>$C432-$B432+1</f>
        <v/>
      </c>
      <c r="E432" s="87">
        <f>MONTH($B432)</f>
        <v/>
      </c>
      <c r="F432" s="93">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$N432*IF($O$400=1,$O432/$F$400,1)</f>
        <v/>
      </c>
      <c r="T432" s="95">
        <f>IF($G432&lt;nr_MStartP,$S432,$T420*(1+IF($G432&lt;nr_MStartP1,$M$400,$N$400)))</f>
        <v/>
      </c>
      <c r="U432" s="95">
        <f>IF($L$400,$T432,$N432)</f>
        <v/>
      </c>
    </row>
    <row r="433">
      <c r="A433" s="90" t="n">
        <v>31</v>
      </c>
      <c r="B433" s="91">
        <f>EDATE($B432,1)</f>
        <v/>
      </c>
      <c r="C433" s="92">
        <f>EOMONTH($B433,0)</f>
        <v/>
      </c>
      <c r="D433" s="87">
        <f>$C433-$B433+1</f>
        <v/>
      </c>
      <c r="E433" s="87">
        <f>MONTH($B433)</f>
        <v/>
      </c>
      <c r="F433" s="93">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$N433*IF($O$400=1,$O433/$F$400,1)</f>
        <v/>
      </c>
      <c r="T433" s="95">
        <f>IF($G433&lt;nr_MStartP,$S433,$T421*(1+IF($G433&lt;nr_MStartP1,$M$400,$N$400)))</f>
        <v/>
      </c>
      <c r="U433" s="95">
        <f>IF($L$400,$T433,$N433)</f>
        <v/>
      </c>
    </row>
    <row r="434">
      <c r="A434" s="90" t="n">
        <v>32</v>
      </c>
      <c r="B434" s="91">
        <f>EDATE($B433,1)</f>
        <v/>
      </c>
      <c r="C434" s="92">
        <f>EOMONTH($B434,0)</f>
        <v/>
      </c>
      <c r="D434" s="87">
        <f>$C434-$B434+1</f>
        <v/>
      </c>
      <c r="E434" s="87">
        <f>MONTH($B434)</f>
        <v/>
      </c>
      <c r="F434" s="93">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$N434*IF($O$400=1,$O434/$F$400,1)</f>
        <v/>
      </c>
      <c r="T434" s="95">
        <f>IF($G434&lt;nr_MStartP,$S434,$T422*(1+IF($G434&lt;nr_MStartP1,$M$400,$N$400)))</f>
        <v/>
      </c>
      <c r="U434" s="95">
        <f>IF($L$400,$T434,$N434)</f>
        <v/>
      </c>
    </row>
    <row r="435">
      <c r="A435" s="90" t="n">
        <v>33</v>
      </c>
      <c r="B435" s="91">
        <f>EDATE($B434,1)</f>
        <v/>
      </c>
      <c r="C435" s="92">
        <f>EOMONTH($B435,0)</f>
        <v/>
      </c>
      <c r="D435" s="87">
        <f>$C435-$B435+1</f>
        <v/>
      </c>
      <c r="E435" s="87">
        <f>MONTH($B435)</f>
        <v/>
      </c>
      <c r="F435" s="93">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$N435*IF($O$400=1,$O435/$F$400,1)</f>
        <v/>
      </c>
      <c r="T435" s="95">
        <f>IF($G435&lt;nr_MStartP,$S435,$T423*(1+IF($G435&lt;nr_MStartP1,$M$400,$N$400)))</f>
        <v/>
      </c>
      <c r="U435" s="95">
        <f>IF($L$400,$T435,$N435)</f>
        <v/>
      </c>
    </row>
    <row r="436">
      <c r="A436" s="90" t="n">
        <v>34</v>
      </c>
      <c r="B436" s="91">
        <f>EDATE($B435,1)</f>
        <v/>
      </c>
      <c r="C436" s="92">
        <f>EOMONTH($B436,0)</f>
        <v/>
      </c>
      <c r="D436" s="87">
        <f>$C436-$B436+1</f>
        <v/>
      </c>
      <c r="E436" s="87">
        <f>MONTH($B436)</f>
        <v/>
      </c>
      <c r="F436" s="93">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$N436*IF($O$400=1,$O436/$F$400,1)</f>
        <v/>
      </c>
      <c r="T436" s="95">
        <f>IF($G436&lt;nr_MStartP,$S436,$T424*(1+IF($G436&lt;nr_MStartP1,$M$400,$N$400)))</f>
        <v/>
      </c>
      <c r="U436" s="95">
        <f>IF($L$400,$T436,$N436)</f>
        <v/>
      </c>
    </row>
    <row r="437">
      <c r="A437" s="90" t="n">
        <v>35</v>
      </c>
      <c r="B437" s="91">
        <f>EDATE($B436,1)</f>
        <v/>
      </c>
      <c r="C437" s="92">
        <f>EOMONTH($B437,0)</f>
        <v/>
      </c>
      <c r="D437" s="87">
        <f>$C437-$B437+1</f>
        <v/>
      </c>
      <c r="E437" s="87">
        <f>MONTH($B437)</f>
        <v/>
      </c>
      <c r="F437" s="93">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$N437*IF($O$400=1,$O437/$F$400,1)</f>
        <v/>
      </c>
      <c r="T437" s="95">
        <f>IF($G437&lt;nr_MStartP,$S437,$T425*(1+IF($G437&lt;nr_MStartP1,$M$400,$N$400)))</f>
        <v/>
      </c>
      <c r="U437" s="95">
        <f>IF($L$400,$T437,$N437)</f>
        <v/>
      </c>
    </row>
    <row r="438">
      <c r="A438" s="90" t="n">
        <v>36</v>
      </c>
      <c r="B438" s="91">
        <f>EDATE($B437,1)</f>
        <v/>
      </c>
      <c r="C438" s="92">
        <f>EOMONTH($B438,0)</f>
        <v/>
      </c>
      <c r="D438" s="87">
        <f>$C438-$B438+1</f>
        <v/>
      </c>
      <c r="E438" s="87">
        <f>MONTH($B438)</f>
        <v/>
      </c>
      <c r="F438" s="93">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$N438*IF($O$400=1,$O438/$F$400,1)</f>
        <v/>
      </c>
      <c r="T438" s="95">
        <f>IF($G438&lt;nr_MStartP,$S438,$T426*(1+IF($G438&lt;nr_MStartP1,$M$400,$N$400)))</f>
        <v/>
      </c>
      <c r="U438" s="95">
        <f>IF($L$400,$T438,$N438)</f>
        <v/>
      </c>
    </row>
    <row r="439">
      <c r="A439" s="90" t="n">
        <v>37</v>
      </c>
      <c r="B439" s="91">
        <f>EDATE($B438,1)</f>
        <v/>
      </c>
      <c r="C439" s="92">
        <f>EOMONTH($B439,0)</f>
        <v/>
      </c>
      <c r="D439" s="87">
        <f>$C439-$B439+1</f>
        <v/>
      </c>
      <c r="E439" s="87">
        <f>MONTH($B439)</f>
        <v/>
      </c>
      <c r="F439" s="93">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$N439*IF($O$400=1,$O439/$F$400,1)</f>
        <v/>
      </c>
      <c r="T439" s="95">
        <f>IF($G439&lt;nr_MStartP,$S439,$T427*(1+IF($G439&lt;nr_MStartP1,$M$400,$N$400)))</f>
        <v/>
      </c>
      <c r="U439" s="95">
        <f>IF($L$400,$T439,$N439)</f>
        <v/>
      </c>
    </row>
    <row r="440">
      <c r="A440" s="90" t="n">
        <v>38</v>
      </c>
      <c r="B440" s="91">
        <f>EDATE($B439,1)</f>
        <v/>
      </c>
      <c r="C440" s="92">
        <f>EOMONTH($B440,0)</f>
        <v/>
      </c>
      <c r="D440" s="87">
        <f>$C440-$B440+1</f>
        <v/>
      </c>
      <c r="E440" s="87">
        <f>MONTH($B440)</f>
        <v/>
      </c>
      <c r="F440" s="93">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$N440*IF($O$400=1,$O440/$F$400,1)</f>
        <v/>
      </c>
      <c r="T440" s="95">
        <f>IF($G440&lt;nr_MStartP,$S440,$T428*(1+IF($G440&lt;nr_MStartP1,$M$400,$N$400)))</f>
        <v/>
      </c>
      <c r="U440" s="95">
        <f>IF($L$400,$T440,$N440)</f>
        <v/>
      </c>
    </row>
    <row r="441">
      <c r="A441" s="90" t="n">
        <v>39</v>
      </c>
      <c r="B441" s="91">
        <f>EDATE($B440,1)</f>
        <v/>
      </c>
      <c r="C441" s="92">
        <f>EOMONTH($B441,0)</f>
        <v/>
      </c>
      <c r="D441" s="87">
        <f>$C441-$B441+1</f>
        <v/>
      </c>
      <c r="E441" s="87">
        <f>MONTH($B441)</f>
        <v/>
      </c>
      <c r="F441" s="93">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$N441*IF($O$400=1,$O441/$F$400,1)</f>
        <v/>
      </c>
      <c r="T441" s="95">
        <f>IF($G441&lt;nr_MStartP,$S441,$T429*(1+IF($G441&lt;nr_MStartP1,$M$400,$N$400)))</f>
        <v/>
      </c>
      <c r="U441" s="95">
        <f>IF($L$400,$T441,$N441)</f>
        <v/>
      </c>
    </row>
    <row r="442">
      <c r="A442" s="90" t="n">
        <v>40</v>
      </c>
      <c r="B442" s="91">
        <f>EDATE($B441,1)</f>
        <v/>
      </c>
      <c r="C442" s="92">
        <f>EOMONTH($B442,0)</f>
        <v/>
      </c>
      <c r="D442" s="87">
        <f>$C442-$B442+1</f>
        <v/>
      </c>
      <c r="E442" s="87">
        <f>MONTH($B442)</f>
        <v/>
      </c>
      <c r="F442" s="93">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$N442*IF($O$400=1,$O442/$F$400,1)</f>
        <v/>
      </c>
      <c r="T442" s="95">
        <f>IF($G442&lt;nr_MStartP,$S442,$T430*(1+IF($G442&lt;nr_MStartP1,$M$400,$N$400)))</f>
        <v/>
      </c>
      <c r="U442" s="95">
        <f>IF($L$400,$T442,$N442)</f>
        <v/>
      </c>
    </row>
    <row r="443">
      <c r="A443" s="90" t="n">
        <v>41</v>
      </c>
      <c r="B443" s="91">
        <f>EDATE($B442,1)</f>
        <v/>
      </c>
      <c r="C443" s="92">
        <f>EOMONTH($B443,0)</f>
        <v/>
      </c>
      <c r="D443" s="87">
        <f>$C443-$B443+1</f>
        <v/>
      </c>
      <c r="E443" s="87">
        <f>MONTH($B443)</f>
        <v/>
      </c>
      <c r="F443" s="93">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$N443*IF($O$400=1,$O443/$F$400,1)</f>
        <v/>
      </c>
      <c r="T443" s="95">
        <f>IF($G443&lt;nr_MStartP,$S443,$T431*(1+IF($G443&lt;nr_MStartP1,$M$400,$N$400)))</f>
        <v/>
      </c>
      <c r="U443" s="95">
        <f>IF($L$400,$T443,$N443)</f>
        <v/>
      </c>
    </row>
    <row r="444">
      <c r="A444" s="90" t="n">
        <v>42</v>
      </c>
      <c r="B444" s="91">
        <f>EDATE($B443,1)</f>
        <v/>
      </c>
      <c r="C444" s="92">
        <f>EOMONTH($B444,0)</f>
        <v/>
      </c>
      <c r="D444" s="87">
        <f>$C444-$B444+1</f>
        <v/>
      </c>
      <c r="E444" s="87">
        <f>MONTH($B444)</f>
        <v/>
      </c>
      <c r="F444" s="93">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$N444*IF($O$400=1,$O444/$F$400,1)</f>
        <v/>
      </c>
      <c r="T444" s="95">
        <f>IF($G444&lt;nr_MStartP,$S444,$T432*(1+IF($G444&lt;nr_MStartP1,$M$400,$N$400)))</f>
        <v/>
      </c>
      <c r="U444" s="95">
        <f>IF($L$400,$T444,$N444)</f>
        <v/>
      </c>
    </row>
    <row r="445">
      <c r="A445" s="90" t="n">
        <v>43</v>
      </c>
      <c r="B445" s="91">
        <f>EDATE($B444,1)</f>
        <v/>
      </c>
      <c r="C445" s="92">
        <f>EOMONTH($B445,0)</f>
        <v/>
      </c>
      <c r="D445" s="87">
        <f>$C445-$B445+1</f>
        <v/>
      </c>
      <c r="E445" s="87">
        <f>MONTH($B445)</f>
        <v/>
      </c>
      <c r="F445" s="93">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$N445*IF($O$400=1,$O445/$F$400,1)</f>
        <v/>
      </c>
      <c r="T445" s="95">
        <f>IF($G445&lt;nr_MStartP,$S445,$T433*(1+IF($G445&lt;nr_MStartP1,$M$400,$N$400)))</f>
        <v/>
      </c>
      <c r="U445" s="95">
        <f>IF($L$400,$T445,$N445)</f>
        <v/>
      </c>
    </row>
    <row r="446">
      <c r="A446" s="90" t="n">
        <v>44</v>
      </c>
      <c r="B446" s="91">
        <f>EDATE($B445,1)</f>
        <v/>
      </c>
      <c r="C446" s="92">
        <f>EOMONTH($B446,0)</f>
        <v/>
      </c>
      <c r="D446" s="87">
        <f>$C446-$B446+1</f>
        <v/>
      </c>
      <c r="E446" s="87">
        <f>MONTH($B446)</f>
        <v/>
      </c>
      <c r="F446" s="93">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$N446*IF($O$400=1,$O446/$F$400,1)</f>
        <v/>
      </c>
      <c r="T446" s="95">
        <f>IF($G446&lt;nr_MStartP,$S446,$T434*(1+IF($G446&lt;nr_MStartP1,$M$400,$N$400)))</f>
        <v/>
      </c>
      <c r="U446" s="95">
        <f>IF($L$400,$T446,$N446)</f>
        <v/>
      </c>
    </row>
    <row r="447">
      <c r="A447" s="90" t="n">
        <v>45</v>
      </c>
      <c r="B447" s="91">
        <f>EDATE($B446,1)</f>
        <v/>
      </c>
      <c r="C447" s="92">
        <f>EOMONTH($B447,0)</f>
        <v/>
      </c>
      <c r="D447" s="87">
        <f>$C447-$B447+1</f>
        <v/>
      </c>
      <c r="E447" s="87">
        <f>MONTH($B447)</f>
        <v/>
      </c>
      <c r="F447" s="93">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$N447*IF($O$400=1,$O447/$F$400,1)</f>
        <v/>
      </c>
      <c r="T447" s="95">
        <f>IF($G447&lt;nr_MStartP,$S447,$T435*(1+IF($G447&lt;nr_MStartP1,$M$400,$N$400)))</f>
        <v/>
      </c>
      <c r="U447" s="95">
        <f>IF($L$400,$T447,$N447)</f>
        <v/>
      </c>
    </row>
    <row r="448">
      <c r="A448" s="90" t="n">
        <v>46</v>
      </c>
      <c r="B448" s="91">
        <f>EDATE($B447,1)</f>
        <v/>
      </c>
      <c r="C448" s="92">
        <f>EOMONTH($B448,0)</f>
        <v/>
      </c>
      <c r="D448" s="87">
        <f>$C448-$B448+1</f>
        <v/>
      </c>
      <c r="E448" s="87">
        <f>MONTH($B448)</f>
        <v/>
      </c>
      <c r="F448" s="93">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$N448*IF($O$400=1,$O448/$F$400,1)</f>
        <v/>
      </c>
      <c r="T448" s="95">
        <f>IF($G448&lt;nr_MStartP,$S448,$T436*(1+IF($G448&lt;nr_MStartP1,$M$400,$N$400)))</f>
        <v/>
      </c>
      <c r="U448" s="95">
        <f>IF($L$400,$T448,$N448)</f>
        <v/>
      </c>
    </row>
    <row r="449">
      <c r="A449" s="90" t="n">
        <v>47</v>
      </c>
      <c r="B449" s="91">
        <f>EDATE($B448,1)</f>
        <v/>
      </c>
      <c r="C449" s="92">
        <f>EOMONTH($B449,0)</f>
        <v/>
      </c>
      <c r="D449" s="87">
        <f>$C449-$B449+1</f>
        <v/>
      </c>
      <c r="E449" s="87">
        <f>MONTH($B449)</f>
        <v/>
      </c>
      <c r="F449" s="93">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$N449*IF($O$400=1,$O449/$F$400,1)</f>
        <v/>
      </c>
      <c r="T449" s="95">
        <f>IF($G449&lt;nr_MStartP,$S449,$T437*(1+IF($G449&lt;nr_MStartP1,$M$400,$N$400)))</f>
        <v/>
      </c>
      <c r="U449" s="95">
        <f>IF($L$400,$T449,$N449)</f>
        <v/>
      </c>
    </row>
    <row r="450">
      <c r="A450" s="90" t="n">
        <v>48</v>
      </c>
      <c r="B450" s="91">
        <f>EDATE($B449,1)</f>
        <v/>
      </c>
      <c r="C450" s="92">
        <f>EOMONTH($B450,0)</f>
        <v/>
      </c>
      <c r="D450" s="87">
        <f>$C450-$B450+1</f>
        <v/>
      </c>
      <c r="E450" s="87">
        <f>MONTH($B450)</f>
        <v/>
      </c>
      <c r="F450" s="93">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$N450*IF($O$400=1,$O450/$F$400,1)</f>
        <v/>
      </c>
      <c r="T450" s="95">
        <f>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04">
        <f>SUMPRODUCT($H$403:$H$450,$Q$403:$Q$450,$O$403:$O$450)/SUMPRODUCT($H$403:$H$450,$Q$403:$Q$450)</f>
        <v/>
      </c>
      <c r="G451" s="20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04">
        <f>IF(N(INDEX(lr_mind,8))=0,1,INDEX(lr_mind,8))</f>
        <v/>
      </c>
      <c r="G454" s="204">
        <f>IF(N(INDEX(lr_m0,8))=0,1,INDEX(lr_m0,8))</f>
        <v/>
      </c>
      <c r="H454" s="73">
        <f>IF(N(INDEX(lr_m0asof,8))=0,DATE(nr_PlanYear-1,10,1),INDEX(lr_m0asof,8))</f>
        <v/>
      </c>
      <c r="I454" s="204">
        <f>IF(N(INDEX(lr_m1,8))=0,1,INDEX(lr_m1,8))</f>
        <v/>
      </c>
      <c r="J454" s="204">
        <f>INDEX(lr_mprior,8)</f>
        <v/>
      </c>
      <c r="K454" s="20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93">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$N457*IF($O$454=1,$O457/$F$454,1)</f>
        <v/>
      </c>
      <c r="T457" s="95">
        <f>IF($G457&lt;nr_MStartP,$S457,$T445*(1+IF($G457&lt;nr_MStartP1,$M$454,$N$454)))</f>
        <v/>
      </c>
      <c r="U457" s="95">
        <f>IF($L$454,$T457,$N457)</f>
        <v/>
      </c>
    </row>
    <row r="458">
      <c r="A458" s="90" t="n">
        <v>2</v>
      </c>
      <c r="B458" s="91">
        <f>EDATE($B457,1)</f>
        <v/>
      </c>
      <c r="C458" s="92">
        <f>EOMONTH($B458,0)</f>
        <v/>
      </c>
      <c r="D458" s="87">
        <f>$C458-$B458+1</f>
        <v/>
      </c>
      <c r="E458" s="87">
        <f>MONTH($B458)</f>
        <v/>
      </c>
      <c r="F458" s="93">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$N458*IF($O$454=1,$O458/$F$454,1)</f>
        <v/>
      </c>
      <c r="T458" s="95">
        <f>IF($G458&lt;nr_MStartP,$S458,$T446*(1+IF($G458&lt;nr_MStartP1,$M$454,$N$454)))</f>
        <v/>
      </c>
      <c r="U458" s="95">
        <f>IF($L$454,$T458,$N458)</f>
        <v/>
      </c>
    </row>
    <row r="459">
      <c r="A459" s="90" t="n">
        <v>3</v>
      </c>
      <c r="B459" s="91">
        <f>EDATE($B458,1)</f>
        <v/>
      </c>
      <c r="C459" s="92">
        <f>EOMONTH($B459,0)</f>
        <v/>
      </c>
      <c r="D459" s="87">
        <f>$C459-$B459+1</f>
        <v/>
      </c>
      <c r="E459" s="87">
        <f>MONTH($B459)</f>
        <v/>
      </c>
      <c r="F459" s="93">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$N459*IF($O$454=1,$O459/$F$454,1)</f>
        <v/>
      </c>
      <c r="T459" s="95">
        <f>IF($G459&lt;nr_MStartP,$S459,$T447*(1+IF($G459&lt;nr_MStartP1,$M$454,$N$454)))</f>
        <v/>
      </c>
      <c r="U459" s="95">
        <f>IF($L$454,$T459,$N459)</f>
        <v/>
      </c>
    </row>
    <row r="460">
      <c r="A460" s="90" t="n">
        <v>4</v>
      </c>
      <c r="B460" s="91">
        <f>EDATE($B459,1)</f>
        <v/>
      </c>
      <c r="C460" s="92">
        <f>EOMONTH($B460,0)</f>
        <v/>
      </c>
      <c r="D460" s="87">
        <f>$C460-$B460+1</f>
        <v/>
      </c>
      <c r="E460" s="87">
        <f>MONTH($B460)</f>
        <v/>
      </c>
      <c r="F460" s="93">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$N460*IF($O$454=1,$O460/$F$454,1)</f>
        <v/>
      </c>
      <c r="T460" s="95">
        <f>IF($G460&lt;nr_MStartP,$S460,$T448*(1+IF($G460&lt;nr_MStartP1,$M$454,$N$454)))</f>
        <v/>
      </c>
      <c r="U460" s="95">
        <f>IF($L$454,$T460,$N460)</f>
        <v/>
      </c>
    </row>
    <row r="461">
      <c r="A461" s="90" t="n">
        <v>5</v>
      </c>
      <c r="B461" s="91">
        <f>EDATE($B460,1)</f>
        <v/>
      </c>
      <c r="C461" s="92">
        <f>EOMONTH($B461,0)</f>
        <v/>
      </c>
      <c r="D461" s="87">
        <f>$C461-$B461+1</f>
        <v/>
      </c>
      <c r="E461" s="87">
        <f>MONTH($B461)</f>
        <v/>
      </c>
      <c r="F461" s="93">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$N461*IF($O$454=1,$O461/$F$454,1)</f>
        <v/>
      </c>
      <c r="T461" s="95">
        <f>IF($G461&lt;nr_MStartP,$S461,$T449*(1+IF($G461&lt;nr_MStartP1,$M$454,$N$454)))</f>
        <v/>
      </c>
      <c r="U461" s="95">
        <f>IF($L$454,$T461,$N461)</f>
        <v/>
      </c>
    </row>
    <row r="462">
      <c r="A462" s="90" t="n">
        <v>6</v>
      </c>
      <c r="B462" s="91">
        <f>EDATE($B461,1)</f>
        <v/>
      </c>
      <c r="C462" s="92">
        <f>EOMONTH($B462,0)</f>
        <v/>
      </c>
      <c r="D462" s="87">
        <f>$C462-$B462+1</f>
        <v/>
      </c>
      <c r="E462" s="87">
        <f>MONTH($B462)</f>
        <v/>
      </c>
      <c r="F462" s="93">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$N462*IF($O$454=1,$O462/$F$454,1)</f>
        <v/>
      </c>
      <c r="T462" s="95">
        <f>IF($G462&lt;nr_MStartP,$S462,$T450*(1+IF($G462&lt;nr_MStartP1,$M$454,$N$454)))</f>
        <v/>
      </c>
      <c r="U462" s="95">
        <f>IF($L$454,$T462,$N462)</f>
        <v/>
      </c>
    </row>
    <row r="463">
      <c r="A463" s="90" t="n">
        <v>7</v>
      </c>
      <c r="B463" s="91">
        <f>EDATE($B462,1)</f>
        <v/>
      </c>
      <c r="C463" s="92">
        <f>EOMONTH($B463,0)</f>
        <v/>
      </c>
      <c r="D463" s="87">
        <f>$C463-$B463+1</f>
        <v/>
      </c>
      <c r="E463" s="87">
        <f>MONTH($B463)</f>
        <v/>
      </c>
      <c r="F463" s="93">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$N463*IF($O$454=1,$O463/$F$454,1)</f>
        <v/>
      </c>
      <c r="T463" s="95">
        <f>IF($G463&lt;nr_MStartP,$S463,$T451*(1+IF($G463&lt;nr_MStartP1,$M$454,$N$454)))</f>
        <v/>
      </c>
      <c r="U463" s="95">
        <f>IF($L$454,$T463,$N463)</f>
        <v/>
      </c>
    </row>
    <row r="464">
      <c r="A464" s="90" t="n">
        <v>8</v>
      </c>
      <c r="B464" s="91">
        <f>EDATE($B463,1)</f>
        <v/>
      </c>
      <c r="C464" s="92">
        <f>EOMONTH($B464,0)</f>
        <v/>
      </c>
      <c r="D464" s="87">
        <f>$C464-$B464+1</f>
        <v/>
      </c>
      <c r="E464" s="87">
        <f>MONTH($B464)</f>
        <v/>
      </c>
      <c r="F464" s="93">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$N464*IF($O$454=1,$O464/$F$454,1)</f>
        <v/>
      </c>
      <c r="T464" s="95">
        <f>IF($G464&lt;nr_MStartP,$S464,$T452*(1+IF($G464&lt;nr_MStartP1,$M$454,$N$454)))</f>
        <v/>
      </c>
      <c r="U464" s="95">
        <f>IF($L$454,$T464,$N464)</f>
        <v/>
      </c>
    </row>
    <row r="465">
      <c r="A465" s="90" t="n">
        <v>9</v>
      </c>
      <c r="B465" s="91">
        <f>EDATE($B464,1)</f>
        <v/>
      </c>
      <c r="C465" s="92">
        <f>EOMONTH($B465,0)</f>
        <v/>
      </c>
      <c r="D465" s="87">
        <f>$C465-$B465+1</f>
        <v/>
      </c>
      <c r="E465" s="87">
        <f>MONTH($B465)</f>
        <v/>
      </c>
      <c r="F465" s="93">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$N465*IF($O$454=1,$O465/$F$454,1)</f>
        <v/>
      </c>
      <c r="T465" s="95">
        <f>IF($G465&lt;nr_MStartP,$S465,$T453*(1+IF($G465&lt;nr_MStartP1,$M$454,$N$454)))</f>
        <v/>
      </c>
      <c r="U465" s="95">
        <f>IF($L$454,$T465,$N465)</f>
        <v/>
      </c>
    </row>
    <row r="466">
      <c r="A466" s="90" t="n">
        <v>10</v>
      </c>
      <c r="B466" s="91">
        <f>EDATE($B465,1)</f>
        <v/>
      </c>
      <c r="C466" s="92">
        <f>EOMONTH($B466,0)</f>
        <v/>
      </c>
      <c r="D466" s="87">
        <f>$C466-$B466+1</f>
        <v/>
      </c>
      <c r="E466" s="87">
        <f>MONTH($B466)</f>
        <v/>
      </c>
      <c r="F466" s="93">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$N466*IF($O$454=1,$O466/$F$454,1)</f>
        <v/>
      </c>
      <c r="T466" s="95">
        <f>IF($G466&lt;nr_MStartP,$S466,$T454*(1+IF($G466&lt;nr_MStartP1,$M$454,$N$454)))</f>
        <v/>
      </c>
      <c r="U466" s="95">
        <f>IF($L$454,$T466,$N466)</f>
        <v/>
      </c>
    </row>
    <row r="467">
      <c r="A467" s="90" t="n">
        <v>11</v>
      </c>
      <c r="B467" s="91">
        <f>EDATE($B466,1)</f>
        <v/>
      </c>
      <c r="C467" s="92">
        <f>EOMONTH($B467,0)</f>
        <v/>
      </c>
      <c r="D467" s="87">
        <f>$C467-$B467+1</f>
        <v/>
      </c>
      <c r="E467" s="87">
        <f>MONTH($B467)</f>
        <v/>
      </c>
      <c r="F467" s="93">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$N467*IF($O$454=1,$O467/$F$454,1)</f>
        <v/>
      </c>
      <c r="T467" s="95">
        <f>IF($G467&lt;nr_MStartP,$S467,$T455*(1+IF($G467&lt;nr_MStartP1,$M$454,$N$454)))</f>
        <v/>
      </c>
      <c r="U467" s="95">
        <f>IF($L$454,$T467,$N467)</f>
        <v/>
      </c>
    </row>
    <row r="468">
      <c r="A468" s="90" t="n">
        <v>12</v>
      </c>
      <c r="B468" s="91">
        <f>EDATE($B467,1)</f>
        <v/>
      </c>
      <c r="C468" s="92">
        <f>EOMONTH($B468,0)</f>
        <v/>
      </c>
      <c r="D468" s="87">
        <f>$C468-$B468+1</f>
        <v/>
      </c>
      <c r="E468" s="87">
        <f>MONTH($B468)</f>
        <v/>
      </c>
      <c r="F468" s="93">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$N468*IF($O$454=1,$O468/$F$454,1)</f>
        <v/>
      </c>
      <c r="T468" s="95">
        <f>IF($G468&lt;nr_MStartP,$S468,$T456*(1+IF($G468&lt;nr_MStartP1,$M$454,$N$454)))</f>
        <v/>
      </c>
      <c r="U468" s="95">
        <f>IF($L$454,$T468,$N468)</f>
        <v/>
      </c>
    </row>
    <row r="469">
      <c r="A469" s="90" t="n">
        <v>13</v>
      </c>
      <c r="B469" s="91">
        <f>EDATE($B468,1)</f>
        <v/>
      </c>
      <c r="C469" s="92">
        <f>EOMONTH($B469,0)</f>
        <v/>
      </c>
      <c r="D469" s="87">
        <f>$C469-$B469+1</f>
        <v/>
      </c>
      <c r="E469" s="87">
        <f>MONTH($B469)</f>
        <v/>
      </c>
      <c r="F469" s="93">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$N469*IF($O$454=1,$O469/$F$454,1)</f>
        <v/>
      </c>
      <c r="T469" s="95">
        <f>IF($G469&lt;nr_MStartP,$S469,$T457*(1+IF($G469&lt;nr_MStartP1,$M$454,$N$454)))</f>
        <v/>
      </c>
      <c r="U469" s="95">
        <f>IF($L$454,$T469,$N469)</f>
        <v/>
      </c>
    </row>
    <row r="470">
      <c r="A470" s="90" t="n">
        <v>14</v>
      </c>
      <c r="B470" s="91">
        <f>EDATE($B469,1)</f>
        <v/>
      </c>
      <c r="C470" s="92">
        <f>EOMONTH($B470,0)</f>
        <v/>
      </c>
      <c r="D470" s="87">
        <f>$C470-$B470+1</f>
        <v/>
      </c>
      <c r="E470" s="87">
        <f>MONTH($B470)</f>
        <v/>
      </c>
      <c r="F470" s="93">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$N470*IF($O$454=1,$O470/$F$454,1)</f>
        <v/>
      </c>
      <c r="T470" s="95">
        <f>IF($G470&lt;nr_MStartP,$S470,$T458*(1+IF($G470&lt;nr_MStartP1,$M$454,$N$454)))</f>
        <v/>
      </c>
      <c r="U470" s="95">
        <f>IF($L$454,$T470,$N470)</f>
        <v/>
      </c>
    </row>
    <row r="471">
      <c r="A471" s="90" t="n">
        <v>15</v>
      </c>
      <c r="B471" s="91">
        <f>EDATE($B470,1)</f>
        <v/>
      </c>
      <c r="C471" s="92">
        <f>EOMONTH($B471,0)</f>
        <v/>
      </c>
      <c r="D471" s="87">
        <f>$C471-$B471+1</f>
        <v/>
      </c>
      <c r="E471" s="87">
        <f>MONTH($B471)</f>
        <v/>
      </c>
      <c r="F471" s="93">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$N471*IF($O$454=1,$O471/$F$454,1)</f>
        <v/>
      </c>
      <c r="T471" s="95">
        <f>IF($G471&lt;nr_MStartP,$S471,$T459*(1+IF($G471&lt;nr_MStartP1,$M$454,$N$454)))</f>
        <v/>
      </c>
      <c r="U471" s="95">
        <f>IF($L$454,$T471,$N471)</f>
        <v/>
      </c>
    </row>
    <row r="472">
      <c r="A472" s="90" t="n">
        <v>16</v>
      </c>
      <c r="B472" s="91">
        <f>EDATE($B471,1)</f>
        <v/>
      </c>
      <c r="C472" s="92">
        <f>EOMONTH($B472,0)</f>
        <v/>
      </c>
      <c r="D472" s="87">
        <f>$C472-$B472+1</f>
        <v/>
      </c>
      <c r="E472" s="87">
        <f>MONTH($B472)</f>
        <v/>
      </c>
      <c r="F472" s="93">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$N472*IF($O$454=1,$O472/$F$454,1)</f>
        <v/>
      </c>
      <c r="T472" s="95">
        <f>IF($G472&lt;nr_MStartP,$S472,$T460*(1+IF($G472&lt;nr_MStartP1,$M$454,$N$454)))</f>
        <v/>
      </c>
      <c r="U472" s="95">
        <f>IF($L$454,$T472,$N472)</f>
        <v/>
      </c>
    </row>
    <row r="473">
      <c r="A473" s="90" t="n">
        <v>17</v>
      </c>
      <c r="B473" s="91">
        <f>EDATE($B472,1)</f>
        <v/>
      </c>
      <c r="C473" s="92">
        <f>EOMONTH($B473,0)</f>
        <v/>
      </c>
      <c r="D473" s="87">
        <f>$C473-$B473+1</f>
        <v/>
      </c>
      <c r="E473" s="87">
        <f>MONTH($B473)</f>
        <v/>
      </c>
      <c r="F473" s="93">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$N473*IF($O$454=1,$O473/$F$454,1)</f>
        <v/>
      </c>
      <c r="T473" s="95">
        <f>IF($G473&lt;nr_MStartP,$S473,$T461*(1+IF($G473&lt;nr_MStartP1,$M$454,$N$454)))</f>
        <v/>
      </c>
      <c r="U473" s="95">
        <f>IF($L$454,$T473,$N473)</f>
        <v/>
      </c>
    </row>
    <row r="474">
      <c r="A474" s="90" t="n">
        <v>18</v>
      </c>
      <c r="B474" s="91">
        <f>EDATE($B473,1)</f>
        <v/>
      </c>
      <c r="C474" s="92">
        <f>EOMONTH($B474,0)</f>
        <v/>
      </c>
      <c r="D474" s="87">
        <f>$C474-$B474+1</f>
        <v/>
      </c>
      <c r="E474" s="87">
        <f>MONTH($B474)</f>
        <v/>
      </c>
      <c r="F474" s="93">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$N474*IF($O$454=1,$O474/$F$454,1)</f>
        <v/>
      </c>
      <c r="T474" s="95">
        <f>IF($G474&lt;nr_MStartP,$S474,$T462*(1+IF($G474&lt;nr_MStartP1,$M$454,$N$454)))</f>
        <v/>
      </c>
      <c r="U474" s="95">
        <f>IF($L$454,$T474,$N474)</f>
        <v/>
      </c>
    </row>
    <row r="475">
      <c r="A475" s="90" t="n">
        <v>19</v>
      </c>
      <c r="B475" s="91">
        <f>EDATE($B474,1)</f>
        <v/>
      </c>
      <c r="C475" s="92">
        <f>EOMONTH($B475,0)</f>
        <v/>
      </c>
      <c r="D475" s="87">
        <f>$C475-$B475+1</f>
        <v/>
      </c>
      <c r="E475" s="87">
        <f>MONTH($B475)</f>
        <v/>
      </c>
      <c r="F475" s="93">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$N475*IF($O$454=1,$O475/$F$454,1)</f>
        <v/>
      </c>
      <c r="T475" s="95">
        <f>IF($G475&lt;nr_MStartP,$S475,$T463*(1+IF($G475&lt;nr_MStartP1,$M$454,$N$454)))</f>
        <v/>
      </c>
      <c r="U475" s="95">
        <f>IF($L$454,$T475,$N475)</f>
        <v/>
      </c>
    </row>
    <row r="476">
      <c r="A476" s="90" t="n">
        <v>20</v>
      </c>
      <c r="B476" s="91">
        <f>EDATE($B475,1)</f>
        <v/>
      </c>
      <c r="C476" s="92">
        <f>EOMONTH($B476,0)</f>
        <v/>
      </c>
      <c r="D476" s="87">
        <f>$C476-$B476+1</f>
        <v/>
      </c>
      <c r="E476" s="87">
        <f>MONTH($B476)</f>
        <v/>
      </c>
      <c r="F476" s="93">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$N476*IF($O$454=1,$O476/$F$454,1)</f>
        <v/>
      </c>
      <c r="T476" s="95">
        <f>IF($G476&lt;nr_MStartP,$S476,$T464*(1+IF($G476&lt;nr_MStartP1,$M$454,$N$454)))</f>
        <v/>
      </c>
      <c r="U476" s="95">
        <f>IF($L$454,$T476,$N476)</f>
        <v/>
      </c>
    </row>
    <row r="477">
      <c r="A477" s="90" t="n">
        <v>21</v>
      </c>
      <c r="B477" s="91">
        <f>EDATE($B476,1)</f>
        <v/>
      </c>
      <c r="C477" s="92">
        <f>EOMONTH($B477,0)</f>
        <v/>
      </c>
      <c r="D477" s="87">
        <f>$C477-$B477+1</f>
        <v/>
      </c>
      <c r="E477" s="87">
        <f>MONTH($B477)</f>
        <v/>
      </c>
      <c r="F477" s="93">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$N477*IF($O$454=1,$O477/$F$454,1)</f>
        <v/>
      </c>
      <c r="T477" s="95">
        <f>IF($G477&lt;nr_MStartP,$S477,$T465*(1+IF($G477&lt;nr_MStartP1,$M$454,$N$454)))</f>
        <v/>
      </c>
      <c r="U477" s="95">
        <f>IF($L$454,$T477,$N477)</f>
        <v/>
      </c>
    </row>
    <row r="478">
      <c r="A478" s="90" t="n">
        <v>22</v>
      </c>
      <c r="B478" s="91">
        <f>EDATE($B477,1)</f>
        <v/>
      </c>
      <c r="C478" s="92">
        <f>EOMONTH($B478,0)</f>
        <v/>
      </c>
      <c r="D478" s="87">
        <f>$C478-$B478+1</f>
        <v/>
      </c>
      <c r="E478" s="87">
        <f>MONTH($B478)</f>
        <v/>
      </c>
      <c r="F478" s="93">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$N478*IF($O$454=1,$O478/$F$454,1)</f>
        <v/>
      </c>
      <c r="T478" s="95">
        <f>IF($G478&lt;nr_MStartP,$S478,$T466*(1+IF($G478&lt;nr_MStartP1,$M$454,$N$454)))</f>
        <v/>
      </c>
      <c r="U478" s="95">
        <f>IF($L$454,$T478,$N478)</f>
        <v/>
      </c>
    </row>
    <row r="479">
      <c r="A479" s="90" t="n">
        <v>23</v>
      </c>
      <c r="B479" s="91">
        <f>EDATE($B478,1)</f>
        <v/>
      </c>
      <c r="C479" s="92">
        <f>EOMONTH($B479,0)</f>
        <v/>
      </c>
      <c r="D479" s="87">
        <f>$C479-$B479+1</f>
        <v/>
      </c>
      <c r="E479" s="87">
        <f>MONTH($B479)</f>
        <v/>
      </c>
      <c r="F479" s="93">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$N479*IF($O$454=1,$O479/$F$454,1)</f>
        <v/>
      </c>
      <c r="T479" s="95">
        <f>IF($G479&lt;nr_MStartP,$S479,$T467*(1+IF($G479&lt;nr_MStartP1,$M$454,$N$454)))</f>
        <v/>
      </c>
      <c r="U479" s="95">
        <f>IF($L$454,$T479,$N479)</f>
        <v/>
      </c>
    </row>
    <row r="480">
      <c r="A480" s="90" t="n">
        <v>24</v>
      </c>
      <c r="B480" s="91">
        <f>EDATE($B479,1)</f>
        <v/>
      </c>
      <c r="C480" s="92">
        <f>EOMONTH($B480,0)</f>
        <v/>
      </c>
      <c r="D480" s="87">
        <f>$C480-$B480+1</f>
        <v/>
      </c>
      <c r="E480" s="87">
        <f>MONTH($B480)</f>
        <v/>
      </c>
      <c r="F480" s="93">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$N480*IF($O$454=1,$O480/$F$454,1)</f>
        <v/>
      </c>
      <c r="T480" s="95">
        <f>IF($G480&lt;nr_MStartP,$S480,$T468*(1+IF($G480&lt;nr_MStartP1,$M$454,$N$454)))</f>
        <v/>
      </c>
      <c r="U480" s="95">
        <f>IF($L$454,$T480,$N480)</f>
        <v/>
      </c>
    </row>
    <row r="481">
      <c r="A481" s="90" t="n">
        <v>25</v>
      </c>
      <c r="B481" s="91">
        <f>EDATE($B480,1)</f>
        <v/>
      </c>
      <c r="C481" s="92">
        <f>EOMONTH($B481,0)</f>
        <v/>
      </c>
      <c r="D481" s="87">
        <f>$C481-$B481+1</f>
        <v/>
      </c>
      <c r="E481" s="87">
        <f>MONTH($B481)</f>
        <v/>
      </c>
      <c r="F481" s="93">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$N481*IF($O$454=1,$O481/$F$454,1)</f>
        <v/>
      </c>
      <c r="T481" s="95">
        <f>IF($G481&lt;nr_MStartP,$S481,$T469*(1+IF($G481&lt;nr_MStartP1,$M$454,$N$454)))</f>
        <v/>
      </c>
      <c r="U481" s="95">
        <f>IF($L$454,$T481,$N481)</f>
        <v/>
      </c>
    </row>
    <row r="482">
      <c r="A482" s="90" t="n">
        <v>26</v>
      </c>
      <c r="B482" s="91">
        <f>EDATE($B481,1)</f>
        <v/>
      </c>
      <c r="C482" s="92">
        <f>EOMONTH($B482,0)</f>
        <v/>
      </c>
      <c r="D482" s="87">
        <f>$C482-$B482+1</f>
        <v/>
      </c>
      <c r="E482" s="87">
        <f>MONTH($B482)</f>
        <v/>
      </c>
      <c r="F482" s="93">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$N482*IF($O$454=1,$O482/$F$454,1)</f>
        <v/>
      </c>
      <c r="T482" s="95">
        <f>IF($G482&lt;nr_MStartP,$S482,$T470*(1+IF($G482&lt;nr_MStartP1,$M$454,$N$454)))</f>
        <v/>
      </c>
      <c r="U482" s="95">
        <f>IF($L$454,$T482,$N482)</f>
        <v/>
      </c>
    </row>
    <row r="483">
      <c r="A483" s="90" t="n">
        <v>27</v>
      </c>
      <c r="B483" s="91">
        <f>EDATE($B482,1)</f>
        <v/>
      </c>
      <c r="C483" s="92">
        <f>EOMONTH($B483,0)</f>
        <v/>
      </c>
      <c r="D483" s="87">
        <f>$C483-$B483+1</f>
        <v/>
      </c>
      <c r="E483" s="87">
        <f>MONTH($B483)</f>
        <v/>
      </c>
      <c r="F483" s="93">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$N483*IF($O$454=1,$O483/$F$454,1)</f>
        <v/>
      </c>
      <c r="T483" s="95">
        <f>IF($G483&lt;nr_MStartP,$S483,$T471*(1+IF($G483&lt;nr_MStartP1,$M$454,$N$454)))</f>
        <v/>
      </c>
      <c r="U483" s="95">
        <f>IF($L$454,$T483,$N483)</f>
        <v/>
      </c>
    </row>
    <row r="484">
      <c r="A484" s="90" t="n">
        <v>28</v>
      </c>
      <c r="B484" s="91">
        <f>EDATE($B483,1)</f>
        <v/>
      </c>
      <c r="C484" s="92">
        <f>EOMONTH($B484,0)</f>
        <v/>
      </c>
      <c r="D484" s="87">
        <f>$C484-$B484+1</f>
        <v/>
      </c>
      <c r="E484" s="87">
        <f>MONTH($B484)</f>
        <v/>
      </c>
      <c r="F484" s="93">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$N484*IF($O$454=1,$O484/$F$454,1)</f>
        <v/>
      </c>
      <c r="T484" s="95">
        <f>IF($G484&lt;nr_MStartP,$S484,$T472*(1+IF($G484&lt;nr_MStartP1,$M$454,$N$454)))</f>
        <v/>
      </c>
      <c r="U484" s="95">
        <f>IF($L$454,$T484,$N484)</f>
        <v/>
      </c>
    </row>
    <row r="485">
      <c r="A485" s="90" t="n">
        <v>29</v>
      </c>
      <c r="B485" s="91">
        <f>EDATE($B484,1)</f>
        <v/>
      </c>
      <c r="C485" s="92">
        <f>EOMONTH($B485,0)</f>
        <v/>
      </c>
      <c r="D485" s="87">
        <f>$C485-$B485+1</f>
        <v/>
      </c>
      <c r="E485" s="87">
        <f>MONTH($B485)</f>
        <v/>
      </c>
      <c r="F485" s="93">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$N485*IF($O$454=1,$O485/$F$454,1)</f>
        <v/>
      </c>
      <c r="T485" s="95">
        <f>IF($G485&lt;nr_MStartP,$S485,$T473*(1+IF($G485&lt;nr_MStartP1,$M$454,$N$454)))</f>
        <v/>
      </c>
      <c r="U485" s="95">
        <f>IF($L$454,$T485,$N485)</f>
        <v/>
      </c>
    </row>
    <row r="486">
      <c r="A486" s="90" t="n">
        <v>30</v>
      </c>
      <c r="B486" s="91">
        <f>EDATE($B485,1)</f>
        <v/>
      </c>
      <c r="C486" s="92">
        <f>EOMONTH($B486,0)</f>
        <v/>
      </c>
      <c r="D486" s="87">
        <f>$C486-$B486+1</f>
        <v/>
      </c>
      <c r="E486" s="87">
        <f>MONTH($B486)</f>
        <v/>
      </c>
      <c r="F486" s="93">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$N486*IF($O$454=1,$O486/$F$454,1)</f>
        <v/>
      </c>
      <c r="T486" s="95">
        <f>IF($G486&lt;nr_MStartP,$S486,$T474*(1+IF($G486&lt;nr_MStartP1,$M$454,$N$454)))</f>
        <v/>
      </c>
      <c r="U486" s="95">
        <f>IF($L$454,$T486,$N486)</f>
        <v/>
      </c>
    </row>
    <row r="487">
      <c r="A487" s="90" t="n">
        <v>31</v>
      </c>
      <c r="B487" s="91">
        <f>EDATE($B486,1)</f>
        <v/>
      </c>
      <c r="C487" s="92">
        <f>EOMONTH($B487,0)</f>
        <v/>
      </c>
      <c r="D487" s="87">
        <f>$C487-$B487+1</f>
        <v/>
      </c>
      <c r="E487" s="87">
        <f>MONTH($B487)</f>
        <v/>
      </c>
      <c r="F487" s="93">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$N487*IF($O$454=1,$O487/$F$454,1)</f>
        <v/>
      </c>
      <c r="T487" s="95">
        <f>IF($G487&lt;nr_MStartP,$S487,$T475*(1+IF($G487&lt;nr_MStartP1,$M$454,$N$454)))</f>
        <v/>
      </c>
      <c r="U487" s="95">
        <f>IF($L$454,$T487,$N487)</f>
        <v/>
      </c>
    </row>
    <row r="488">
      <c r="A488" s="90" t="n">
        <v>32</v>
      </c>
      <c r="B488" s="91">
        <f>EDATE($B487,1)</f>
        <v/>
      </c>
      <c r="C488" s="92">
        <f>EOMONTH($B488,0)</f>
        <v/>
      </c>
      <c r="D488" s="87">
        <f>$C488-$B488+1</f>
        <v/>
      </c>
      <c r="E488" s="87">
        <f>MONTH($B488)</f>
        <v/>
      </c>
      <c r="F488" s="93">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$N488*IF($O$454=1,$O488/$F$454,1)</f>
        <v/>
      </c>
      <c r="T488" s="95">
        <f>IF($G488&lt;nr_MStartP,$S488,$T476*(1+IF($G488&lt;nr_MStartP1,$M$454,$N$454)))</f>
        <v/>
      </c>
      <c r="U488" s="95">
        <f>IF($L$454,$T488,$N488)</f>
        <v/>
      </c>
    </row>
    <row r="489">
      <c r="A489" s="90" t="n">
        <v>33</v>
      </c>
      <c r="B489" s="91">
        <f>EDATE($B488,1)</f>
        <v/>
      </c>
      <c r="C489" s="92">
        <f>EOMONTH($B489,0)</f>
        <v/>
      </c>
      <c r="D489" s="87">
        <f>$C489-$B489+1</f>
        <v/>
      </c>
      <c r="E489" s="87">
        <f>MONTH($B489)</f>
        <v/>
      </c>
      <c r="F489" s="93">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$N489*IF($O$454=1,$O489/$F$454,1)</f>
        <v/>
      </c>
      <c r="T489" s="95">
        <f>IF($G489&lt;nr_MStartP,$S489,$T477*(1+IF($G489&lt;nr_MStartP1,$M$454,$N$454)))</f>
        <v/>
      </c>
      <c r="U489" s="95">
        <f>IF($L$454,$T489,$N489)</f>
        <v/>
      </c>
    </row>
    <row r="490">
      <c r="A490" s="90" t="n">
        <v>34</v>
      </c>
      <c r="B490" s="91">
        <f>EDATE($B489,1)</f>
        <v/>
      </c>
      <c r="C490" s="92">
        <f>EOMONTH($B490,0)</f>
        <v/>
      </c>
      <c r="D490" s="87">
        <f>$C490-$B490+1</f>
        <v/>
      </c>
      <c r="E490" s="87">
        <f>MONTH($B490)</f>
        <v/>
      </c>
      <c r="F490" s="93">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$N490*IF($O$454=1,$O490/$F$454,1)</f>
        <v/>
      </c>
      <c r="T490" s="95">
        <f>IF($G490&lt;nr_MStartP,$S490,$T478*(1+IF($G490&lt;nr_MStartP1,$M$454,$N$454)))</f>
        <v/>
      </c>
      <c r="U490" s="95">
        <f>IF($L$454,$T490,$N490)</f>
        <v/>
      </c>
    </row>
    <row r="491">
      <c r="A491" s="90" t="n">
        <v>35</v>
      </c>
      <c r="B491" s="91">
        <f>EDATE($B490,1)</f>
        <v/>
      </c>
      <c r="C491" s="92">
        <f>EOMONTH($B491,0)</f>
        <v/>
      </c>
      <c r="D491" s="87">
        <f>$C491-$B491+1</f>
        <v/>
      </c>
      <c r="E491" s="87">
        <f>MONTH($B491)</f>
        <v/>
      </c>
      <c r="F491" s="93">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$N491*IF($O$454=1,$O491/$F$454,1)</f>
        <v/>
      </c>
      <c r="T491" s="95">
        <f>IF($G491&lt;nr_MStartP,$S491,$T479*(1+IF($G491&lt;nr_MStartP1,$M$454,$N$454)))</f>
        <v/>
      </c>
      <c r="U491" s="95">
        <f>IF($L$454,$T491,$N491)</f>
        <v/>
      </c>
    </row>
    <row r="492">
      <c r="A492" s="90" t="n">
        <v>36</v>
      </c>
      <c r="B492" s="91">
        <f>EDATE($B491,1)</f>
        <v/>
      </c>
      <c r="C492" s="92">
        <f>EOMONTH($B492,0)</f>
        <v/>
      </c>
      <c r="D492" s="87">
        <f>$C492-$B492+1</f>
        <v/>
      </c>
      <c r="E492" s="87">
        <f>MONTH($B492)</f>
        <v/>
      </c>
      <c r="F492" s="93">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$N492*IF($O$454=1,$O492/$F$454,1)</f>
        <v/>
      </c>
      <c r="T492" s="95">
        <f>IF($G492&lt;nr_MStartP,$S492,$T480*(1+IF($G492&lt;nr_MStartP1,$M$454,$N$454)))</f>
        <v/>
      </c>
      <c r="U492" s="95">
        <f>IF($L$454,$T492,$N492)</f>
        <v/>
      </c>
    </row>
    <row r="493">
      <c r="A493" s="90" t="n">
        <v>37</v>
      </c>
      <c r="B493" s="91">
        <f>EDATE($B492,1)</f>
        <v/>
      </c>
      <c r="C493" s="92">
        <f>EOMONTH($B493,0)</f>
        <v/>
      </c>
      <c r="D493" s="87">
        <f>$C493-$B493+1</f>
        <v/>
      </c>
      <c r="E493" s="87">
        <f>MONTH($B493)</f>
        <v/>
      </c>
      <c r="F493" s="93">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$N493*IF($O$454=1,$O493/$F$454,1)</f>
        <v/>
      </c>
      <c r="T493" s="95">
        <f>IF($G493&lt;nr_MStartP,$S493,$T481*(1+IF($G493&lt;nr_MStartP1,$M$454,$N$454)))</f>
        <v/>
      </c>
      <c r="U493" s="95">
        <f>IF($L$454,$T493,$N493)</f>
        <v/>
      </c>
    </row>
    <row r="494">
      <c r="A494" s="90" t="n">
        <v>38</v>
      </c>
      <c r="B494" s="91">
        <f>EDATE($B493,1)</f>
        <v/>
      </c>
      <c r="C494" s="92">
        <f>EOMONTH($B494,0)</f>
        <v/>
      </c>
      <c r="D494" s="87">
        <f>$C494-$B494+1</f>
        <v/>
      </c>
      <c r="E494" s="87">
        <f>MONTH($B494)</f>
        <v/>
      </c>
      <c r="F494" s="93">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$N494*IF($O$454=1,$O494/$F$454,1)</f>
        <v/>
      </c>
      <c r="T494" s="95">
        <f>IF($G494&lt;nr_MStartP,$S494,$T482*(1+IF($G494&lt;nr_MStartP1,$M$454,$N$454)))</f>
        <v/>
      </c>
      <c r="U494" s="95">
        <f>IF($L$454,$T494,$N494)</f>
        <v/>
      </c>
    </row>
    <row r="495">
      <c r="A495" s="90" t="n">
        <v>39</v>
      </c>
      <c r="B495" s="91">
        <f>EDATE($B494,1)</f>
        <v/>
      </c>
      <c r="C495" s="92">
        <f>EOMONTH($B495,0)</f>
        <v/>
      </c>
      <c r="D495" s="87">
        <f>$C495-$B495+1</f>
        <v/>
      </c>
      <c r="E495" s="87">
        <f>MONTH($B495)</f>
        <v/>
      </c>
      <c r="F495" s="93">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$N495*IF($O$454=1,$O495/$F$454,1)</f>
        <v/>
      </c>
      <c r="T495" s="95">
        <f>IF($G495&lt;nr_MStartP,$S495,$T483*(1+IF($G495&lt;nr_MStartP1,$M$454,$N$454)))</f>
        <v/>
      </c>
      <c r="U495" s="95">
        <f>IF($L$454,$T495,$N495)</f>
        <v/>
      </c>
    </row>
    <row r="496">
      <c r="A496" s="90" t="n">
        <v>40</v>
      </c>
      <c r="B496" s="91">
        <f>EDATE($B495,1)</f>
        <v/>
      </c>
      <c r="C496" s="92">
        <f>EOMONTH($B496,0)</f>
        <v/>
      </c>
      <c r="D496" s="87">
        <f>$C496-$B496+1</f>
        <v/>
      </c>
      <c r="E496" s="87">
        <f>MONTH($B496)</f>
        <v/>
      </c>
      <c r="F496" s="93">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$N496*IF($O$454=1,$O496/$F$454,1)</f>
        <v/>
      </c>
      <c r="T496" s="95">
        <f>IF($G496&lt;nr_MStartP,$S496,$T484*(1+IF($G496&lt;nr_MStartP1,$M$454,$N$454)))</f>
        <v/>
      </c>
      <c r="U496" s="95">
        <f>IF($L$454,$T496,$N496)</f>
        <v/>
      </c>
    </row>
    <row r="497">
      <c r="A497" s="90" t="n">
        <v>41</v>
      </c>
      <c r="B497" s="91">
        <f>EDATE($B496,1)</f>
        <v/>
      </c>
      <c r="C497" s="92">
        <f>EOMONTH($B497,0)</f>
        <v/>
      </c>
      <c r="D497" s="87">
        <f>$C497-$B497+1</f>
        <v/>
      </c>
      <c r="E497" s="87">
        <f>MONTH($B497)</f>
        <v/>
      </c>
      <c r="F497" s="93">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$N497*IF($O$454=1,$O497/$F$454,1)</f>
        <v/>
      </c>
      <c r="T497" s="95">
        <f>IF($G497&lt;nr_MStartP,$S497,$T485*(1+IF($G497&lt;nr_MStartP1,$M$454,$N$454)))</f>
        <v/>
      </c>
      <c r="U497" s="95">
        <f>IF($L$454,$T497,$N497)</f>
        <v/>
      </c>
    </row>
    <row r="498">
      <c r="A498" s="90" t="n">
        <v>42</v>
      </c>
      <c r="B498" s="91">
        <f>EDATE($B497,1)</f>
        <v/>
      </c>
      <c r="C498" s="92">
        <f>EOMONTH($B498,0)</f>
        <v/>
      </c>
      <c r="D498" s="87">
        <f>$C498-$B498+1</f>
        <v/>
      </c>
      <c r="E498" s="87">
        <f>MONTH($B498)</f>
        <v/>
      </c>
      <c r="F498" s="93">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$N498*IF($O$454=1,$O498/$F$454,1)</f>
        <v/>
      </c>
      <c r="T498" s="95">
        <f>IF($G498&lt;nr_MStartP,$S498,$T486*(1+IF($G498&lt;nr_MStartP1,$M$454,$N$454)))</f>
        <v/>
      </c>
      <c r="U498" s="95">
        <f>IF($L$454,$T498,$N498)</f>
        <v/>
      </c>
    </row>
    <row r="499">
      <c r="A499" s="90" t="n">
        <v>43</v>
      </c>
      <c r="B499" s="91">
        <f>EDATE($B498,1)</f>
        <v/>
      </c>
      <c r="C499" s="92">
        <f>EOMONTH($B499,0)</f>
        <v/>
      </c>
      <c r="D499" s="87">
        <f>$C499-$B499+1</f>
        <v/>
      </c>
      <c r="E499" s="87">
        <f>MONTH($B499)</f>
        <v/>
      </c>
      <c r="F499" s="93">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$N499*IF($O$454=1,$O499/$F$454,1)</f>
        <v/>
      </c>
      <c r="T499" s="95">
        <f>IF($G499&lt;nr_MStartP,$S499,$T487*(1+IF($G499&lt;nr_MStartP1,$M$454,$N$454)))</f>
        <v/>
      </c>
      <c r="U499" s="95">
        <f>IF($L$454,$T499,$N499)</f>
        <v/>
      </c>
    </row>
    <row r="500">
      <c r="A500" s="90" t="n">
        <v>44</v>
      </c>
      <c r="B500" s="91">
        <f>EDATE($B499,1)</f>
        <v/>
      </c>
      <c r="C500" s="92">
        <f>EOMONTH($B500,0)</f>
        <v/>
      </c>
      <c r="D500" s="87">
        <f>$C500-$B500+1</f>
        <v/>
      </c>
      <c r="E500" s="87">
        <f>MONTH($B500)</f>
        <v/>
      </c>
      <c r="F500" s="93">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$N500*IF($O$454=1,$O500/$F$454,1)</f>
        <v/>
      </c>
      <c r="T500" s="95">
        <f>IF($G500&lt;nr_MStartP,$S500,$T488*(1+IF($G500&lt;nr_MStartP1,$M$454,$N$454)))</f>
        <v/>
      </c>
      <c r="U500" s="95">
        <f>IF($L$454,$T500,$N500)</f>
        <v/>
      </c>
    </row>
    <row r="501">
      <c r="A501" s="90" t="n">
        <v>45</v>
      </c>
      <c r="B501" s="91">
        <f>EDATE($B500,1)</f>
        <v/>
      </c>
      <c r="C501" s="92">
        <f>EOMONTH($B501,0)</f>
        <v/>
      </c>
      <c r="D501" s="87">
        <f>$C501-$B501+1</f>
        <v/>
      </c>
      <c r="E501" s="87">
        <f>MONTH($B501)</f>
        <v/>
      </c>
      <c r="F501" s="93">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$N501*IF($O$454=1,$O501/$F$454,1)</f>
        <v/>
      </c>
      <c r="T501" s="95">
        <f>IF($G501&lt;nr_MStartP,$S501,$T489*(1+IF($G501&lt;nr_MStartP1,$M$454,$N$454)))</f>
        <v/>
      </c>
      <c r="U501" s="95">
        <f>IF($L$454,$T501,$N501)</f>
        <v/>
      </c>
    </row>
    <row r="502">
      <c r="A502" s="90" t="n">
        <v>46</v>
      </c>
      <c r="B502" s="91">
        <f>EDATE($B501,1)</f>
        <v/>
      </c>
      <c r="C502" s="92">
        <f>EOMONTH($B502,0)</f>
        <v/>
      </c>
      <c r="D502" s="87">
        <f>$C502-$B502+1</f>
        <v/>
      </c>
      <c r="E502" s="87">
        <f>MONTH($B502)</f>
        <v/>
      </c>
      <c r="F502" s="93">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$N502*IF($O$454=1,$O502/$F$454,1)</f>
        <v/>
      </c>
      <c r="T502" s="95">
        <f>IF($G502&lt;nr_MStartP,$S502,$T490*(1+IF($G502&lt;nr_MStartP1,$M$454,$N$454)))</f>
        <v/>
      </c>
      <c r="U502" s="95">
        <f>IF($L$454,$T502,$N502)</f>
        <v/>
      </c>
    </row>
    <row r="503">
      <c r="A503" s="90" t="n">
        <v>47</v>
      </c>
      <c r="B503" s="91">
        <f>EDATE($B502,1)</f>
        <v/>
      </c>
      <c r="C503" s="92">
        <f>EOMONTH($B503,0)</f>
        <v/>
      </c>
      <c r="D503" s="87">
        <f>$C503-$B503+1</f>
        <v/>
      </c>
      <c r="E503" s="87">
        <f>MONTH($B503)</f>
        <v/>
      </c>
      <c r="F503" s="93">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$N503*IF($O$454=1,$O503/$F$454,1)</f>
        <v/>
      </c>
      <c r="T503" s="95">
        <f>IF($G503&lt;nr_MStartP,$S503,$T491*(1+IF($G503&lt;nr_MStartP1,$M$454,$N$454)))</f>
        <v/>
      </c>
      <c r="U503" s="95">
        <f>IF($L$454,$T503,$N503)</f>
        <v/>
      </c>
    </row>
    <row r="504">
      <c r="A504" s="90" t="n">
        <v>48</v>
      </c>
      <c r="B504" s="91">
        <f>EDATE($B503,1)</f>
        <v/>
      </c>
      <c r="C504" s="92">
        <f>EOMONTH($B504,0)</f>
        <v/>
      </c>
      <c r="D504" s="87">
        <f>$C504-$B504+1</f>
        <v/>
      </c>
      <c r="E504" s="87">
        <f>MONTH($B504)</f>
        <v/>
      </c>
      <c r="F504" s="93">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$N504*IF($O$454=1,$O504/$F$454,1)</f>
        <v/>
      </c>
      <c r="T504" s="95">
        <f>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04">
        <f>SUMPRODUCT($H$457:$H$504,$Q$457:$Q$504,$O$457:$O$504)/SUMPRODUCT($H$457:$H$504,$Q$457:$Q$504)</f>
        <v/>
      </c>
      <c r="G505" s="20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04">
        <f>IF(N(INDEX(lr_mind,9))=0,1,INDEX(lr_mind,9))</f>
        <v/>
      </c>
      <c r="G508" s="204">
        <f>IF(N(INDEX(lr_m0,9))=0,1,INDEX(lr_m0,9))</f>
        <v/>
      </c>
      <c r="H508" s="73">
        <f>IF(N(INDEX(lr_m0asof,9))=0,DATE(nr_PlanYear-1,10,1),INDEX(lr_m0asof,9))</f>
        <v/>
      </c>
      <c r="I508" s="204">
        <f>IF(N(INDEX(lr_m1,9))=0,1,INDEX(lr_m1,9))</f>
        <v/>
      </c>
      <c r="J508" s="204">
        <f>INDEX(lr_mprior,9)</f>
        <v/>
      </c>
      <c r="K508" s="20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93">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$N511*IF($O$508=1,$O511/$F$508,1)</f>
        <v/>
      </c>
      <c r="T511" s="95">
        <f>IF($G511&lt;nr_MStartP,$S511,$T499*(1+IF($G511&lt;nr_MStartP1,$M$508,$N$508)))</f>
        <v/>
      </c>
      <c r="U511" s="95">
        <f>IF($L$508,$T511,$N511)</f>
        <v/>
      </c>
    </row>
    <row r="512">
      <c r="A512" s="90" t="n">
        <v>2</v>
      </c>
      <c r="B512" s="91">
        <f>EDATE($B511,1)</f>
        <v/>
      </c>
      <c r="C512" s="92">
        <f>EOMONTH($B512,0)</f>
        <v/>
      </c>
      <c r="D512" s="87">
        <f>$C512-$B512+1</f>
        <v/>
      </c>
      <c r="E512" s="87">
        <f>MONTH($B512)</f>
        <v/>
      </c>
      <c r="F512" s="93">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$N512*IF($O$508=1,$O512/$F$508,1)</f>
        <v/>
      </c>
      <c r="T512" s="95">
        <f>IF($G512&lt;nr_MStartP,$S512,$T500*(1+IF($G512&lt;nr_MStartP1,$M$508,$N$508)))</f>
        <v/>
      </c>
      <c r="U512" s="95">
        <f>IF($L$508,$T512,$N512)</f>
        <v/>
      </c>
    </row>
    <row r="513">
      <c r="A513" s="90" t="n">
        <v>3</v>
      </c>
      <c r="B513" s="91">
        <f>EDATE($B512,1)</f>
        <v/>
      </c>
      <c r="C513" s="92">
        <f>EOMONTH($B513,0)</f>
        <v/>
      </c>
      <c r="D513" s="87">
        <f>$C513-$B513+1</f>
        <v/>
      </c>
      <c r="E513" s="87">
        <f>MONTH($B513)</f>
        <v/>
      </c>
      <c r="F513" s="93">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$N513*IF($O$508=1,$O513/$F$508,1)</f>
        <v/>
      </c>
      <c r="T513" s="95">
        <f>IF($G513&lt;nr_MStartP,$S513,$T501*(1+IF($G513&lt;nr_MStartP1,$M$508,$N$508)))</f>
        <v/>
      </c>
      <c r="U513" s="95">
        <f>IF($L$508,$T513,$N513)</f>
        <v/>
      </c>
    </row>
    <row r="514">
      <c r="A514" s="90" t="n">
        <v>4</v>
      </c>
      <c r="B514" s="91">
        <f>EDATE($B513,1)</f>
        <v/>
      </c>
      <c r="C514" s="92">
        <f>EOMONTH($B514,0)</f>
        <v/>
      </c>
      <c r="D514" s="87">
        <f>$C514-$B514+1</f>
        <v/>
      </c>
      <c r="E514" s="87">
        <f>MONTH($B514)</f>
        <v/>
      </c>
      <c r="F514" s="93">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$N514*IF($O$508=1,$O514/$F$508,1)</f>
        <v/>
      </c>
      <c r="T514" s="95">
        <f>IF($G514&lt;nr_MStartP,$S514,$T502*(1+IF($G514&lt;nr_MStartP1,$M$508,$N$508)))</f>
        <v/>
      </c>
      <c r="U514" s="95">
        <f>IF($L$508,$T514,$N514)</f>
        <v/>
      </c>
    </row>
    <row r="515">
      <c r="A515" s="90" t="n">
        <v>5</v>
      </c>
      <c r="B515" s="91">
        <f>EDATE($B514,1)</f>
        <v/>
      </c>
      <c r="C515" s="92">
        <f>EOMONTH($B515,0)</f>
        <v/>
      </c>
      <c r="D515" s="87">
        <f>$C515-$B515+1</f>
        <v/>
      </c>
      <c r="E515" s="87">
        <f>MONTH($B515)</f>
        <v/>
      </c>
      <c r="F515" s="93">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$N515*IF($O$508=1,$O515/$F$508,1)</f>
        <v/>
      </c>
      <c r="T515" s="95">
        <f>IF($G515&lt;nr_MStartP,$S515,$T503*(1+IF($G515&lt;nr_MStartP1,$M$508,$N$508)))</f>
        <v/>
      </c>
      <c r="U515" s="95">
        <f>IF($L$508,$T515,$N515)</f>
        <v/>
      </c>
    </row>
    <row r="516">
      <c r="A516" s="90" t="n">
        <v>6</v>
      </c>
      <c r="B516" s="91">
        <f>EDATE($B515,1)</f>
        <v/>
      </c>
      <c r="C516" s="92">
        <f>EOMONTH($B516,0)</f>
        <v/>
      </c>
      <c r="D516" s="87">
        <f>$C516-$B516+1</f>
        <v/>
      </c>
      <c r="E516" s="87">
        <f>MONTH($B516)</f>
        <v/>
      </c>
      <c r="F516" s="93">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$N516*IF($O$508=1,$O516/$F$508,1)</f>
        <v/>
      </c>
      <c r="T516" s="95">
        <f>IF($G516&lt;nr_MStartP,$S516,$T504*(1+IF($G516&lt;nr_MStartP1,$M$508,$N$508)))</f>
        <v/>
      </c>
      <c r="U516" s="95">
        <f>IF($L$508,$T516,$N516)</f>
        <v/>
      </c>
    </row>
    <row r="517">
      <c r="A517" s="90" t="n">
        <v>7</v>
      </c>
      <c r="B517" s="91">
        <f>EDATE($B516,1)</f>
        <v/>
      </c>
      <c r="C517" s="92">
        <f>EOMONTH($B517,0)</f>
        <v/>
      </c>
      <c r="D517" s="87">
        <f>$C517-$B517+1</f>
        <v/>
      </c>
      <c r="E517" s="87">
        <f>MONTH($B517)</f>
        <v/>
      </c>
      <c r="F517" s="93">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$N517*IF($O$508=1,$O517/$F$508,1)</f>
        <v/>
      </c>
      <c r="T517" s="95">
        <f>IF($G517&lt;nr_MStartP,$S517,$T505*(1+IF($G517&lt;nr_MStartP1,$M$508,$N$508)))</f>
        <v/>
      </c>
      <c r="U517" s="95">
        <f>IF($L$508,$T517,$N517)</f>
        <v/>
      </c>
    </row>
    <row r="518">
      <c r="A518" s="90" t="n">
        <v>8</v>
      </c>
      <c r="B518" s="91">
        <f>EDATE($B517,1)</f>
        <v/>
      </c>
      <c r="C518" s="92">
        <f>EOMONTH($B518,0)</f>
        <v/>
      </c>
      <c r="D518" s="87">
        <f>$C518-$B518+1</f>
        <v/>
      </c>
      <c r="E518" s="87">
        <f>MONTH($B518)</f>
        <v/>
      </c>
      <c r="F518" s="93">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$N518*IF($O$508=1,$O518/$F$508,1)</f>
        <v/>
      </c>
      <c r="T518" s="95">
        <f>IF($G518&lt;nr_MStartP,$S518,$T506*(1+IF($G518&lt;nr_MStartP1,$M$508,$N$508)))</f>
        <v/>
      </c>
      <c r="U518" s="95">
        <f>IF($L$508,$T518,$N518)</f>
        <v/>
      </c>
    </row>
    <row r="519">
      <c r="A519" s="90" t="n">
        <v>9</v>
      </c>
      <c r="B519" s="91">
        <f>EDATE($B518,1)</f>
        <v/>
      </c>
      <c r="C519" s="92">
        <f>EOMONTH($B519,0)</f>
        <v/>
      </c>
      <c r="D519" s="87">
        <f>$C519-$B519+1</f>
        <v/>
      </c>
      <c r="E519" s="87">
        <f>MONTH($B519)</f>
        <v/>
      </c>
      <c r="F519" s="93">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$N519*IF($O$508=1,$O519/$F$508,1)</f>
        <v/>
      </c>
      <c r="T519" s="95">
        <f>IF($G519&lt;nr_MStartP,$S519,$T507*(1+IF($G519&lt;nr_MStartP1,$M$508,$N$508)))</f>
        <v/>
      </c>
      <c r="U519" s="95">
        <f>IF($L$508,$T519,$N519)</f>
        <v/>
      </c>
    </row>
    <row r="520">
      <c r="A520" s="90" t="n">
        <v>10</v>
      </c>
      <c r="B520" s="91">
        <f>EDATE($B519,1)</f>
        <v/>
      </c>
      <c r="C520" s="92">
        <f>EOMONTH($B520,0)</f>
        <v/>
      </c>
      <c r="D520" s="87">
        <f>$C520-$B520+1</f>
        <v/>
      </c>
      <c r="E520" s="87">
        <f>MONTH($B520)</f>
        <v/>
      </c>
      <c r="F520" s="93">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$N520*IF($O$508=1,$O520/$F$508,1)</f>
        <v/>
      </c>
      <c r="T520" s="95">
        <f>IF($G520&lt;nr_MStartP,$S520,$T508*(1+IF($G520&lt;nr_MStartP1,$M$508,$N$508)))</f>
        <v/>
      </c>
      <c r="U520" s="95">
        <f>IF($L$508,$T520,$N520)</f>
        <v/>
      </c>
    </row>
    <row r="521">
      <c r="A521" s="90" t="n">
        <v>11</v>
      </c>
      <c r="B521" s="91">
        <f>EDATE($B520,1)</f>
        <v/>
      </c>
      <c r="C521" s="92">
        <f>EOMONTH($B521,0)</f>
        <v/>
      </c>
      <c r="D521" s="87">
        <f>$C521-$B521+1</f>
        <v/>
      </c>
      <c r="E521" s="87">
        <f>MONTH($B521)</f>
        <v/>
      </c>
      <c r="F521" s="93">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$N521*IF($O$508=1,$O521/$F$508,1)</f>
        <v/>
      </c>
      <c r="T521" s="95">
        <f>IF($G521&lt;nr_MStartP,$S521,$T509*(1+IF($G521&lt;nr_MStartP1,$M$508,$N$508)))</f>
        <v/>
      </c>
      <c r="U521" s="95">
        <f>IF($L$508,$T521,$N521)</f>
        <v/>
      </c>
    </row>
    <row r="522">
      <c r="A522" s="90" t="n">
        <v>12</v>
      </c>
      <c r="B522" s="91">
        <f>EDATE($B521,1)</f>
        <v/>
      </c>
      <c r="C522" s="92">
        <f>EOMONTH($B522,0)</f>
        <v/>
      </c>
      <c r="D522" s="87">
        <f>$C522-$B522+1</f>
        <v/>
      </c>
      <c r="E522" s="87">
        <f>MONTH($B522)</f>
        <v/>
      </c>
      <c r="F522" s="93">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$N522*IF($O$508=1,$O522/$F$508,1)</f>
        <v/>
      </c>
      <c r="T522" s="95">
        <f>IF($G522&lt;nr_MStartP,$S522,$T510*(1+IF($G522&lt;nr_MStartP1,$M$508,$N$508)))</f>
        <v/>
      </c>
      <c r="U522" s="95">
        <f>IF($L$508,$T522,$N522)</f>
        <v/>
      </c>
    </row>
    <row r="523">
      <c r="A523" s="90" t="n">
        <v>13</v>
      </c>
      <c r="B523" s="91">
        <f>EDATE($B522,1)</f>
        <v/>
      </c>
      <c r="C523" s="92">
        <f>EOMONTH($B523,0)</f>
        <v/>
      </c>
      <c r="D523" s="87">
        <f>$C523-$B523+1</f>
        <v/>
      </c>
      <c r="E523" s="87">
        <f>MONTH($B523)</f>
        <v/>
      </c>
      <c r="F523" s="93">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$N523*IF($O$508=1,$O523/$F$508,1)</f>
        <v/>
      </c>
      <c r="T523" s="95">
        <f>IF($G523&lt;nr_MStartP,$S523,$T511*(1+IF($G523&lt;nr_MStartP1,$M$508,$N$508)))</f>
        <v/>
      </c>
      <c r="U523" s="95">
        <f>IF($L$508,$T523,$N523)</f>
        <v/>
      </c>
    </row>
    <row r="524">
      <c r="A524" s="90" t="n">
        <v>14</v>
      </c>
      <c r="B524" s="91">
        <f>EDATE($B523,1)</f>
        <v/>
      </c>
      <c r="C524" s="92">
        <f>EOMONTH($B524,0)</f>
        <v/>
      </c>
      <c r="D524" s="87">
        <f>$C524-$B524+1</f>
        <v/>
      </c>
      <c r="E524" s="87">
        <f>MONTH($B524)</f>
        <v/>
      </c>
      <c r="F524" s="93">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$N524*IF($O$508=1,$O524/$F$508,1)</f>
        <v/>
      </c>
      <c r="T524" s="95">
        <f>IF($G524&lt;nr_MStartP,$S524,$T512*(1+IF($G524&lt;nr_MStartP1,$M$508,$N$508)))</f>
        <v/>
      </c>
      <c r="U524" s="95">
        <f>IF($L$508,$T524,$N524)</f>
        <v/>
      </c>
    </row>
    <row r="525">
      <c r="A525" s="90" t="n">
        <v>15</v>
      </c>
      <c r="B525" s="91">
        <f>EDATE($B524,1)</f>
        <v/>
      </c>
      <c r="C525" s="92">
        <f>EOMONTH($B525,0)</f>
        <v/>
      </c>
      <c r="D525" s="87">
        <f>$C525-$B525+1</f>
        <v/>
      </c>
      <c r="E525" s="87">
        <f>MONTH($B525)</f>
        <v/>
      </c>
      <c r="F525" s="93">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$N525*IF($O$508=1,$O525/$F$508,1)</f>
        <v/>
      </c>
      <c r="T525" s="95">
        <f>IF($G525&lt;nr_MStartP,$S525,$T513*(1+IF($G525&lt;nr_MStartP1,$M$508,$N$508)))</f>
        <v/>
      </c>
      <c r="U525" s="95">
        <f>IF($L$508,$T525,$N525)</f>
        <v/>
      </c>
    </row>
    <row r="526">
      <c r="A526" s="90" t="n">
        <v>16</v>
      </c>
      <c r="B526" s="91">
        <f>EDATE($B525,1)</f>
        <v/>
      </c>
      <c r="C526" s="92">
        <f>EOMONTH($B526,0)</f>
        <v/>
      </c>
      <c r="D526" s="87">
        <f>$C526-$B526+1</f>
        <v/>
      </c>
      <c r="E526" s="87">
        <f>MONTH($B526)</f>
        <v/>
      </c>
      <c r="F526" s="93">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$N526*IF($O$508=1,$O526/$F$508,1)</f>
        <v/>
      </c>
      <c r="T526" s="95">
        <f>IF($G526&lt;nr_MStartP,$S526,$T514*(1+IF($G526&lt;nr_MStartP1,$M$508,$N$508)))</f>
        <v/>
      </c>
      <c r="U526" s="95">
        <f>IF($L$508,$T526,$N526)</f>
        <v/>
      </c>
    </row>
    <row r="527">
      <c r="A527" s="90" t="n">
        <v>17</v>
      </c>
      <c r="B527" s="91">
        <f>EDATE($B526,1)</f>
        <v/>
      </c>
      <c r="C527" s="92">
        <f>EOMONTH($B527,0)</f>
        <v/>
      </c>
      <c r="D527" s="87">
        <f>$C527-$B527+1</f>
        <v/>
      </c>
      <c r="E527" s="87">
        <f>MONTH($B527)</f>
        <v/>
      </c>
      <c r="F527" s="93">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$N527*IF($O$508=1,$O527/$F$508,1)</f>
        <v/>
      </c>
      <c r="T527" s="95">
        <f>IF($G527&lt;nr_MStartP,$S527,$T515*(1+IF($G527&lt;nr_MStartP1,$M$508,$N$508)))</f>
        <v/>
      </c>
      <c r="U527" s="95">
        <f>IF($L$508,$T527,$N527)</f>
        <v/>
      </c>
    </row>
    <row r="528">
      <c r="A528" s="90" t="n">
        <v>18</v>
      </c>
      <c r="B528" s="91">
        <f>EDATE($B527,1)</f>
        <v/>
      </c>
      <c r="C528" s="92">
        <f>EOMONTH($B528,0)</f>
        <v/>
      </c>
      <c r="D528" s="87">
        <f>$C528-$B528+1</f>
        <v/>
      </c>
      <c r="E528" s="87">
        <f>MONTH($B528)</f>
        <v/>
      </c>
      <c r="F528" s="93">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$N528*IF($O$508=1,$O528/$F$508,1)</f>
        <v/>
      </c>
      <c r="T528" s="95">
        <f>IF($G528&lt;nr_MStartP,$S528,$T516*(1+IF($G528&lt;nr_MStartP1,$M$508,$N$508)))</f>
        <v/>
      </c>
      <c r="U528" s="95">
        <f>IF($L$508,$T528,$N528)</f>
        <v/>
      </c>
    </row>
    <row r="529">
      <c r="A529" s="90" t="n">
        <v>19</v>
      </c>
      <c r="B529" s="91">
        <f>EDATE($B528,1)</f>
        <v/>
      </c>
      <c r="C529" s="92">
        <f>EOMONTH($B529,0)</f>
        <v/>
      </c>
      <c r="D529" s="87">
        <f>$C529-$B529+1</f>
        <v/>
      </c>
      <c r="E529" s="87">
        <f>MONTH($B529)</f>
        <v/>
      </c>
      <c r="F529" s="93">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$N529*IF($O$508=1,$O529/$F$508,1)</f>
        <v/>
      </c>
      <c r="T529" s="95">
        <f>IF($G529&lt;nr_MStartP,$S529,$T517*(1+IF($G529&lt;nr_MStartP1,$M$508,$N$508)))</f>
        <v/>
      </c>
      <c r="U529" s="95">
        <f>IF($L$508,$T529,$N529)</f>
        <v/>
      </c>
    </row>
    <row r="530">
      <c r="A530" s="90" t="n">
        <v>20</v>
      </c>
      <c r="B530" s="91">
        <f>EDATE($B529,1)</f>
        <v/>
      </c>
      <c r="C530" s="92">
        <f>EOMONTH($B530,0)</f>
        <v/>
      </c>
      <c r="D530" s="87">
        <f>$C530-$B530+1</f>
        <v/>
      </c>
      <c r="E530" s="87">
        <f>MONTH($B530)</f>
        <v/>
      </c>
      <c r="F530" s="93">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$N530*IF($O$508=1,$O530/$F$508,1)</f>
        <v/>
      </c>
      <c r="T530" s="95">
        <f>IF($G530&lt;nr_MStartP,$S530,$T518*(1+IF($G530&lt;nr_MStartP1,$M$508,$N$508)))</f>
        <v/>
      </c>
      <c r="U530" s="95">
        <f>IF($L$508,$T530,$N530)</f>
        <v/>
      </c>
    </row>
    <row r="531">
      <c r="A531" s="90" t="n">
        <v>21</v>
      </c>
      <c r="B531" s="91">
        <f>EDATE($B530,1)</f>
        <v/>
      </c>
      <c r="C531" s="92">
        <f>EOMONTH($B531,0)</f>
        <v/>
      </c>
      <c r="D531" s="87">
        <f>$C531-$B531+1</f>
        <v/>
      </c>
      <c r="E531" s="87">
        <f>MONTH($B531)</f>
        <v/>
      </c>
      <c r="F531" s="93">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$N531*IF($O$508=1,$O531/$F$508,1)</f>
        <v/>
      </c>
      <c r="T531" s="95">
        <f>IF($G531&lt;nr_MStartP,$S531,$T519*(1+IF($G531&lt;nr_MStartP1,$M$508,$N$508)))</f>
        <v/>
      </c>
      <c r="U531" s="95">
        <f>IF($L$508,$T531,$N531)</f>
        <v/>
      </c>
    </row>
    <row r="532">
      <c r="A532" s="90" t="n">
        <v>22</v>
      </c>
      <c r="B532" s="91">
        <f>EDATE($B531,1)</f>
        <v/>
      </c>
      <c r="C532" s="92">
        <f>EOMONTH($B532,0)</f>
        <v/>
      </c>
      <c r="D532" s="87">
        <f>$C532-$B532+1</f>
        <v/>
      </c>
      <c r="E532" s="87">
        <f>MONTH($B532)</f>
        <v/>
      </c>
      <c r="F532" s="93">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$N532*IF($O$508=1,$O532/$F$508,1)</f>
        <v/>
      </c>
      <c r="T532" s="95">
        <f>IF($G532&lt;nr_MStartP,$S532,$T520*(1+IF($G532&lt;nr_MStartP1,$M$508,$N$508)))</f>
        <v/>
      </c>
      <c r="U532" s="95">
        <f>IF($L$508,$T532,$N532)</f>
        <v/>
      </c>
    </row>
    <row r="533">
      <c r="A533" s="90" t="n">
        <v>23</v>
      </c>
      <c r="B533" s="91">
        <f>EDATE($B532,1)</f>
        <v/>
      </c>
      <c r="C533" s="92">
        <f>EOMONTH($B533,0)</f>
        <v/>
      </c>
      <c r="D533" s="87">
        <f>$C533-$B533+1</f>
        <v/>
      </c>
      <c r="E533" s="87">
        <f>MONTH($B533)</f>
        <v/>
      </c>
      <c r="F533" s="93">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$N533*IF($O$508=1,$O533/$F$508,1)</f>
        <v/>
      </c>
      <c r="T533" s="95">
        <f>IF($G533&lt;nr_MStartP,$S533,$T521*(1+IF($G533&lt;nr_MStartP1,$M$508,$N$508)))</f>
        <v/>
      </c>
      <c r="U533" s="95">
        <f>IF($L$508,$T533,$N533)</f>
        <v/>
      </c>
    </row>
    <row r="534">
      <c r="A534" s="90" t="n">
        <v>24</v>
      </c>
      <c r="B534" s="91">
        <f>EDATE($B533,1)</f>
        <v/>
      </c>
      <c r="C534" s="92">
        <f>EOMONTH($B534,0)</f>
        <v/>
      </c>
      <c r="D534" s="87">
        <f>$C534-$B534+1</f>
        <v/>
      </c>
      <c r="E534" s="87">
        <f>MONTH($B534)</f>
        <v/>
      </c>
      <c r="F534" s="93">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$N534*IF($O$508=1,$O534/$F$508,1)</f>
        <v/>
      </c>
      <c r="T534" s="95">
        <f>IF($G534&lt;nr_MStartP,$S534,$T522*(1+IF($G534&lt;nr_MStartP1,$M$508,$N$508)))</f>
        <v/>
      </c>
      <c r="U534" s="95">
        <f>IF($L$508,$T534,$N534)</f>
        <v/>
      </c>
    </row>
    <row r="535">
      <c r="A535" s="90" t="n">
        <v>25</v>
      </c>
      <c r="B535" s="91">
        <f>EDATE($B534,1)</f>
        <v/>
      </c>
      <c r="C535" s="92">
        <f>EOMONTH($B535,0)</f>
        <v/>
      </c>
      <c r="D535" s="87">
        <f>$C535-$B535+1</f>
        <v/>
      </c>
      <c r="E535" s="87">
        <f>MONTH($B535)</f>
        <v/>
      </c>
      <c r="F535" s="93">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$N535*IF($O$508=1,$O535/$F$508,1)</f>
        <v/>
      </c>
      <c r="T535" s="95">
        <f>IF($G535&lt;nr_MStartP,$S535,$T523*(1+IF($G535&lt;nr_MStartP1,$M$508,$N$508)))</f>
        <v/>
      </c>
      <c r="U535" s="95">
        <f>IF($L$508,$T535,$N535)</f>
        <v/>
      </c>
    </row>
    <row r="536">
      <c r="A536" s="90" t="n">
        <v>26</v>
      </c>
      <c r="B536" s="91">
        <f>EDATE($B535,1)</f>
        <v/>
      </c>
      <c r="C536" s="92">
        <f>EOMONTH($B536,0)</f>
        <v/>
      </c>
      <c r="D536" s="87">
        <f>$C536-$B536+1</f>
        <v/>
      </c>
      <c r="E536" s="87">
        <f>MONTH($B536)</f>
        <v/>
      </c>
      <c r="F536" s="93">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$N536*IF($O$508=1,$O536/$F$508,1)</f>
        <v/>
      </c>
      <c r="T536" s="95">
        <f>IF($G536&lt;nr_MStartP,$S536,$T524*(1+IF($G536&lt;nr_MStartP1,$M$508,$N$508)))</f>
        <v/>
      </c>
      <c r="U536" s="95">
        <f>IF($L$508,$T536,$N536)</f>
        <v/>
      </c>
    </row>
    <row r="537">
      <c r="A537" s="90" t="n">
        <v>27</v>
      </c>
      <c r="B537" s="91">
        <f>EDATE($B536,1)</f>
        <v/>
      </c>
      <c r="C537" s="92">
        <f>EOMONTH($B537,0)</f>
        <v/>
      </c>
      <c r="D537" s="87">
        <f>$C537-$B537+1</f>
        <v/>
      </c>
      <c r="E537" s="87">
        <f>MONTH($B537)</f>
        <v/>
      </c>
      <c r="F537" s="93">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$N537*IF($O$508=1,$O537/$F$508,1)</f>
        <v/>
      </c>
      <c r="T537" s="95">
        <f>IF($G537&lt;nr_MStartP,$S537,$T525*(1+IF($G537&lt;nr_MStartP1,$M$508,$N$508)))</f>
        <v/>
      </c>
      <c r="U537" s="95">
        <f>IF($L$508,$T537,$N537)</f>
        <v/>
      </c>
    </row>
    <row r="538">
      <c r="A538" s="90" t="n">
        <v>28</v>
      </c>
      <c r="B538" s="91">
        <f>EDATE($B537,1)</f>
        <v/>
      </c>
      <c r="C538" s="92">
        <f>EOMONTH($B538,0)</f>
        <v/>
      </c>
      <c r="D538" s="87">
        <f>$C538-$B538+1</f>
        <v/>
      </c>
      <c r="E538" s="87">
        <f>MONTH($B538)</f>
        <v/>
      </c>
      <c r="F538" s="93">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$N538*IF($O$508=1,$O538/$F$508,1)</f>
        <v/>
      </c>
      <c r="T538" s="95">
        <f>IF($G538&lt;nr_MStartP,$S538,$T526*(1+IF($G538&lt;nr_MStartP1,$M$508,$N$508)))</f>
        <v/>
      </c>
      <c r="U538" s="95">
        <f>IF($L$508,$T538,$N538)</f>
        <v/>
      </c>
    </row>
    <row r="539">
      <c r="A539" s="90" t="n">
        <v>29</v>
      </c>
      <c r="B539" s="91">
        <f>EDATE($B538,1)</f>
        <v/>
      </c>
      <c r="C539" s="92">
        <f>EOMONTH($B539,0)</f>
        <v/>
      </c>
      <c r="D539" s="87">
        <f>$C539-$B539+1</f>
        <v/>
      </c>
      <c r="E539" s="87">
        <f>MONTH($B539)</f>
        <v/>
      </c>
      <c r="F539" s="93">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$N539*IF($O$508=1,$O539/$F$508,1)</f>
        <v/>
      </c>
      <c r="T539" s="95">
        <f>IF($G539&lt;nr_MStartP,$S539,$T527*(1+IF($G539&lt;nr_MStartP1,$M$508,$N$508)))</f>
        <v/>
      </c>
      <c r="U539" s="95">
        <f>IF($L$508,$T539,$N539)</f>
        <v/>
      </c>
    </row>
    <row r="540">
      <c r="A540" s="90" t="n">
        <v>30</v>
      </c>
      <c r="B540" s="91">
        <f>EDATE($B539,1)</f>
        <v/>
      </c>
      <c r="C540" s="92">
        <f>EOMONTH($B540,0)</f>
        <v/>
      </c>
      <c r="D540" s="87">
        <f>$C540-$B540+1</f>
        <v/>
      </c>
      <c r="E540" s="87">
        <f>MONTH($B540)</f>
        <v/>
      </c>
      <c r="F540" s="93">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$N540*IF($O$508=1,$O540/$F$508,1)</f>
        <v/>
      </c>
      <c r="T540" s="95">
        <f>IF($G540&lt;nr_MStartP,$S540,$T528*(1+IF($G540&lt;nr_MStartP1,$M$508,$N$508)))</f>
        <v/>
      </c>
      <c r="U540" s="95">
        <f>IF($L$508,$T540,$N540)</f>
        <v/>
      </c>
    </row>
    <row r="541">
      <c r="A541" s="90" t="n">
        <v>31</v>
      </c>
      <c r="B541" s="91">
        <f>EDATE($B540,1)</f>
        <v/>
      </c>
      <c r="C541" s="92">
        <f>EOMONTH($B541,0)</f>
        <v/>
      </c>
      <c r="D541" s="87">
        <f>$C541-$B541+1</f>
        <v/>
      </c>
      <c r="E541" s="87">
        <f>MONTH($B541)</f>
        <v/>
      </c>
      <c r="F541" s="93">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$N541*IF($O$508=1,$O541/$F$508,1)</f>
        <v/>
      </c>
      <c r="T541" s="95">
        <f>IF($G541&lt;nr_MStartP,$S541,$T529*(1+IF($G541&lt;nr_MStartP1,$M$508,$N$508)))</f>
        <v/>
      </c>
      <c r="U541" s="95">
        <f>IF($L$508,$T541,$N541)</f>
        <v/>
      </c>
    </row>
    <row r="542">
      <c r="A542" s="90" t="n">
        <v>32</v>
      </c>
      <c r="B542" s="91">
        <f>EDATE($B541,1)</f>
        <v/>
      </c>
      <c r="C542" s="92">
        <f>EOMONTH($B542,0)</f>
        <v/>
      </c>
      <c r="D542" s="87">
        <f>$C542-$B542+1</f>
        <v/>
      </c>
      <c r="E542" s="87">
        <f>MONTH($B542)</f>
        <v/>
      </c>
      <c r="F542" s="93">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$N542*IF($O$508=1,$O542/$F$508,1)</f>
        <v/>
      </c>
      <c r="T542" s="95">
        <f>IF($G542&lt;nr_MStartP,$S542,$T530*(1+IF($G542&lt;nr_MStartP1,$M$508,$N$508)))</f>
        <v/>
      </c>
      <c r="U542" s="95">
        <f>IF($L$508,$T542,$N542)</f>
        <v/>
      </c>
    </row>
    <row r="543">
      <c r="A543" s="90" t="n">
        <v>33</v>
      </c>
      <c r="B543" s="91">
        <f>EDATE($B542,1)</f>
        <v/>
      </c>
      <c r="C543" s="92">
        <f>EOMONTH($B543,0)</f>
        <v/>
      </c>
      <c r="D543" s="87">
        <f>$C543-$B543+1</f>
        <v/>
      </c>
      <c r="E543" s="87">
        <f>MONTH($B543)</f>
        <v/>
      </c>
      <c r="F543" s="93">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$N543*IF($O$508=1,$O543/$F$508,1)</f>
        <v/>
      </c>
      <c r="T543" s="95">
        <f>IF($G543&lt;nr_MStartP,$S543,$T531*(1+IF($G543&lt;nr_MStartP1,$M$508,$N$508)))</f>
        <v/>
      </c>
      <c r="U543" s="95">
        <f>IF($L$508,$T543,$N543)</f>
        <v/>
      </c>
    </row>
    <row r="544">
      <c r="A544" s="90" t="n">
        <v>34</v>
      </c>
      <c r="B544" s="91">
        <f>EDATE($B543,1)</f>
        <v/>
      </c>
      <c r="C544" s="92">
        <f>EOMONTH($B544,0)</f>
        <v/>
      </c>
      <c r="D544" s="87">
        <f>$C544-$B544+1</f>
        <v/>
      </c>
      <c r="E544" s="87">
        <f>MONTH($B544)</f>
        <v/>
      </c>
      <c r="F544" s="93">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$N544*IF($O$508=1,$O544/$F$508,1)</f>
        <v/>
      </c>
      <c r="T544" s="95">
        <f>IF($G544&lt;nr_MStartP,$S544,$T532*(1+IF($G544&lt;nr_MStartP1,$M$508,$N$508)))</f>
        <v/>
      </c>
      <c r="U544" s="95">
        <f>IF($L$508,$T544,$N544)</f>
        <v/>
      </c>
    </row>
    <row r="545">
      <c r="A545" s="90" t="n">
        <v>35</v>
      </c>
      <c r="B545" s="91">
        <f>EDATE($B544,1)</f>
        <v/>
      </c>
      <c r="C545" s="92">
        <f>EOMONTH($B545,0)</f>
        <v/>
      </c>
      <c r="D545" s="87">
        <f>$C545-$B545+1</f>
        <v/>
      </c>
      <c r="E545" s="87">
        <f>MONTH($B545)</f>
        <v/>
      </c>
      <c r="F545" s="93">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$N545*IF($O$508=1,$O545/$F$508,1)</f>
        <v/>
      </c>
      <c r="T545" s="95">
        <f>IF($G545&lt;nr_MStartP,$S545,$T533*(1+IF($G545&lt;nr_MStartP1,$M$508,$N$508)))</f>
        <v/>
      </c>
      <c r="U545" s="95">
        <f>IF($L$508,$T545,$N545)</f>
        <v/>
      </c>
    </row>
    <row r="546">
      <c r="A546" s="90" t="n">
        <v>36</v>
      </c>
      <c r="B546" s="91">
        <f>EDATE($B545,1)</f>
        <v/>
      </c>
      <c r="C546" s="92">
        <f>EOMONTH($B546,0)</f>
        <v/>
      </c>
      <c r="D546" s="87">
        <f>$C546-$B546+1</f>
        <v/>
      </c>
      <c r="E546" s="87">
        <f>MONTH($B546)</f>
        <v/>
      </c>
      <c r="F546" s="93">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$N546*IF($O$508=1,$O546/$F$508,1)</f>
        <v/>
      </c>
      <c r="T546" s="95">
        <f>IF($G546&lt;nr_MStartP,$S546,$T534*(1+IF($G546&lt;nr_MStartP1,$M$508,$N$508)))</f>
        <v/>
      </c>
      <c r="U546" s="95">
        <f>IF($L$508,$T546,$N546)</f>
        <v/>
      </c>
    </row>
    <row r="547">
      <c r="A547" s="90" t="n">
        <v>37</v>
      </c>
      <c r="B547" s="91">
        <f>EDATE($B546,1)</f>
        <v/>
      </c>
      <c r="C547" s="92">
        <f>EOMONTH($B547,0)</f>
        <v/>
      </c>
      <c r="D547" s="87">
        <f>$C547-$B547+1</f>
        <v/>
      </c>
      <c r="E547" s="87">
        <f>MONTH($B547)</f>
        <v/>
      </c>
      <c r="F547" s="93">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$N547*IF($O$508=1,$O547/$F$508,1)</f>
        <v/>
      </c>
      <c r="T547" s="95">
        <f>IF($G547&lt;nr_MStartP,$S547,$T535*(1+IF($G547&lt;nr_MStartP1,$M$508,$N$508)))</f>
        <v/>
      </c>
      <c r="U547" s="95">
        <f>IF($L$508,$T547,$N547)</f>
        <v/>
      </c>
    </row>
    <row r="548">
      <c r="A548" s="90" t="n">
        <v>38</v>
      </c>
      <c r="B548" s="91">
        <f>EDATE($B547,1)</f>
        <v/>
      </c>
      <c r="C548" s="92">
        <f>EOMONTH($B548,0)</f>
        <v/>
      </c>
      <c r="D548" s="87">
        <f>$C548-$B548+1</f>
        <v/>
      </c>
      <c r="E548" s="87">
        <f>MONTH($B548)</f>
        <v/>
      </c>
      <c r="F548" s="93">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$N548*IF($O$508=1,$O548/$F$508,1)</f>
        <v/>
      </c>
      <c r="T548" s="95">
        <f>IF($G548&lt;nr_MStartP,$S548,$T536*(1+IF($G548&lt;nr_MStartP1,$M$508,$N$508)))</f>
        <v/>
      </c>
      <c r="U548" s="95">
        <f>IF($L$508,$T548,$N548)</f>
        <v/>
      </c>
    </row>
    <row r="549">
      <c r="A549" s="90" t="n">
        <v>39</v>
      </c>
      <c r="B549" s="91">
        <f>EDATE($B548,1)</f>
        <v/>
      </c>
      <c r="C549" s="92">
        <f>EOMONTH($B549,0)</f>
        <v/>
      </c>
      <c r="D549" s="87">
        <f>$C549-$B549+1</f>
        <v/>
      </c>
      <c r="E549" s="87">
        <f>MONTH($B549)</f>
        <v/>
      </c>
      <c r="F549" s="93">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$N549*IF($O$508=1,$O549/$F$508,1)</f>
        <v/>
      </c>
      <c r="T549" s="95">
        <f>IF($G549&lt;nr_MStartP,$S549,$T537*(1+IF($G549&lt;nr_MStartP1,$M$508,$N$508)))</f>
        <v/>
      </c>
      <c r="U549" s="95">
        <f>IF($L$508,$T549,$N549)</f>
        <v/>
      </c>
    </row>
    <row r="550">
      <c r="A550" s="90" t="n">
        <v>40</v>
      </c>
      <c r="B550" s="91">
        <f>EDATE($B549,1)</f>
        <v/>
      </c>
      <c r="C550" s="92">
        <f>EOMONTH($B550,0)</f>
        <v/>
      </c>
      <c r="D550" s="87">
        <f>$C550-$B550+1</f>
        <v/>
      </c>
      <c r="E550" s="87">
        <f>MONTH($B550)</f>
        <v/>
      </c>
      <c r="F550" s="93">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$N550*IF($O$508=1,$O550/$F$508,1)</f>
        <v/>
      </c>
      <c r="T550" s="95">
        <f>IF($G550&lt;nr_MStartP,$S550,$T538*(1+IF($G550&lt;nr_MStartP1,$M$508,$N$508)))</f>
        <v/>
      </c>
      <c r="U550" s="95">
        <f>IF($L$508,$T550,$N550)</f>
        <v/>
      </c>
    </row>
    <row r="551">
      <c r="A551" s="90" t="n">
        <v>41</v>
      </c>
      <c r="B551" s="91">
        <f>EDATE($B550,1)</f>
        <v/>
      </c>
      <c r="C551" s="92">
        <f>EOMONTH($B551,0)</f>
        <v/>
      </c>
      <c r="D551" s="87">
        <f>$C551-$B551+1</f>
        <v/>
      </c>
      <c r="E551" s="87">
        <f>MONTH($B551)</f>
        <v/>
      </c>
      <c r="F551" s="93">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$N551*IF($O$508=1,$O551/$F$508,1)</f>
        <v/>
      </c>
      <c r="T551" s="95">
        <f>IF($G551&lt;nr_MStartP,$S551,$T539*(1+IF($G551&lt;nr_MStartP1,$M$508,$N$508)))</f>
        <v/>
      </c>
      <c r="U551" s="95">
        <f>IF($L$508,$T551,$N551)</f>
        <v/>
      </c>
    </row>
    <row r="552">
      <c r="A552" s="90" t="n">
        <v>42</v>
      </c>
      <c r="B552" s="91">
        <f>EDATE($B551,1)</f>
        <v/>
      </c>
      <c r="C552" s="92">
        <f>EOMONTH($B552,0)</f>
        <v/>
      </c>
      <c r="D552" s="87">
        <f>$C552-$B552+1</f>
        <v/>
      </c>
      <c r="E552" s="87">
        <f>MONTH($B552)</f>
        <v/>
      </c>
      <c r="F552" s="93">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$N552*IF($O$508=1,$O552/$F$508,1)</f>
        <v/>
      </c>
      <c r="T552" s="95">
        <f>IF($G552&lt;nr_MStartP,$S552,$T540*(1+IF($G552&lt;nr_MStartP1,$M$508,$N$508)))</f>
        <v/>
      </c>
      <c r="U552" s="95">
        <f>IF($L$508,$T552,$N552)</f>
        <v/>
      </c>
    </row>
    <row r="553">
      <c r="A553" s="90" t="n">
        <v>43</v>
      </c>
      <c r="B553" s="91">
        <f>EDATE($B552,1)</f>
        <v/>
      </c>
      <c r="C553" s="92">
        <f>EOMONTH($B553,0)</f>
        <v/>
      </c>
      <c r="D553" s="87">
        <f>$C553-$B553+1</f>
        <v/>
      </c>
      <c r="E553" s="87">
        <f>MONTH($B553)</f>
        <v/>
      </c>
      <c r="F553" s="93">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$N553*IF($O$508=1,$O553/$F$508,1)</f>
        <v/>
      </c>
      <c r="T553" s="95">
        <f>IF($G553&lt;nr_MStartP,$S553,$T541*(1+IF($G553&lt;nr_MStartP1,$M$508,$N$508)))</f>
        <v/>
      </c>
      <c r="U553" s="95">
        <f>IF($L$508,$T553,$N553)</f>
        <v/>
      </c>
    </row>
    <row r="554">
      <c r="A554" s="90" t="n">
        <v>44</v>
      </c>
      <c r="B554" s="91">
        <f>EDATE($B553,1)</f>
        <v/>
      </c>
      <c r="C554" s="92">
        <f>EOMONTH($B554,0)</f>
        <v/>
      </c>
      <c r="D554" s="87">
        <f>$C554-$B554+1</f>
        <v/>
      </c>
      <c r="E554" s="87">
        <f>MONTH($B554)</f>
        <v/>
      </c>
      <c r="F554" s="93">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$N554*IF($O$508=1,$O554/$F$508,1)</f>
        <v/>
      </c>
      <c r="T554" s="95">
        <f>IF($G554&lt;nr_MStartP,$S554,$T542*(1+IF($G554&lt;nr_MStartP1,$M$508,$N$508)))</f>
        <v/>
      </c>
      <c r="U554" s="95">
        <f>IF($L$508,$T554,$N554)</f>
        <v/>
      </c>
    </row>
    <row r="555">
      <c r="A555" s="90" t="n">
        <v>45</v>
      </c>
      <c r="B555" s="91">
        <f>EDATE($B554,1)</f>
        <v/>
      </c>
      <c r="C555" s="92">
        <f>EOMONTH($B555,0)</f>
        <v/>
      </c>
      <c r="D555" s="87">
        <f>$C555-$B555+1</f>
        <v/>
      </c>
      <c r="E555" s="87">
        <f>MONTH($B555)</f>
        <v/>
      </c>
      <c r="F555" s="93">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$N555*IF($O$508=1,$O555/$F$508,1)</f>
        <v/>
      </c>
      <c r="T555" s="95">
        <f>IF($G555&lt;nr_MStartP,$S555,$T543*(1+IF($G555&lt;nr_MStartP1,$M$508,$N$508)))</f>
        <v/>
      </c>
      <c r="U555" s="95">
        <f>IF($L$508,$T555,$N555)</f>
        <v/>
      </c>
    </row>
    <row r="556">
      <c r="A556" s="90" t="n">
        <v>46</v>
      </c>
      <c r="B556" s="91">
        <f>EDATE($B555,1)</f>
        <v/>
      </c>
      <c r="C556" s="92">
        <f>EOMONTH($B556,0)</f>
        <v/>
      </c>
      <c r="D556" s="87">
        <f>$C556-$B556+1</f>
        <v/>
      </c>
      <c r="E556" s="87">
        <f>MONTH($B556)</f>
        <v/>
      </c>
      <c r="F556" s="93">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$N556*IF($O$508=1,$O556/$F$508,1)</f>
        <v/>
      </c>
      <c r="T556" s="95">
        <f>IF($G556&lt;nr_MStartP,$S556,$T544*(1+IF($G556&lt;nr_MStartP1,$M$508,$N$508)))</f>
        <v/>
      </c>
      <c r="U556" s="95">
        <f>IF($L$508,$T556,$N556)</f>
        <v/>
      </c>
    </row>
    <row r="557">
      <c r="A557" s="90" t="n">
        <v>47</v>
      </c>
      <c r="B557" s="91">
        <f>EDATE($B556,1)</f>
        <v/>
      </c>
      <c r="C557" s="92">
        <f>EOMONTH($B557,0)</f>
        <v/>
      </c>
      <c r="D557" s="87">
        <f>$C557-$B557+1</f>
        <v/>
      </c>
      <c r="E557" s="87">
        <f>MONTH($B557)</f>
        <v/>
      </c>
      <c r="F557" s="93">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$N557*IF($O$508=1,$O557/$F$508,1)</f>
        <v/>
      </c>
      <c r="T557" s="95">
        <f>IF($G557&lt;nr_MStartP,$S557,$T545*(1+IF($G557&lt;nr_MStartP1,$M$508,$N$508)))</f>
        <v/>
      </c>
      <c r="U557" s="95">
        <f>IF($L$508,$T557,$N557)</f>
        <v/>
      </c>
    </row>
    <row r="558">
      <c r="A558" s="90" t="n">
        <v>48</v>
      </c>
      <c r="B558" s="91">
        <f>EDATE($B557,1)</f>
        <v/>
      </c>
      <c r="C558" s="92">
        <f>EOMONTH($B558,0)</f>
        <v/>
      </c>
      <c r="D558" s="87">
        <f>$C558-$B558+1</f>
        <v/>
      </c>
      <c r="E558" s="87">
        <f>MONTH($B558)</f>
        <v/>
      </c>
      <c r="F558" s="93">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$N558*IF($O$508=1,$O558/$F$508,1)</f>
        <v/>
      </c>
      <c r="T558" s="95">
        <f>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04">
        <f>SUMPRODUCT($H$511:$H$558,$Q$511:$Q$558,$O$511:$O$558)/SUMPRODUCT($H$511:$H$558,$Q$511:$Q$558)</f>
        <v/>
      </c>
      <c r="G559" s="20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04">
        <f>IF(N(INDEX(lr_mind,10))=0,1,INDEX(lr_mind,10))</f>
        <v/>
      </c>
      <c r="G562" s="204">
        <f>IF(N(INDEX(lr_m0,10))=0,1,INDEX(lr_m0,10))</f>
        <v/>
      </c>
      <c r="H562" s="73">
        <f>IF(N(INDEX(lr_m0asof,10))=0,DATE(nr_PlanYear-1,10,1),INDEX(lr_m0asof,10))</f>
        <v/>
      </c>
      <c r="I562" s="204">
        <f>IF(N(INDEX(lr_m1,10))=0,1,INDEX(lr_m1,10))</f>
        <v/>
      </c>
      <c r="J562" s="204">
        <f>INDEX(lr_mprior,10)</f>
        <v/>
      </c>
      <c r="K562" s="20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93">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$N565*IF($O$562=1,$O565/$F$562,1)</f>
        <v/>
      </c>
      <c r="T565" s="95">
        <f>IF($G565&lt;nr_MStartP,$S565,$T553*(1+IF($G565&lt;nr_MStartP1,$M$562,$N$562)))</f>
        <v/>
      </c>
      <c r="U565" s="95">
        <f>IF($L$562,$T565,$N565)</f>
        <v/>
      </c>
    </row>
    <row r="566">
      <c r="A566" s="90" t="n">
        <v>2</v>
      </c>
      <c r="B566" s="91">
        <f>EDATE($B565,1)</f>
        <v/>
      </c>
      <c r="C566" s="92">
        <f>EOMONTH($B566,0)</f>
        <v/>
      </c>
      <c r="D566" s="87">
        <f>$C566-$B566+1</f>
        <v/>
      </c>
      <c r="E566" s="87">
        <f>MONTH($B566)</f>
        <v/>
      </c>
      <c r="F566" s="93">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$N566*IF($O$562=1,$O566/$F$562,1)</f>
        <v/>
      </c>
      <c r="T566" s="95">
        <f>IF($G566&lt;nr_MStartP,$S566,$T554*(1+IF($G566&lt;nr_MStartP1,$M$562,$N$562)))</f>
        <v/>
      </c>
      <c r="U566" s="95">
        <f>IF($L$562,$T566,$N566)</f>
        <v/>
      </c>
    </row>
    <row r="567">
      <c r="A567" s="90" t="n">
        <v>3</v>
      </c>
      <c r="B567" s="91">
        <f>EDATE($B566,1)</f>
        <v/>
      </c>
      <c r="C567" s="92">
        <f>EOMONTH($B567,0)</f>
        <v/>
      </c>
      <c r="D567" s="87">
        <f>$C567-$B567+1</f>
        <v/>
      </c>
      <c r="E567" s="87">
        <f>MONTH($B567)</f>
        <v/>
      </c>
      <c r="F567" s="93">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$N567*IF($O$562=1,$O567/$F$562,1)</f>
        <v/>
      </c>
      <c r="T567" s="95">
        <f>IF($G567&lt;nr_MStartP,$S567,$T555*(1+IF($G567&lt;nr_MStartP1,$M$562,$N$562)))</f>
        <v/>
      </c>
      <c r="U567" s="95">
        <f>IF($L$562,$T567,$N567)</f>
        <v/>
      </c>
    </row>
    <row r="568">
      <c r="A568" s="90" t="n">
        <v>4</v>
      </c>
      <c r="B568" s="91">
        <f>EDATE($B567,1)</f>
        <v/>
      </c>
      <c r="C568" s="92">
        <f>EOMONTH($B568,0)</f>
        <v/>
      </c>
      <c r="D568" s="87">
        <f>$C568-$B568+1</f>
        <v/>
      </c>
      <c r="E568" s="87">
        <f>MONTH($B568)</f>
        <v/>
      </c>
      <c r="F568" s="93">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$N568*IF($O$562=1,$O568/$F$562,1)</f>
        <v/>
      </c>
      <c r="T568" s="95">
        <f>IF($G568&lt;nr_MStartP,$S568,$T556*(1+IF($G568&lt;nr_MStartP1,$M$562,$N$562)))</f>
        <v/>
      </c>
      <c r="U568" s="95">
        <f>IF($L$562,$T568,$N568)</f>
        <v/>
      </c>
    </row>
    <row r="569">
      <c r="A569" s="90" t="n">
        <v>5</v>
      </c>
      <c r="B569" s="91">
        <f>EDATE($B568,1)</f>
        <v/>
      </c>
      <c r="C569" s="92">
        <f>EOMONTH($B569,0)</f>
        <v/>
      </c>
      <c r="D569" s="87">
        <f>$C569-$B569+1</f>
        <v/>
      </c>
      <c r="E569" s="87">
        <f>MONTH($B569)</f>
        <v/>
      </c>
      <c r="F569" s="93">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$N569*IF($O$562=1,$O569/$F$562,1)</f>
        <v/>
      </c>
      <c r="T569" s="95">
        <f>IF($G569&lt;nr_MStartP,$S569,$T557*(1+IF($G569&lt;nr_MStartP1,$M$562,$N$562)))</f>
        <v/>
      </c>
      <c r="U569" s="95">
        <f>IF($L$562,$T569,$N569)</f>
        <v/>
      </c>
    </row>
    <row r="570">
      <c r="A570" s="90" t="n">
        <v>6</v>
      </c>
      <c r="B570" s="91">
        <f>EDATE($B569,1)</f>
        <v/>
      </c>
      <c r="C570" s="92">
        <f>EOMONTH($B570,0)</f>
        <v/>
      </c>
      <c r="D570" s="87">
        <f>$C570-$B570+1</f>
        <v/>
      </c>
      <c r="E570" s="87">
        <f>MONTH($B570)</f>
        <v/>
      </c>
      <c r="F570" s="93">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$N570*IF($O$562=1,$O570/$F$562,1)</f>
        <v/>
      </c>
      <c r="T570" s="95">
        <f>IF($G570&lt;nr_MStartP,$S570,$T558*(1+IF($G570&lt;nr_MStartP1,$M$562,$N$562)))</f>
        <v/>
      </c>
      <c r="U570" s="95">
        <f>IF($L$562,$T570,$N570)</f>
        <v/>
      </c>
    </row>
    <row r="571">
      <c r="A571" s="90" t="n">
        <v>7</v>
      </c>
      <c r="B571" s="91">
        <f>EDATE($B570,1)</f>
        <v/>
      </c>
      <c r="C571" s="92">
        <f>EOMONTH($B571,0)</f>
        <v/>
      </c>
      <c r="D571" s="87">
        <f>$C571-$B571+1</f>
        <v/>
      </c>
      <c r="E571" s="87">
        <f>MONTH($B571)</f>
        <v/>
      </c>
      <c r="F571" s="93">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$N571*IF($O$562=1,$O571/$F$562,1)</f>
        <v/>
      </c>
      <c r="T571" s="95">
        <f>IF($G571&lt;nr_MStartP,$S571,$T559*(1+IF($G571&lt;nr_MStartP1,$M$562,$N$562)))</f>
        <v/>
      </c>
      <c r="U571" s="95">
        <f>IF($L$562,$T571,$N571)</f>
        <v/>
      </c>
    </row>
    <row r="572">
      <c r="A572" s="90" t="n">
        <v>8</v>
      </c>
      <c r="B572" s="91">
        <f>EDATE($B571,1)</f>
        <v/>
      </c>
      <c r="C572" s="92">
        <f>EOMONTH($B572,0)</f>
        <v/>
      </c>
      <c r="D572" s="87">
        <f>$C572-$B572+1</f>
        <v/>
      </c>
      <c r="E572" s="87">
        <f>MONTH($B572)</f>
        <v/>
      </c>
      <c r="F572" s="93">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$N572*IF($O$562=1,$O572/$F$562,1)</f>
        <v/>
      </c>
      <c r="T572" s="95">
        <f>IF($G572&lt;nr_MStartP,$S572,$T560*(1+IF($G572&lt;nr_MStartP1,$M$562,$N$562)))</f>
        <v/>
      </c>
      <c r="U572" s="95">
        <f>IF($L$562,$T572,$N572)</f>
        <v/>
      </c>
    </row>
    <row r="573">
      <c r="A573" s="90" t="n">
        <v>9</v>
      </c>
      <c r="B573" s="91">
        <f>EDATE($B572,1)</f>
        <v/>
      </c>
      <c r="C573" s="92">
        <f>EOMONTH($B573,0)</f>
        <v/>
      </c>
      <c r="D573" s="87">
        <f>$C573-$B573+1</f>
        <v/>
      </c>
      <c r="E573" s="87">
        <f>MONTH($B573)</f>
        <v/>
      </c>
      <c r="F573" s="93">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$N573*IF($O$562=1,$O573/$F$562,1)</f>
        <v/>
      </c>
      <c r="T573" s="95">
        <f>IF($G573&lt;nr_MStartP,$S573,$T561*(1+IF($G573&lt;nr_MStartP1,$M$562,$N$562)))</f>
        <v/>
      </c>
      <c r="U573" s="95">
        <f>IF($L$562,$T573,$N573)</f>
        <v/>
      </c>
    </row>
    <row r="574">
      <c r="A574" s="90" t="n">
        <v>10</v>
      </c>
      <c r="B574" s="91">
        <f>EDATE($B573,1)</f>
        <v/>
      </c>
      <c r="C574" s="92">
        <f>EOMONTH($B574,0)</f>
        <v/>
      </c>
      <c r="D574" s="87">
        <f>$C574-$B574+1</f>
        <v/>
      </c>
      <c r="E574" s="87">
        <f>MONTH($B574)</f>
        <v/>
      </c>
      <c r="F574" s="93">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$N574*IF($O$562=1,$O574/$F$562,1)</f>
        <v/>
      </c>
      <c r="T574" s="95">
        <f>IF($G574&lt;nr_MStartP,$S574,$T562*(1+IF($G574&lt;nr_MStartP1,$M$562,$N$562)))</f>
        <v/>
      </c>
      <c r="U574" s="95">
        <f>IF($L$562,$T574,$N574)</f>
        <v/>
      </c>
    </row>
    <row r="575">
      <c r="A575" s="90" t="n">
        <v>11</v>
      </c>
      <c r="B575" s="91">
        <f>EDATE($B574,1)</f>
        <v/>
      </c>
      <c r="C575" s="92">
        <f>EOMONTH($B575,0)</f>
        <v/>
      </c>
      <c r="D575" s="87">
        <f>$C575-$B575+1</f>
        <v/>
      </c>
      <c r="E575" s="87">
        <f>MONTH($B575)</f>
        <v/>
      </c>
      <c r="F575" s="93">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$N575*IF($O$562=1,$O575/$F$562,1)</f>
        <v/>
      </c>
      <c r="T575" s="95">
        <f>IF($G575&lt;nr_MStartP,$S575,$T563*(1+IF($G575&lt;nr_MStartP1,$M$562,$N$562)))</f>
        <v/>
      </c>
      <c r="U575" s="95">
        <f>IF($L$562,$T575,$N575)</f>
        <v/>
      </c>
    </row>
    <row r="576">
      <c r="A576" s="90" t="n">
        <v>12</v>
      </c>
      <c r="B576" s="91">
        <f>EDATE($B575,1)</f>
        <v/>
      </c>
      <c r="C576" s="92">
        <f>EOMONTH($B576,0)</f>
        <v/>
      </c>
      <c r="D576" s="87">
        <f>$C576-$B576+1</f>
        <v/>
      </c>
      <c r="E576" s="87">
        <f>MONTH($B576)</f>
        <v/>
      </c>
      <c r="F576" s="93">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$N576*IF($O$562=1,$O576/$F$562,1)</f>
        <v/>
      </c>
      <c r="T576" s="95">
        <f>IF($G576&lt;nr_MStartP,$S576,$T564*(1+IF($G576&lt;nr_MStartP1,$M$562,$N$562)))</f>
        <v/>
      </c>
      <c r="U576" s="95">
        <f>IF($L$562,$T576,$N576)</f>
        <v/>
      </c>
    </row>
    <row r="577">
      <c r="A577" s="90" t="n">
        <v>13</v>
      </c>
      <c r="B577" s="91">
        <f>EDATE($B576,1)</f>
        <v/>
      </c>
      <c r="C577" s="92">
        <f>EOMONTH($B577,0)</f>
        <v/>
      </c>
      <c r="D577" s="87">
        <f>$C577-$B577+1</f>
        <v/>
      </c>
      <c r="E577" s="87">
        <f>MONTH($B577)</f>
        <v/>
      </c>
      <c r="F577" s="93">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$N577*IF($O$562=1,$O577/$F$562,1)</f>
        <v/>
      </c>
      <c r="T577" s="95">
        <f>IF($G577&lt;nr_MStartP,$S577,$T565*(1+IF($G577&lt;nr_MStartP1,$M$562,$N$562)))</f>
        <v/>
      </c>
      <c r="U577" s="95">
        <f>IF($L$562,$T577,$N577)</f>
        <v/>
      </c>
    </row>
    <row r="578">
      <c r="A578" s="90" t="n">
        <v>14</v>
      </c>
      <c r="B578" s="91">
        <f>EDATE($B577,1)</f>
        <v/>
      </c>
      <c r="C578" s="92">
        <f>EOMONTH($B578,0)</f>
        <v/>
      </c>
      <c r="D578" s="87">
        <f>$C578-$B578+1</f>
        <v/>
      </c>
      <c r="E578" s="87">
        <f>MONTH($B578)</f>
        <v/>
      </c>
      <c r="F578" s="93">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$N578*IF($O$562=1,$O578/$F$562,1)</f>
        <v/>
      </c>
      <c r="T578" s="95">
        <f>IF($G578&lt;nr_MStartP,$S578,$T566*(1+IF($G578&lt;nr_MStartP1,$M$562,$N$562)))</f>
        <v/>
      </c>
      <c r="U578" s="95">
        <f>IF($L$562,$T578,$N578)</f>
        <v/>
      </c>
    </row>
    <row r="579">
      <c r="A579" s="90" t="n">
        <v>15</v>
      </c>
      <c r="B579" s="91">
        <f>EDATE($B578,1)</f>
        <v/>
      </c>
      <c r="C579" s="92">
        <f>EOMONTH($B579,0)</f>
        <v/>
      </c>
      <c r="D579" s="87">
        <f>$C579-$B579+1</f>
        <v/>
      </c>
      <c r="E579" s="87">
        <f>MONTH($B579)</f>
        <v/>
      </c>
      <c r="F579" s="93">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$N579*IF($O$562=1,$O579/$F$562,1)</f>
        <v/>
      </c>
      <c r="T579" s="95">
        <f>IF($G579&lt;nr_MStartP,$S579,$T567*(1+IF($G579&lt;nr_MStartP1,$M$562,$N$562)))</f>
        <v/>
      </c>
      <c r="U579" s="95">
        <f>IF($L$562,$T579,$N579)</f>
        <v/>
      </c>
    </row>
    <row r="580">
      <c r="A580" s="90" t="n">
        <v>16</v>
      </c>
      <c r="B580" s="91">
        <f>EDATE($B579,1)</f>
        <v/>
      </c>
      <c r="C580" s="92">
        <f>EOMONTH($B580,0)</f>
        <v/>
      </c>
      <c r="D580" s="87">
        <f>$C580-$B580+1</f>
        <v/>
      </c>
      <c r="E580" s="87">
        <f>MONTH($B580)</f>
        <v/>
      </c>
      <c r="F580" s="93">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$N580*IF($O$562=1,$O580/$F$562,1)</f>
        <v/>
      </c>
      <c r="T580" s="95">
        <f>IF($G580&lt;nr_MStartP,$S580,$T568*(1+IF($G580&lt;nr_MStartP1,$M$562,$N$562)))</f>
        <v/>
      </c>
      <c r="U580" s="95">
        <f>IF($L$562,$T580,$N580)</f>
        <v/>
      </c>
    </row>
    <row r="581">
      <c r="A581" s="90" t="n">
        <v>17</v>
      </c>
      <c r="B581" s="91">
        <f>EDATE($B580,1)</f>
        <v/>
      </c>
      <c r="C581" s="92">
        <f>EOMONTH($B581,0)</f>
        <v/>
      </c>
      <c r="D581" s="87">
        <f>$C581-$B581+1</f>
        <v/>
      </c>
      <c r="E581" s="87">
        <f>MONTH($B581)</f>
        <v/>
      </c>
      <c r="F581" s="93">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$N581*IF($O$562=1,$O581/$F$562,1)</f>
        <v/>
      </c>
      <c r="T581" s="95">
        <f>IF($G581&lt;nr_MStartP,$S581,$T569*(1+IF($G581&lt;nr_MStartP1,$M$562,$N$562)))</f>
        <v/>
      </c>
      <c r="U581" s="95">
        <f>IF($L$562,$T581,$N581)</f>
        <v/>
      </c>
    </row>
    <row r="582">
      <c r="A582" s="90" t="n">
        <v>18</v>
      </c>
      <c r="B582" s="91">
        <f>EDATE($B581,1)</f>
        <v/>
      </c>
      <c r="C582" s="92">
        <f>EOMONTH($B582,0)</f>
        <v/>
      </c>
      <c r="D582" s="87">
        <f>$C582-$B582+1</f>
        <v/>
      </c>
      <c r="E582" s="87">
        <f>MONTH($B582)</f>
        <v/>
      </c>
      <c r="F582" s="93">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$N582*IF($O$562=1,$O582/$F$562,1)</f>
        <v/>
      </c>
      <c r="T582" s="95">
        <f>IF($G582&lt;nr_MStartP,$S582,$T570*(1+IF($G582&lt;nr_MStartP1,$M$562,$N$562)))</f>
        <v/>
      </c>
      <c r="U582" s="95">
        <f>IF($L$562,$T582,$N582)</f>
        <v/>
      </c>
    </row>
    <row r="583">
      <c r="A583" s="90" t="n">
        <v>19</v>
      </c>
      <c r="B583" s="91">
        <f>EDATE($B582,1)</f>
        <v/>
      </c>
      <c r="C583" s="92">
        <f>EOMONTH($B583,0)</f>
        <v/>
      </c>
      <c r="D583" s="87">
        <f>$C583-$B583+1</f>
        <v/>
      </c>
      <c r="E583" s="87">
        <f>MONTH($B583)</f>
        <v/>
      </c>
      <c r="F583" s="93">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$N583*IF($O$562=1,$O583/$F$562,1)</f>
        <v/>
      </c>
      <c r="T583" s="95">
        <f>IF($G583&lt;nr_MStartP,$S583,$T571*(1+IF($G583&lt;nr_MStartP1,$M$562,$N$562)))</f>
        <v/>
      </c>
      <c r="U583" s="95">
        <f>IF($L$562,$T583,$N583)</f>
        <v/>
      </c>
    </row>
    <row r="584">
      <c r="A584" s="90" t="n">
        <v>20</v>
      </c>
      <c r="B584" s="91">
        <f>EDATE($B583,1)</f>
        <v/>
      </c>
      <c r="C584" s="92">
        <f>EOMONTH($B584,0)</f>
        <v/>
      </c>
      <c r="D584" s="87">
        <f>$C584-$B584+1</f>
        <v/>
      </c>
      <c r="E584" s="87">
        <f>MONTH($B584)</f>
        <v/>
      </c>
      <c r="F584" s="93">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$N584*IF($O$562=1,$O584/$F$562,1)</f>
        <v/>
      </c>
      <c r="T584" s="95">
        <f>IF($G584&lt;nr_MStartP,$S584,$T572*(1+IF($G584&lt;nr_MStartP1,$M$562,$N$562)))</f>
        <v/>
      </c>
      <c r="U584" s="95">
        <f>IF($L$562,$T584,$N584)</f>
        <v/>
      </c>
    </row>
    <row r="585">
      <c r="A585" s="90" t="n">
        <v>21</v>
      </c>
      <c r="B585" s="91">
        <f>EDATE($B584,1)</f>
        <v/>
      </c>
      <c r="C585" s="92">
        <f>EOMONTH($B585,0)</f>
        <v/>
      </c>
      <c r="D585" s="87">
        <f>$C585-$B585+1</f>
        <v/>
      </c>
      <c r="E585" s="87">
        <f>MONTH($B585)</f>
        <v/>
      </c>
      <c r="F585" s="93">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$N585*IF($O$562=1,$O585/$F$562,1)</f>
        <v/>
      </c>
      <c r="T585" s="95">
        <f>IF($G585&lt;nr_MStartP,$S585,$T573*(1+IF($G585&lt;nr_MStartP1,$M$562,$N$562)))</f>
        <v/>
      </c>
      <c r="U585" s="95">
        <f>IF($L$562,$T585,$N585)</f>
        <v/>
      </c>
    </row>
    <row r="586">
      <c r="A586" s="90" t="n">
        <v>22</v>
      </c>
      <c r="B586" s="91">
        <f>EDATE($B585,1)</f>
        <v/>
      </c>
      <c r="C586" s="92">
        <f>EOMONTH($B586,0)</f>
        <v/>
      </c>
      <c r="D586" s="87">
        <f>$C586-$B586+1</f>
        <v/>
      </c>
      <c r="E586" s="87">
        <f>MONTH($B586)</f>
        <v/>
      </c>
      <c r="F586" s="93">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$N586*IF($O$562=1,$O586/$F$562,1)</f>
        <v/>
      </c>
      <c r="T586" s="95">
        <f>IF($G586&lt;nr_MStartP,$S586,$T574*(1+IF($G586&lt;nr_MStartP1,$M$562,$N$562)))</f>
        <v/>
      </c>
      <c r="U586" s="95">
        <f>IF($L$562,$T586,$N586)</f>
        <v/>
      </c>
    </row>
    <row r="587">
      <c r="A587" s="90" t="n">
        <v>23</v>
      </c>
      <c r="B587" s="91">
        <f>EDATE($B586,1)</f>
        <v/>
      </c>
      <c r="C587" s="92">
        <f>EOMONTH($B587,0)</f>
        <v/>
      </c>
      <c r="D587" s="87">
        <f>$C587-$B587+1</f>
        <v/>
      </c>
      <c r="E587" s="87">
        <f>MONTH($B587)</f>
        <v/>
      </c>
      <c r="F587" s="93">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$N587*IF($O$562=1,$O587/$F$562,1)</f>
        <v/>
      </c>
      <c r="T587" s="95">
        <f>IF($G587&lt;nr_MStartP,$S587,$T575*(1+IF($G587&lt;nr_MStartP1,$M$562,$N$562)))</f>
        <v/>
      </c>
      <c r="U587" s="95">
        <f>IF($L$562,$T587,$N587)</f>
        <v/>
      </c>
    </row>
    <row r="588">
      <c r="A588" s="90" t="n">
        <v>24</v>
      </c>
      <c r="B588" s="91">
        <f>EDATE($B587,1)</f>
        <v/>
      </c>
      <c r="C588" s="92">
        <f>EOMONTH($B588,0)</f>
        <v/>
      </c>
      <c r="D588" s="87">
        <f>$C588-$B588+1</f>
        <v/>
      </c>
      <c r="E588" s="87">
        <f>MONTH($B588)</f>
        <v/>
      </c>
      <c r="F588" s="93">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$N588*IF($O$562=1,$O588/$F$562,1)</f>
        <v/>
      </c>
      <c r="T588" s="95">
        <f>IF($G588&lt;nr_MStartP,$S588,$T576*(1+IF($G588&lt;nr_MStartP1,$M$562,$N$562)))</f>
        <v/>
      </c>
      <c r="U588" s="95">
        <f>IF($L$562,$T588,$N588)</f>
        <v/>
      </c>
    </row>
    <row r="589">
      <c r="A589" s="90" t="n">
        <v>25</v>
      </c>
      <c r="B589" s="91">
        <f>EDATE($B588,1)</f>
        <v/>
      </c>
      <c r="C589" s="92">
        <f>EOMONTH($B589,0)</f>
        <v/>
      </c>
      <c r="D589" s="87">
        <f>$C589-$B589+1</f>
        <v/>
      </c>
      <c r="E589" s="87">
        <f>MONTH($B589)</f>
        <v/>
      </c>
      <c r="F589" s="93">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$N589*IF($O$562=1,$O589/$F$562,1)</f>
        <v/>
      </c>
      <c r="T589" s="95">
        <f>IF($G589&lt;nr_MStartP,$S589,$T577*(1+IF($G589&lt;nr_MStartP1,$M$562,$N$562)))</f>
        <v/>
      </c>
      <c r="U589" s="95">
        <f>IF($L$562,$T589,$N589)</f>
        <v/>
      </c>
    </row>
    <row r="590">
      <c r="A590" s="90" t="n">
        <v>26</v>
      </c>
      <c r="B590" s="91">
        <f>EDATE($B589,1)</f>
        <v/>
      </c>
      <c r="C590" s="92">
        <f>EOMONTH($B590,0)</f>
        <v/>
      </c>
      <c r="D590" s="87">
        <f>$C590-$B590+1</f>
        <v/>
      </c>
      <c r="E590" s="87">
        <f>MONTH($B590)</f>
        <v/>
      </c>
      <c r="F590" s="93">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$N590*IF($O$562=1,$O590/$F$562,1)</f>
        <v/>
      </c>
      <c r="T590" s="95">
        <f>IF($G590&lt;nr_MStartP,$S590,$T578*(1+IF($G590&lt;nr_MStartP1,$M$562,$N$562)))</f>
        <v/>
      </c>
      <c r="U590" s="95">
        <f>IF($L$562,$T590,$N590)</f>
        <v/>
      </c>
    </row>
    <row r="591">
      <c r="A591" s="90" t="n">
        <v>27</v>
      </c>
      <c r="B591" s="91">
        <f>EDATE($B590,1)</f>
        <v/>
      </c>
      <c r="C591" s="92">
        <f>EOMONTH($B591,0)</f>
        <v/>
      </c>
      <c r="D591" s="87">
        <f>$C591-$B591+1</f>
        <v/>
      </c>
      <c r="E591" s="87">
        <f>MONTH($B591)</f>
        <v/>
      </c>
      <c r="F591" s="93">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$N591*IF($O$562=1,$O591/$F$562,1)</f>
        <v/>
      </c>
      <c r="T591" s="95">
        <f>IF($G591&lt;nr_MStartP,$S591,$T579*(1+IF($G591&lt;nr_MStartP1,$M$562,$N$562)))</f>
        <v/>
      </c>
      <c r="U591" s="95">
        <f>IF($L$562,$T591,$N591)</f>
        <v/>
      </c>
    </row>
    <row r="592">
      <c r="A592" s="90" t="n">
        <v>28</v>
      </c>
      <c r="B592" s="91">
        <f>EDATE($B591,1)</f>
        <v/>
      </c>
      <c r="C592" s="92">
        <f>EOMONTH($B592,0)</f>
        <v/>
      </c>
      <c r="D592" s="87">
        <f>$C592-$B592+1</f>
        <v/>
      </c>
      <c r="E592" s="87">
        <f>MONTH($B592)</f>
        <v/>
      </c>
      <c r="F592" s="93">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$N592*IF($O$562=1,$O592/$F$562,1)</f>
        <v/>
      </c>
      <c r="T592" s="95">
        <f>IF($G592&lt;nr_MStartP,$S592,$T580*(1+IF($G592&lt;nr_MStartP1,$M$562,$N$562)))</f>
        <v/>
      </c>
      <c r="U592" s="95">
        <f>IF($L$562,$T592,$N592)</f>
        <v/>
      </c>
    </row>
    <row r="593">
      <c r="A593" s="90" t="n">
        <v>29</v>
      </c>
      <c r="B593" s="91">
        <f>EDATE($B592,1)</f>
        <v/>
      </c>
      <c r="C593" s="92">
        <f>EOMONTH($B593,0)</f>
        <v/>
      </c>
      <c r="D593" s="87">
        <f>$C593-$B593+1</f>
        <v/>
      </c>
      <c r="E593" s="87">
        <f>MONTH($B593)</f>
        <v/>
      </c>
      <c r="F593" s="93">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$N593*IF($O$562=1,$O593/$F$562,1)</f>
        <v/>
      </c>
      <c r="T593" s="95">
        <f>IF($G593&lt;nr_MStartP,$S593,$T581*(1+IF($G593&lt;nr_MStartP1,$M$562,$N$562)))</f>
        <v/>
      </c>
      <c r="U593" s="95">
        <f>IF($L$562,$T593,$N593)</f>
        <v/>
      </c>
    </row>
    <row r="594">
      <c r="A594" s="90" t="n">
        <v>30</v>
      </c>
      <c r="B594" s="91">
        <f>EDATE($B593,1)</f>
        <v/>
      </c>
      <c r="C594" s="92">
        <f>EOMONTH($B594,0)</f>
        <v/>
      </c>
      <c r="D594" s="87">
        <f>$C594-$B594+1</f>
        <v/>
      </c>
      <c r="E594" s="87">
        <f>MONTH($B594)</f>
        <v/>
      </c>
      <c r="F594" s="93">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$N594*IF($O$562=1,$O594/$F$562,1)</f>
        <v/>
      </c>
      <c r="T594" s="95">
        <f>IF($G594&lt;nr_MStartP,$S594,$T582*(1+IF($G594&lt;nr_MStartP1,$M$562,$N$562)))</f>
        <v/>
      </c>
      <c r="U594" s="95">
        <f>IF($L$562,$T594,$N594)</f>
        <v/>
      </c>
    </row>
    <row r="595">
      <c r="A595" s="90" t="n">
        <v>31</v>
      </c>
      <c r="B595" s="91">
        <f>EDATE($B594,1)</f>
        <v/>
      </c>
      <c r="C595" s="92">
        <f>EOMONTH($B595,0)</f>
        <v/>
      </c>
      <c r="D595" s="87">
        <f>$C595-$B595+1</f>
        <v/>
      </c>
      <c r="E595" s="87">
        <f>MONTH($B595)</f>
        <v/>
      </c>
      <c r="F595" s="93">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$N595*IF($O$562=1,$O595/$F$562,1)</f>
        <v/>
      </c>
      <c r="T595" s="95">
        <f>IF($G595&lt;nr_MStartP,$S595,$T583*(1+IF($G595&lt;nr_MStartP1,$M$562,$N$562)))</f>
        <v/>
      </c>
      <c r="U595" s="95">
        <f>IF($L$562,$T595,$N595)</f>
        <v/>
      </c>
    </row>
    <row r="596">
      <c r="A596" s="90" t="n">
        <v>32</v>
      </c>
      <c r="B596" s="91">
        <f>EDATE($B595,1)</f>
        <v/>
      </c>
      <c r="C596" s="92">
        <f>EOMONTH($B596,0)</f>
        <v/>
      </c>
      <c r="D596" s="87">
        <f>$C596-$B596+1</f>
        <v/>
      </c>
      <c r="E596" s="87">
        <f>MONTH($B596)</f>
        <v/>
      </c>
      <c r="F596" s="93">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$N596*IF($O$562=1,$O596/$F$562,1)</f>
        <v/>
      </c>
      <c r="T596" s="95">
        <f>IF($G596&lt;nr_MStartP,$S596,$T584*(1+IF($G596&lt;nr_MStartP1,$M$562,$N$562)))</f>
        <v/>
      </c>
      <c r="U596" s="95">
        <f>IF($L$562,$T596,$N596)</f>
        <v/>
      </c>
    </row>
    <row r="597">
      <c r="A597" s="90" t="n">
        <v>33</v>
      </c>
      <c r="B597" s="91">
        <f>EDATE($B596,1)</f>
        <v/>
      </c>
      <c r="C597" s="92">
        <f>EOMONTH($B597,0)</f>
        <v/>
      </c>
      <c r="D597" s="87">
        <f>$C597-$B597+1</f>
        <v/>
      </c>
      <c r="E597" s="87">
        <f>MONTH($B597)</f>
        <v/>
      </c>
      <c r="F597" s="93">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$N597*IF($O$562=1,$O597/$F$562,1)</f>
        <v/>
      </c>
      <c r="T597" s="95">
        <f>IF($G597&lt;nr_MStartP,$S597,$T585*(1+IF($G597&lt;nr_MStartP1,$M$562,$N$562)))</f>
        <v/>
      </c>
      <c r="U597" s="95">
        <f>IF($L$562,$T597,$N597)</f>
        <v/>
      </c>
    </row>
    <row r="598">
      <c r="A598" s="90" t="n">
        <v>34</v>
      </c>
      <c r="B598" s="91">
        <f>EDATE($B597,1)</f>
        <v/>
      </c>
      <c r="C598" s="92">
        <f>EOMONTH($B598,0)</f>
        <v/>
      </c>
      <c r="D598" s="87">
        <f>$C598-$B598+1</f>
        <v/>
      </c>
      <c r="E598" s="87">
        <f>MONTH($B598)</f>
        <v/>
      </c>
      <c r="F598" s="93">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$N598*IF($O$562=1,$O598/$F$562,1)</f>
        <v/>
      </c>
      <c r="T598" s="95">
        <f>IF($G598&lt;nr_MStartP,$S598,$T586*(1+IF($G598&lt;nr_MStartP1,$M$562,$N$562)))</f>
        <v/>
      </c>
      <c r="U598" s="95">
        <f>IF($L$562,$T598,$N598)</f>
        <v/>
      </c>
    </row>
    <row r="599">
      <c r="A599" s="90" t="n">
        <v>35</v>
      </c>
      <c r="B599" s="91">
        <f>EDATE($B598,1)</f>
        <v/>
      </c>
      <c r="C599" s="92">
        <f>EOMONTH($B599,0)</f>
        <v/>
      </c>
      <c r="D599" s="87">
        <f>$C599-$B599+1</f>
        <v/>
      </c>
      <c r="E599" s="87">
        <f>MONTH($B599)</f>
        <v/>
      </c>
      <c r="F599" s="93">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$N599*IF($O$562=1,$O599/$F$562,1)</f>
        <v/>
      </c>
      <c r="T599" s="95">
        <f>IF($G599&lt;nr_MStartP,$S599,$T587*(1+IF($G599&lt;nr_MStartP1,$M$562,$N$562)))</f>
        <v/>
      </c>
      <c r="U599" s="95">
        <f>IF($L$562,$T599,$N599)</f>
        <v/>
      </c>
    </row>
    <row r="600">
      <c r="A600" s="90" t="n">
        <v>36</v>
      </c>
      <c r="B600" s="91">
        <f>EDATE($B599,1)</f>
        <v/>
      </c>
      <c r="C600" s="92">
        <f>EOMONTH($B600,0)</f>
        <v/>
      </c>
      <c r="D600" s="87">
        <f>$C600-$B600+1</f>
        <v/>
      </c>
      <c r="E600" s="87">
        <f>MONTH($B600)</f>
        <v/>
      </c>
      <c r="F600" s="93">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$N600*IF($O$562=1,$O600/$F$562,1)</f>
        <v/>
      </c>
      <c r="T600" s="95">
        <f>IF($G600&lt;nr_MStartP,$S600,$T588*(1+IF($G600&lt;nr_MStartP1,$M$562,$N$562)))</f>
        <v/>
      </c>
      <c r="U600" s="95">
        <f>IF($L$562,$T600,$N600)</f>
        <v/>
      </c>
    </row>
    <row r="601">
      <c r="A601" s="90" t="n">
        <v>37</v>
      </c>
      <c r="B601" s="91">
        <f>EDATE($B600,1)</f>
        <v/>
      </c>
      <c r="C601" s="92">
        <f>EOMONTH($B601,0)</f>
        <v/>
      </c>
      <c r="D601" s="87">
        <f>$C601-$B601+1</f>
        <v/>
      </c>
      <c r="E601" s="87">
        <f>MONTH($B601)</f>
        <v/>
      </c>
      <c r="F601" s="93">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$N601*IF($O$562=1,$O601/$F$562,1)</f>
        <v/>
      </c>
      <c r="T601" s="95">
        <f>IF($G601&lt;nr_MStartP,$S601,$T589*(1+IF($G601&lt;nr_MStartP1,$M$562,$N$562)))</f>
        <v/>
      </c>
      <c r="U601" s="95">
        <f>IF($L$562,$T601,$N601)</f>
        <v/>
      </c>
    </row>
    <row r="602">
      <c r="A602" s="90" t="n">
        <v>38</v>
      </c>
      <c r="B602" s="91">
        <f>EDATE($B601,1)</f>
        <v/>
      </c>
      <c r="C602" s="92">
        <f>EOMONTH($B602,0)</f>
        <v/>
      </c>
      <c r="D602" s="87">
        <f>$C602-$B602+1</f>
        <v/>
      </c>
      <c r="E602" s="87">
        <f>MONTH($B602)</f>
        <v/>
      </c>
      <c r="F602" s="93">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$N602*IF($O$562=1,$O602/$F$562,1)</f>
        <v/>
      </c>
      <c r="T602" s="95">
        <f>IF($G602&lt;nr_MStartP,$S602,$T590*(1+IF($G602&lt;nr_MStartP1,$M$562,$N$562)))</f>
        <v/>
      </c>
      <c r="U602" s="95">
        <f>IF($L$562,$T602,$N602)</f>
        <v/>
      </c>
    </row>
    <row r="603">
      <c r="A603" s="90" t="n">
        <v>39</v>
      </c>
      <c r="B603" s="91">
        <f>EDATE($B602,1)</f>
        <v/>
      </c>
      <c r="C603" s="92">
        <f>EOMONTH($B603,0)</f>
        <v/>
      </c>
      <c r="D603" s="87">
        <f>$C603-$B603+1</f>
        <v/>
      </c>
      <c r="E603" s="87">
        <f>MONTH($B603)</f>
        <v/>
      </c>
      <c r="F603" s="93">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$N603*IF($O$562=1,$O603/$F$562,1)</f>
        <v/>
      </c>
      <c r="T603" s="95">
        <f>IF($G603&lt;nr_MStartP,$S603,$T591*(1+IF($G603&lt;nr_MStartP1,$M$562,$N$562)))</f>
        <v/>
      </c>
      <c r="U603" s="95">
        <f>IF($L$562,$T603,$N603)</f>
        <v/>
      </c>
    </row>
    <row r="604">
      <c r="A604" s="90" t="n">
        <v>40</v>
      </c>
      <c r="B604" s="91">
        <f>EDATE($B603,1)</f>
        <v/>
      </c>
      <c r="C604" s="92">
        <f>EOMONTH($B604,0)</f>
        <v/>
      </c>
      <c r="D604" s="87">
        <f>$C604-$B604+1</f>
        <v/>
      </c>
      <c r="E604" s="87">
        <f>MONTH($B604)</f>
        <v/>
      </c>
      <c r="F604" s="93">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$N604*IF($O$562=1,$O604/$F$562,1)</f>
        <v/>
      </c>
      <c r="T604" s="95">
        <f>IF($G604&lt;nr_MStartP,$S604,$T592*(1+IF($G604&lt;nr_MStartP1,$M$562,$N$562)))</f>
        <v/>
      </c>
      <c r="U604" s="95">
        <f>IF($L$562,$T604,$N604)</f>
        <v/>
      </c>
    </row>
    <row r="605">
      <c r="A605" s="90" t="n">
        <v>41</v>
      </c>
      <c r="B605" s="91">
        <f>EDATE($B604,1)</f>
        <v/>
      </c>
      <c r="C605" s="92">
        <f>EOMONTH($B605,0)</f>
        <v/>
      </c>
      <c r="D605" s="87">
        <f>$C605-$B605+1</f>
        <v/>
      </c>
      <c r="E605" s="87">
        <f>MONTH($B605)</f>
        <v/>
      </c>
      <c r="F605" s="93">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$N605*IF($O$562=1,$O605/$F$562,1)</f>
        <v/>
      </c>
      <c r="T605" s="95">
        <f>IF($G605&lt;nr_MStartP,$S605,$T593*(1+IF($G605&lt;nr_MStartP1,$M$562,$N$562)))</f>
        <v/>
      </c>
      <c r="U605" s="95">
        <f>IF($L$562,$T605,$N605)</f>
        <v/>
      </c>
    </row>
    <row r="606">
      <c r="A606" s="90" t="n">
        <v>42</v>
      </c>
      <c r="B606" s="91">
        <f>EDATE($B605,1)</f>
        <v/>
      </c>
      <c r="C606" s="92">
        <f>EOMONTH($B606,0)</f>
        <v/>
      </c>
      <c r="D606" s="87">
        <f>$C606-$B606+1</f>
        <v/>
      </c>
      <c r="E606" s="87">
        <f>MONTH($B606)</f>
        <v/>
      </c>
      <c r="F606" s="93">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$N606*IF($O$562=1,$O606/$F$562,1)</f>
        <v/>
      </c>
      <c r="T606" s="95">
        <f>IF($G606&lt;nr_MStartP,$S606,$T594*(1+IF($G606&lt;nr_MStartP1,$M$562,$N$562)))</f>
        <v/>
      </c>
      <c r="U606" s="95">
        <f>IF($L$562,$T606,$N606)</f>
        <v/>
      </c>
    </row>
    <row r="607">
      <c r="A607" s="90" t="n">
        <v>43</v>
      </c>
      <c r="B607" s="91">
        <f>EDATE($B606,1)</f>
        <v/>
      </c>
      <c r="C607" s="92">
        <f>EOMONTH($B607,0)</f>
        <v/>
      </c>
      <c r="D607" s="87">
        <f>$C607-$B607+1</f>
        <v/>
      </c>
      <c r="E607" s="87">
        <f>MONTH($B607)</f>
        <v/>
      </c>
      <c r="F607" s="93">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$N607*IF($O$562=1,$O607/$F$562,1)</f>
        <v/>
      </c>
      <c r="T607" s="95">
        <f>IF($G607&lt;nr_MStartP,$S607,$T595*(1+IF($G607&lt;nr_MStartP1,$M$562,$N$562)))</f>
        <v/>
      </c>
      <c r="U607" s="95">
        <f>IF($L$562,$T607,$N607)</f>
        <v/>
      </c>
    </row>
    <row r="608">
      <c r="A608" s="90" t="n">
        <v>44</v>
      </c>
      <c r="B608" s="91">
        <f>EDATE($B607,1)</f>
        <v/>
      </c>
      <c r="C608" s="92">
        <f>EOMONTH($B608,0)</f>
        <v/>
      </c>
      <c r="D608" s="87">
        <f>$C608-$B608+1</f>
        <v/>
      </c>
      <c r="E608" s="87">
        <f>MONTH($B608)</f>
        <v/>
      </c>
      <c r="F608" s="93">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$N608*IF($O$562=1,$O608/$F$562,1)</f>
        <v/>
      </c>
      <c r="T608" s="95">
        <f>IF($G608&lt;nr_MStartP,$S608,$T596*(1+IF($G608&lt;nr_MStartP1,$M$562,$N$562)))</f>
        <v/>
      </c>
      <c r="U608" s="95">
        <f>IF($L$562,$T608,$N608)</f>
        <v/>
      </c>
    </row>
    <row r="609">
      <c r="A609" s="90" t="n">
        <v>45</v>
      </c>
      <c r="B609" s="91">
        <f>EDATE($B608,1)</f>
        <v/>
      </c>
      <c r="C609" s="92">
        <f>EOMONTH($B609,0)</f>
        <v/>
      </c>
      <c r="D609" s="87">
        <f>$C609-$B609+1</f>
        <v/>
      </c>
      <c r="E609" s="87">
        <f>MONTH($B609)</f>
        <v/>
      </c>
      <c r="F609" s="93">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$N609*IF($O$562=1,$O609/$F$562,1)</f>
        <v/>
      </c>
      <c r="T609" s="95">
        <f>IF($G609&lt;nr_MStartP,$S609,$T597*(1+IF($G609&lt;nr_MStartP1,$M$562,$N$562)))</f>
        <v/>
      </c>
      <c r="U609" s="95">
        <f>IF($L$562,$T609,$N609)</f>
        <v/>
      </c>
    </row>
    <row r="610">
      <c r="A610" s="90" t="n">
        <v>46</v>
      </c>
      <c r="B610" s="91">
        <f>EDATE($B609,1)</f>
        <v/>
      </c>
      <c r="C610" s="92">
        <f>EOMONTH($B610,0)</f>
        <v/>
      </c>
      <c r="D610" s="87">
        <f>$C610-$B610+1</f>
        <v/>
      </c>
      <c r="E610" s="87">
        <f>MONTH($B610)</f>
        <v/>
      </c>
      <c r="F610" s="93">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$N610*IF($O$562=1,$O610/$F$562,1)</f>
        <v/>
      </c>
      <c r="T610" s="95">
        <f>IF($G610&lt;nr_MStartP,$S610,$T598*(1+IF($G610&lt;nr_MStartP1,$M$562,$N$562)))</f>
        <v/>
      </c>
      <c r="U610" s="95">
        <f>IF($L$562,$T610,$N610)</f>
        <v/>
      </c>
    </row>
    <row r="611">
      <c r="A611" s="90" t="n">
        <v>47</v>
      </c>
      <c r="B611" s="91">
        <f>EDATE($B610,1)</f>
        <v/>
      </c>
      <c r="C611" s="92">
        <f>EOMONTH($B611,0)</f>
        <v/>
      </c>
      <c r="D611" s="87">
        <f>$C611-$B611+1</f>
        <v/>
      </c>
      <c r="E611" s="87">
        <f>MONTH($B611)</f>
        <v/>
      </c>
      <c r="F611" s="93">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$N611*IF($O$562=1,$O611/$F$562,1)</f>
        <v/>
      </c>
      <c r="T611" s="95">
        <f>IF($G611&lt;nr_MStartP,$S611,$T599*(1+IF($G611&lt;nr_MStartP1,$M$562,$N$562)))</f>
        <v/>
      </c>
      <c r="U611" s="95">
        <f>IF($L$562,$T611,$N611)</f>
        <v/>
      </c>
    </row>
    <row r="612">
      <c r="A612" s="90" t="n">
        <v>48</v>
      </c>
      <c r="B612" s="91">
        <f>EDATE($B611,1)</f>
        <v/>
      </c>
      <c r="C612" s="92">
        <f>EOMONTH($B612,0)</f>
        <v/>
      </c>
      <c r="D612" s="87">
        <f>$C612-$B612+1</f>
        <v/>
      </c>
      <c r="E612" s="87">
        <f>MONTH($B612)</f>
        <v/>
      </c>
      <c r="F612" s="93">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$N612*IF($O$562=1,$O612/$F$562,1)</f>
        <v/>
      </c>
      <c r="T612" s="95">
        <f>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04">
        <f>SUMPRODUCT($H$565:$H$612,$Q$565:$Q$612,$O$565:$O$612)/SUMPRODUCT($H$565:$H$612,$Q$565:$Q$612)</f>
        <v/>
      </c>
      <c r="G613" s="20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04">
        <f>IF(N(INDEX(lr_mind,11))=0,1,INDEX(lr_mind,11))</f>
        <v/>
      </c>
      <c r="G616" s="204">
        <f>IF(N(INDEX(lr_m0,11))=0,1,INDEX(lr_m0,11))</f>
        <v/>
      </c>
      <c r="H616" s="73">
        <f>IF(N(INDEX(lr_m0asof,11))=0,DATE(nr_PlanYear-1,10,1),INDEX(lr_m0asof,11))</f>
        <v/>
      </c>
      <c r="I616" s="204">
        <f>IF(N(INDEX(lr_m1,11))=0,1,INDEX(lr_m1,11))</f>
        <v/>
      </c>
      <c r="J616" s="204">
        <f>INDEX(lr_mprior,11)</f>
        <v/>
      </c>
      <c r="K616" s="20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93">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$N619*IF($O$616=1,$O619/$F$616,1)</f>
        <v/>
      </c>
      <c r="T619" s="95">
        <f>IF($G619&lt;nr_MStartP,$S619,$T607*(1+IF($G619&lt;nr_MStartP1,$M$616,$N$616)))</f>
        <v/>
      </c>
      <c r="U619" s="95">
        <f>IF($L$616,$T619,$N619)</f>
        <v/>
      </c>
    </row>
    <row r="620">
      <c r="A620" s="90" t="n">
        <v>2</v>
      </c>
      <c r="B620" s="91">
        <f>EDATE($B619,1)</f>
        <v/>
      </c>
      <c r="C620" s="92">
        <f>EOMONTH($B620,0)</f>
        <v/>
      </c>
      <c r="D620" s="87">
        <f>$C620-$B620+1</f>
        <v/>
      </c>
      <c r="E620" s="87">
        <f>MONTH($B620)</f>
        <v/>
      </c>
      <c r="F620" s="93">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$N620*IF($O$616=1,$O620/$F$616,1)</f>
        <v/>
      </c>
      <c r="T620" s="95">
        <f>IF($G620&lt;nr_MStartP,$S620,$T608*(1+IF($G620&lt;nr_MStartP1,$M$616,$N$616)))</f>
        <v/>
      </c>
      <c r="U620" s="95">
        <f>IF($L$616,$T620,$N620)</f>
        <v/>
      </c>
    </row>
    <row r="621">
      <c r="A621" s="90" t="n">
        <v>3</v>
      </c>
      <c r="B621" s="91">
        <f>EDATE($B620,1)</f>
        <v/>
      </c>
      <c r="C621" s="92">
        <f>EOMONTH($B621,0)</f>
        <v/>
      </c>
      <c r="D621" s="87">
        <f>$C621-$B621+1</f>
        <v/>
      </c>
      <c r="E621" s="87">
        <f>MONTH($B621)</f>
        <v/>
      </c>
      <c r="F621" s="93">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$N621*IF($O$616=1,$O621/$F$616,1)</f>
        <v/>
      </c>
      <c r="T621" s="95">
        <f>IF($G621&lt;nr_MStartP,$S621,$T609*(1+IF($G621&lt;nr_MStartP1,$M$616,$N$616)))</f>
        <v/>
      </c>
      <c r="U621" s="95">
        <f>IF($L$616,$T621,$N621)</f>
        <v/>
      </c>
    </row>
    <row r="622">
      <c r="A622" s="90" t="n">
        <v>4</v>
      </c>
      <c r="B622" s="91">
        <f>EDATE($B621,1)</f>
        <v/>
      </c>
      <c r="C622" s="92">
        <f>EOMONTH($B622,0)</f>
        <v/>
      </c>
      <c r="D622" s="87">
        <f>$C622-$B622+1</f>
        <v/>
      </c>
      <c r="E622" s="87">
        <f>MONTH($B622)</f>
        <v/>
      </c>
      <c r="F622" s="93">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$N622*IF($O$616=1,$O622/$F$616,1)</f>
        <v/>
      </c>
      <c r="T622" s="95">
        <f>IF($G622&lt;nr_MStartP,$S622,$T610*(1+IF($G622&lt;nr_MStartP1,$M$616,$N$616)))</f>
        <v/>
      </c>
      <c r="U622" s="95">
        <f>IF($L$616,$T622,$N622)</f>
        <v/>
      </c>
    </row>
    <row r="623">
      <c r="A623" s="90" t="n">
        <v>5</v>
      </c>
      <c r="B623" s="91">
        <f>EDATE($B622,1)</f>
        <v/>
      </c>
      <c r="C623" s="92">
        <f>EOMONTH($B623,0)</f>
        <v/>
      </c>
      <c r="D623" s="87">
        <f>$C623-$B623+1</f>
        <v/>
      </c>
      <c r="E623" s="87">
        <f>MONTH($B623)</f>
        <v/>
      </c>
      <c r="F623" s="93">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$N623*IF($O$616=1,$O623/$F$616,1)</f>
        <v/>
      </c>
      <c r="T623" s="95">
        <f>IF($G623&lt;nr_MStartP,$S623,$T611*(1+IF($G623&lt;nr_MStartP1,$M$616,$N$616)))</f>
        <v/>
      </c>
      <c r="U623" s="95">
        <f>IF($L$616,$T623,$N623)</f>
        <v/>
      </c>
    </row>
    <row r="624">
      <c r="A624" s="90" t="n">
        <v>6</v>
      </c>
      <c r="B624" s="91">
        <f>EDATE($B623,1)</f>
        <v/>
      </c>
      <c r="C624" s="92">
        <f>EOMONTH($B624,0)</f>
        <v/>
      </c>
      <c r="D624" s="87">
        <f>$C624-$B624+1</f>
        <v/>
      </c>
      <c r="E624" s="87">
        <f>MONTH($B624)</f>
        <v/>
      </c>
      <c r="F624" s="93">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$N624*IF($O$616=1,$O624/$F$616,1)</f>
        <v/>
      </c>
      <c r="T624" s="95">
        <f>IF($G624&lt;nr_MStartP,$S624,$T612*(1+IF($G624&lt;nr_MStartP1,$M$616,$N$616)))</f>
        <v/>
      </c>
      <c r="U624" s="95">
        <f>IF($L$616,$T624,$N624)</f>
        <v/>
      </c>
    </row>
    <row r="625">
      <c r="A625" s="90" t="n">
        <v>7</v>
      </c>
      <c r="B625" s="91">
        <f>EDATE($B624,1)</f>
        <v/>
      </c>
      <c r="C625" s="92">
        <f>EOMONTH($B625,0)</f>
        <v/>
      </c>
      <c r="D625" s="87">
        <f>$C625-$B625+1</f>
        <v/>
      </c>
      <c r="E625" s="87">
        <f>MONTH($B625)</f>
        <v/>
      </c>
      <c r="F625" s="93">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$N625*IF($O$616=1,$O625/$F$616,1)</f>
        <v/>
      </c>
      <c r="T625" s="95">
        <f>IF($G625&lt;nr_MStartP,$S625,$T613*(1+IF($G625&lt;nr_MStartP1,$M$616,$N$616)))</f>
        <v/>
      </c>
      <c r="U625" s="95">
        <f>IF($L$616,$T625,$N625)</f>
        <v/>
      </c>
    </row>
    <row r="626">
      <c r="A626" s="90" t="n">
        <v>8</v>
      </c>
      <c r="B626" s="91">
        <f>EDATE($B625,1)</f>
        <v/>
      </c>
      <c r="C626" s="92">
        <f>EOMONTH($B626,0)</f>
        <v/>
      </c>
      <c r="D626" s="87">
        <f>$C626-$B626+1</f>
        <v/>
      </c>
      <c r="E626" s="87">
        <f>MONTH($B626)</f>
        <v/>
      </c>
      <c r="F626" s="93">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$N626*IF($O$616=1,$O626/$F$616,1)</f>
        <v/>
      </c>
      <c r="T626" s="95">
        <f>IF($G626&lt;nr_MStartP,$S626,$T614*(1+IF($G626&lt;nr_MStartP1,$M$616,$N$616)))</f>
        <v/>
      </c>
      <c r="U626" s="95">
        <f>IF($L$616,$T626,$N626)</f>
        <v/>
      </c>
    </row>
    <row r="627">
      <c r="A627" s="90" t="n">
        <v>9</v>
      </c>
      <c r="B627" s="91">
        <f>EDATE($B626,1)</f>
        <v/>
      </c>
      <c r="C627" s="92">
        <f>EOMONTH($B627,0)</f>
        <v/>
      </c>
      <c r="D627" s="87">
        <f>$C627-$B627+1</f>
        <v/>
      </c>
      <c r="E627" s="87">
        <f>MONTH($B627)</f>
        <v/>
      </c>
      <c r="F627" s="93">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$N627*IF($O$616=1,$O627/$F$616,1)</f>
        <v/>
      </c>
      <c r="T627" s="95">
        <f>IF($G627&lt;nr_MStartP,$S627,$T615*(1+IF($G627&lt;nr_MStartP1,$M$616,$N$616)))</f>
        <v/>
      </c>
      <c r="U627" s="95">
        <f>IF($L$616,$T627,$N627)</f>
        <v/>
      </c>
    </row>
    <row r="628">
      <c r="A628" s="90" t="n">
        <v>10</v>
      </c>
      <c r="B628" s="91">
        <f>EDATE($B627,1)</f>
        <v/>
      </c>
      <c r="C628" s="92">
        <f>EOMONTH($B628,0)</f>
        <v/>
      </c>
      <c r="D628" s="87">
        <f>$C628-$B628+1</f>
        <v/>
      </c>
      <c r="E628" s="87">
        <f>MONTH($B628)</f>
        <v/>
      </c>
      <c r="F628" s="93">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$N628*IF($O$616=1,$O628/$F$616,1)</f>
        <v/>
      </c>
      <c r="T628" s="95">
        <f>IF($G628&lt;nr_MStartP,$S628,$T616*(1+IF($G628&lt;nr_MStartP1,$M$616,$N$616)))</f>
        <v/>
      </c>
      <c r="U628" s="95">
        <f>IF($L$616,$T628,$N628)</f>
        <v/>
      </c>
    </row>
    <row r="629">
      <c r="A629" s="90" t="n">
        <v>11</v>
      </c>
      <c r="B629" s="91">
        <f>EDATE($B628,1)</f>
        <v/>
      </c>
      <c r="C629" s="92">
        <f>EOMONTH($B629,0)</f>
        <v/>
      </c>
      <c r="D629" s="87">
        <f>$C629-$B629+1</f>
        <v/>
      </c>
      <c r="E629" s="87">
        <f>MONTH($B629)</f>
        <v/>
      </c>
      <c r="F629" s="93">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$N629*IF($O$616=1,$O629/$F$616,1)</f>
        <v/>
      </c>
      <c r="T629" s="95">
        <f>IF($G629&lt;nr_MStartP,$S629,$T617*(1+IF($G629&lt;nr_MStartP1,$M$616,$N$616)))</f>
        <v/>
      </c>
      <c r="U629" s="95">
        <f>IF($L$616,$T629,$N629)</f>
        <v/>
      </c>
    </row>
    <row r="630">
      <c r="A630" s="90" t="n">
        <v>12</v>
      </c>
      <c r="B630" s="91">
        <f>EDATE($B629,1)</f>
        <v/>
      </c>
      <c r="C630" s="92">
        <f>EOMONTH($B630,0)</f>
        <v/>
      </c>
      <c r="D630" s="87">
        <f>$C630-$B630+1</f>
        <v/>
      </c>
      <c r="E630" s="87">
        <f>MONTH($B630)</f>
        <v/>
      </c>
      <c r="F630" s="93">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$N630*IF($O$616=1,$O630/$F$616,1)</f>
        <v/>
      </c>
      <c r="T630" s="95">
        <f>IF($G630&lt;nr_MStartP,$S630,$T618*(1+IF($G630&lt;nr_MStartP1,$M$616,$N$616)))</f>
        <v/>
      </c>
      <c r="U630" s="95">
        <f>IF($L$616,$T630,$N630)</f>
        <v/>
      </c>
    </row>
    <row r="631">
      <c r="A631" s="90" t="n">
        <v>13</v>
      </c>
      <c r="B631" s="91">
        <f>EDATE($B630,1)</f>
        <v/>
      </c>
      <c r="C631" s="92">
        <f>EOMONTH($B631,0)</f>
        <v/>
      </c>
      <c r="D631" s="87">
        <f>$C631-$B631+1</f>
        <v/>
      </c>
      <c r="E631" s="87">
        <f>MONTH($B631)</f>
        <v/>
      </c>
      <c r="F631" s="93">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$N631*IF($O$616=1,$O631/$F$616,1)</f>
        <v/>
      </c>
      <c r="T631" s="95">
        <f>IF($G631&lt;nr_MStartP,$S631,$T619*(1+IF($G631&lt;nr_MStartP1,$M$616,$N$616)))</f>
        <v/>
      </c>
      <c r="U631" s="95">
        <f>IF($L$616,$T631,$N631)</f>
        <v/>
      </c>
    </row>
    <row r="632">
      <c r="A632" s="90" t="n">
        <v>14</v>
      </c>
      <c r="B632" s="91">
        <f>EDATE($B631,1)</f>
        <v/>
      </c>
      <c r="C632" s="92">
        <f>EOMONTH($B632,0)</f>
        <v/>
      </c>
      <c r="D632" s="87">
        <f>$C632-$B632+1</f>
        <v/>
      </c>
      <c r="E632" s="87">
        <f>MONTH($B632)</f>
        <v/>
      </c>
      <c r="F632" s="93">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$N632*IF($O$616=1,$O632/$F$616,1)</f>
        <v/>
      </c>
      <c r="T632" s="95">
        <f>IF($G632&lt;nr_MStartP,$S632,$T620*(1+IF($G632&lt;nr_MStartP1,$M$616,$N$616)))</f>
        <v/>
      </c>
      <c r="U632" s="95">
        <f>IF($L$616,$T632,$N632)</f>
        <v/>
      </c>
    </row>
    <row r="633">
      <c r="A633" s="90" t="n">
        <v>15</v>
      </c>
      <c r="B633" s="91">
        <f>EDATE($B632,1)</f>
        <v/>
      </c>
      <c r="C633" s="92">
        <f>EOMONTH($B633,0)</f>
        <v/>
      </c>
      <c r="D633" s="87">
        <f>$C633-$B633+1</f>
        <v/>
      </c>
      <c r="E633" s="87">
        <f>MONTH($B633)</f>
        <v/>
      </c>
      <c r="F633" s="93">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$N633*IF($O$616=1,$O633/$F$616,1)</f>
        <v/>
      </c>
      <c r="T633" s="95">
        <f>IF($G633&lt;nr_MStartP,$S633,$T621*(1+IF($G633&lt;nr_MStartP1,$M$616,$N$616)))</f>
        <v/>
      </c>
      <c r="U633" s="95">
        <f>IF($L$616,$T633,$N633)</f>
        <v/>
      </c>
    </row>
    <row r="634">
      <c r="A634" s="90" t="n">
        <v>16</v>
      </c>
      <c r="B634" s="91">
        <f>EDATE($B633,1)</f>
        <v/>
      </c>
      <c r="C634" s="92">
        <f>EOMONTH($B634,0)</f>
        <v/>
      </c>
      <c r="D634" s="87">
        <f>$C634-$B634+1</f>
        <v/>
      </c>
      <c r="E634" s="87">
        <f>MONTH($B634)</f>
        <v/>
      </c>
      <c r="F634" s="93">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$N634*IF($O$616=1,$O634/$F$616,1)</f>
        <v/>
      </c>
      <c r="T634" s="95">
        <f>IF($G634&lt;nr_MStartP,$S634,$T622*(1+IF($G634&lt;nr_MStartP1,$M$616,$N$616)))</f>
        <v/>
      </c>
      <c r="U634" s="95">
        <f>IF($L$616,$T634,$N634)</f>
        <v/>
      </c>
    </row>
    <row r="635">
      <c r="A635" s="90" t="n">
        <v>17</v>
      </c>
      <c r="B635" s="91">
        <f>EDATE($B634,1)</f>
        <v/>
      </c>
      <c r="C635" s="92">
        <f>EOMONTH($B635,0)</f>
        <v/>
      </c>
      <c r="D635" s="87">
        <f>$C635-$B635+1</f>
        <v/>
      </c>
      <c r="E635" s="87">
        <f>MONTH($B635)</f>
        <v/>
      </c>
      <c r="F635" s="93">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$N635*IF($O$616=1,$O635/$F$616,1)</f>
        <v/>
      </c>
      <c r="T635" s="95">
        <f>IF($G635&lt;nr_MStartP,$S635,$T623*(1+IF($G635&lt;nr_MStartP1,$M$616,$N$616)))</f>
        <v/>
      </c>
      <c r="U635" s="95">
        <f>IF($L$616,$T635,$N635)</f>
        <v/>
      </c>
    </row>
    <row r="636">
      <c r="A636" s="90" t="n">
        <v>18</v>
      </c>
      <c r="B636" s="91">
        <f>EDATE($B635,1)</f>
        <v/>
      </c>
      <c r="C636" s="92">
        <f>EOMONTH($B636,0)</f>
        <v/>
      </c>
      <c r="D636" s="87">
        <f>$C636-$B636+1</f>
        <v/>
      </c>
      <c r="E636" s="87">
        <f>MONTH($B636)</f>
        <v/>
      </c>
      <c r="F636" s="93">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$N636*IF($O$616=1,$O636/$F$616,1)</f>
        <v/>
      </c>
      <c r="T636" s="95">
        <f>IF($G636&lt;nr_MStartP,$S636,$T624*(1+IF($G636&lt;nr_MStartP1,$M$616,$N$616)))</f>
        <v/>
      </c>
      <c r="U636" s="95">
        <f>IF($L$616,$T636,$N636)</f>
        <v/>
      </c>
    </row>
    <row r="637">
      <c r="A637" s="90" t="n">
        <v>19</v>
      </c>
      <c r="B637" s="91">
        <f>EDATE($B636,1)</f>
        <v/>
      </c>
      <c r="C637" s="92">
        <f>EOMONTH($B637,0)</f>
        <v/>
      </c>
      <c r="D637" s="87">
        <f>$C637-$B637+1</f>
        <v/>
      </c>
      <c r="E637" s="87">
        <f>MONTH($B637)</f>
        <v/>
      </c>
      <c r="F637" s="93">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$N637*IF($O$616=1,$O637/$F$616,1)</f>
        <v/>
      </c>
      <c r="T637" s="95">
        <f>IF($G637&lt;nr_MStartP,$S637,$T625*(1+IF($G637&lt;nr_MStartP1,$M$616,$N$616)))</f>
        <v/>
      </c>
      <c r="U637" s="95">
        <f>IF($L$616,$T637,$N637)</f>
        <v/>
      </c>
    </row>
    <row r="638">
      <c r="A638" s="90" t="n">
        <v>20</v>
      </c>
      <c r="B638" s="91">
        <f>EDATE($B637,1)</f>
        <v/>
      </c>
      <c r="C638" s="92">
        <f>EOMONTH($B638,0)</f>
        <v/>
      </c>
      <c r="D638" s="87">
        <f>$C638-$B638+1</f>
        <v/>
      </c>
      <c r="E638" s="87">
        <f>MONTH($B638)</f>
        <v/>
      </c>
      <c r="F638" s="93">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$N638*IF($O$616=1,$O638/$F$616,1)</f>
        <v/>
      </c>
      <c r="T638" s="95">
        <f>IF($G638&lt;nr_MStartP,$S638,$T626*(1+IF($G638&lt;nr_MStartP1,$M$616,$N$616)))</f>
        <v/>
      </c>
      <c r="U638" s="95">
        <f>IF($L$616,$T638,$N638)</f>
        <v/>
      </c>
    </row>
    <row r="639">
      <c r="A639" s="90" t="n">
        <v>21</v>
      </c>
      <c r="B639" s="91">
        <f>EDATE($B638,1)</f>
        <v/>
      </c>
      <c r="C639" s="92">
        <f>EOMONTH($B639,0)</f>
        <v/>
      </c>
      <c r="D639" s="87">
        <f>$C639-$B639+1</f>
        <v/>
      </c>
      <c r="E639" s="87">
        <f>MONTH($B639)</f>
        <v/>
      </c>
      <c r="F639" s="93">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$N639*IF($O$616=1,$O639/$F$616,1)</f>
        <v/>
      </c>
      <c r="T639" s="95">
        <f>IF($G639&lt;nr_MStartP,$S639,$T627*(1+IF($G639&lt;nr_MStartP1,$M$616,$N$616)))</f>
        <v/>
      </c>
      <c r="U639" s="95">
        <f>IF($L$616,$T639,$N639)</f>
        <v/>
      </c>
    </row>
    <row r="640">
      <c r="A640" s="90" t="n">
        <v>22</v>
      </c>
      <c r="B640" s="91">
        <f>EDATE($B639,1)</f>
        <v/>
      </c>
      <c r="C640" s="92">
        <f>EOMONTH($B640,0)</f>
        <v/>
      </c>
      <c r="D640" s="87">
        <f>$C640-$B640+1</f>
        <v/>
      </c>
      <c r="E640" s="87">
        <f>MONTH($B640)</f>
        <v/>
      </c>
      <c r="F640" s="93">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$N640*IF($O$616=1,$O640/$F$616,1)</f>
        <v/>
      </c>
      <c r="T640" s="95">
        <f>IF($G640&lt;nr_MStartP,$S640,$T628*(1+IF($G640&lt;nr_MStartP1,$M$616,$N$616)))</f>
        <v/>
      </c>
      <c r="U640" s="95">
        <f>IF($L$616,$T640,$N640)</f>
        <v/>
      </c>
    </row>
    <row r="641">
      <c r="A641" s="90" t="n">
        <v>23</v>
      </c>
      <c r="B641" s="91">
        <f>EDATE($B640,1)</f>
        <v/>
      </c>
      <c r="C641" s="92">
        <f>EOMONTH($B641,0)</f>
        <v/>
      </c>
      <c r="D641" s="87">
        <f>$C641-$B641+1</f>
        <v/>
      </c>
      <c r="E641" s="87">
        <f>MONTH($B641)</f>
        <v/>
      </c>
      <c r="F641" s="93">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$N641*IF($O$616=1,$O641/$F$616,1)</f>
        <v/>
      </c>
      <c r="T641" s="95">
        <f>IF($G641&lt;nr_MStartP,$S641,$T629*(1+IF($G641&lt;nr_MStartP1,$M$616,$N$616)))</f>
        <v/>
      </c>
      <c r="U641" s="95">
        <f>IF($L$616,$T641,$N641)</f>
        <v/>
      </c>
    </row>
    <row r="642">
      <c r="A642" s="90" t="n">
        <v>24</v>
      </c>
      <c r="B642" s="91">
        <f>EDATE($B641,1)</f>
        <v/>
      </c>
      <c r="C642" s="92">
        <f>EOMONTH($B642,0)</f>
        <v/>
      </c>
      <c r="D642" s="87">
        <f>$C642-$B642+1</f>
        <v/>
      </c>
      <c r="E642" s="87">
        <f>MONTH($B642)</f>
        <v/>
      </c>
      <c r="F642" s="93">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$N642*IF($O$616=1,$O642/$F$616,1)</f>
        <v/>
      </c>
      <c r="T642" s="95">
        <f>IF($G642&lt;nr_MStartP,$S642,$T630*(1+IF($G642&lt;nr_MStartP1,$M$616,$N$616)))</f>
        <v/>
      </c>
      <c r="U642" s="95">
        <f>IF($L$616,$T642,$N642)</f>
        <v/>
      </c>
    </row>
    <row r="643">
      <c r="A643" s="90" t="n">
        <v>25</v>
      </c>
      <c r="B643" s="91">
        <f>EDATE($B642,1)</f>
        <v/>
      </c>
      <c r="C643" s="92">
        <f>EOMONTH($B643,0)</f>
        <v/>
      </c>
      <c r="D643" s="87">
        <f>$C643-$B643+1</f>
        <v/>
      </c>
      <c r="E643" s="87">
        <f>MONTH($B643)</f>
        <v/>
      </c>
      <c r="F643" s="93">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$N643*IF($O$616=1,$O643/$F$616,1)</f>
        <v/>
      </c>
      <c r="T643" s="95">
        <f>IF($G643&lt;nr_MStartP,$S643,$T631*(1+IF($G643&lt;nr_MStartP1,$M$616,$N$616)))</f>
        <v/>
      </c>
      <c r="U643" s="95">
        <f>IF($L$616,$T643,$N643)</f>
        <v/>
      </c>
    </row>
    <row r="644">
      <c r="A644" s="90" t="n">
        <v>26</v>
      </c>
      <c r="B644" s="91">
        <f>EDATE($B643,1)</f>
        <v/>
      </c>
      <c r="C644" s="92">
        <f>EOMONTH($B644,0)</f>
        <v/>
      </c>
      <c r="D644" s="87">
        <f>$C644-$B644+1</f>
        <v/>
      </c>
      <c r="E644" s="87">
        <f>MONTH($B644)</f>
        <v/>
      </c>
      <c r="F644" s="93">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$N644*IF($O$616=1,$O644/$F$616,1)</f>
        <v/>
      </c>
      <c r="T644" s="95">
        <f>IF($G644&lt;nr_MStartP,$S644,$T632*(1+IF($G644&lt;nr_MStartP1,$M$616,$N$616)))</f>
        <v/>
      </c>
      <c r="U644" s="95">
        <f>IF($L$616,$T644,$N644)</f>
        <v/>
      </c>
    </row>
    <row r="645">
      <c r="A645" s="90" t="n">
        <v>27</v>
      </c>
      <c r="B645" s="91">
        <f>EDATE($B644,1)</f>
        <v/>
      </c>
      <c r="C645" s="92">
        <f>EOMONTH($B645,0)</f>
        <v/>
      </c>
      <c r="D645" s="87">
        <f>$C645-$B645+1</f>
        <v/>
      </c>
      <c r="E645" s="87">
        <f>MONTH($B645)</f>
        <v/>
      </c>
      <c r="F645" s="93">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$N645*IF($O$616=1,$O645/$F$616,1)</f>
        <v/>
      </c>
      <c r="T645" s="95">
        <f>IF($G645&lt;nr_MStartP,$S645,$T633*(1+IF($G645&lt;nr_MStartP1,$M$616,$N$616)))</f>
        <v/>
      </c>
      <c r="U645" s="95">
        <f>IF($L$616,$T645,$N645)</f>
        <v/>
      </c>
    </row>
    <row r="646">
      <c r="A646" s="90" t="n">
        <v>28</v>
      </c>
      <c r="B646" s="91">
        <f>EDATE($B645,1)</f>
        <v/>
      </c>
      <c r="C646" s="92">
        <f>EOMONTH($B646,0)</f>
        <v/>
      </c>
      <c r="D646" s="87">
        <f>$C646-$B646+1</f>
        <v/>
      </c>
      <c r="E646" s="87">
        <f>MONTH($B646)</f>
        <v/>
      </c>
      <c r="F646" s="93">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$N646*IF($O$616=1,$O646/$F$616,1)</f>
        <v/>
      </c>
      <c r="T646" s="95">
        <f>IF($G646&lt;nr_MStartP,$S646,$T634*(1+IF($G646&lt;nr_MStartP1,$M$616,$N$616)))</f>
        <v/>
      </c>
      <c r="U646" s="95">
        <f>IF($L$616,$T646,$N646)</f>
        <v/>
      </c>
    </row>
    <row r="647">
      <c r="A647" s="90" t="n">
        <v>29</v>
      </c>
      <c r="B647" s="91">
        <f>EDATE($B646,1)</f>
        <v/>
      </c>
      <c r="C647" s="92">
        <f>EOMONTH($B647,0)</f>
        <v/>
      </c>
      <c r="D647" s="87">
        <f>$C647-$B647+1</f>
        <v/>
      </c>
      <c r="E647" s="87">
        <f>MONTH($B647)</f>
        <v/>
      </c>
      <c r="F647" s="93">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$N647*IF($O$616=1,$O647/$F$616,1)</f>
        <v/>
      </c>
      <c r="T647" s="95">
        <f>IF($G647&lt;nr_MStartP,$S647,$T635*(1+IF($G647&lt;nr_MStartP1,$M$616,$N$616)))</f>
        <v/>
      </c>
      <c r="U647" s="95">
        <f>IF($L$616,$T647,$N647)</f>
        <v/>
      </c>
    </row>
    <row r="648">
      <c r="A648" s="90" t="n">
        <v>30</v>
      </c>
      <c r="B648" s="91">
        <f>EDATE($B647,1)</f>
        <v/>
      </c>
      <c r="C648" s="92">
        <f>EOMONTH($B648,0)</f>
        <v/>
      </c>
      <c r="D648" s="87">
        <f>$C648-$B648+1</f>
        <v/>
      </c>
      <c r="E648" s="87">
        <f>MONTH($B648)</f>
        <v/>
      </c>
      <c r="F648" s="93">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$N648*IF($O$616=1,$O648/$F$616,1)</f>
        <v/>
      </c>
      <c r="T648" s="95">
        <f>IF($G648&lt;nr_MStartP,$S648,$T636*(1+IF($G648&lt;nr_MStartP1,$M$616,$N$616)))</f>
        <v/>
      </c>
      <c r="U648" s="95">
        <f>IF($L$616,$T648,$N648)</f>
        <v/>
      </c>
    </row>
    <row r="649">
      <c r="A649" s="90" t="n">
        <v>31</v>
      </c>
      <c r="B649" s="91">
        <f>EDATE($B648,1)</f>
        <v/>
      </c>
      <c r="C649" s="92">
        <f>EOMONTH($B649,0)</f>
        <v/>
      </c>
      <c r="D649" s="87">
        <f>$C649-$B649+1</f>
        <v/>
      </c>
      <c r="E649" s="87">
        <f>MONTH($B649)</f>
        <v/>
      </c>
      <c r="F649" s="93">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$N649*IF($O$616=1,$O649/$F$616,1)</f>
        <v/>
      </c>
      <c r="T649" s="95">
        <f>IF($G649&lt;nr_MStartP,$S649,$T637*(1+IF($G649&lt;nr_MStartP1,$M$616,$N$616)))</f>
        <v/>
      </c>
      <c r="U649" s="95">
        <f>IF($L$616,$T649,$N649)</f>
        <v/>
      </c>
    </row>
    <row r="650">
      <c r="A650" s="90" t="n">
        <v>32</v>
      </c>
      <c r="B650" s="91">
        <f>EDATE($B649,1)</f>
        <v/>
      </c>
      <c r="C650" s="92">
        <f>EOMONTH($B650,0)</f>
        <v/>
      </c>
      <c r="D650" s="87">
        <f>$C650-$B650+1</f>
        <v/>
      </c>
      <c r="E650" s="87">
        <f>MONTH($B650)</f>
        <v/>
      </c>
      <c r="F650" s="93">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$N650*IF($O$616=1,$O650/$F$616,1)</f>
        <v/>
      </c>
      <c r="T650" s="95">
        <f>IF($G650&lt;nr_MStartP,$S650,$T638*(1+IF($G650&lt;nr_MStartP1,$M$616,$N$616)))</f>
        <v/>
      </c>
      <c r="U650" s="95">
        <f>IF($L$616,$T650,$N650)</f>
        <v/>
      </c>
    </row>
    <row r="651">
      <c r="A651" s="90" t="n">
        <v>33</v>
      </c>
      <c r="B651" s="91">
        <f>EDATE($B650,1)</f>
        <v/>
      </c>
      <c r="C651" s="92">
        <f>EOMONTH($B651,0)</f>
        <v/>
      </c>
      <c r="D651" s="87">
        <f>$C651-$B651+1</f>
        <v/>
      </c>
      <c r="E651" s="87">
        <f>MONTH($B651)</f>
        <v/>
      </c>
      <c r="F651" s="93">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$N651*IF($O$616=1,$O651/$F$616,1)</f>
        <v/>
      </c>
      <c r="T651" s="95">
        <f>IF($G651&lt;nr_MStartP,$S651,$T639*(1+IF($G651&lt;nr_MStartP1,$M$616,$N$616)))</f>
        <v/>
      </c>
      <c r="U651" s="95">
        <f>IF($L$616,$T651,$N651)</f>
        <v/>
      </c>
    </row>
    <row r="652">
      <c r="A652" s="90" t="n">
        <v>34</v>
      </c>
      <c r="B652" s="91">
        <f>EDATE($B651,1)</f>
        <v/>
      </c>
      <c r="C652" s="92">
        <f>EOMONTH($B652,0)</f>
        <v/>
      </c>
      <c r="D652" s="87">
        <f>$C652-$B652+1</f>
        <v/>
      </c>
      <c r="E652" s="87">
        <f>MONTH($B652)</f>
        <v/>
      </c>
      <c r="F652" s="93">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$N652*IF($O$616=1,$O652/$F$616,1)</f>
        <v/>
      </c>
      <c r="T652" s="95">
        <f>IF($G652&lt;nr_MStartP,$S652,$T640*(1+IF($G652&lt;nr_MStartP1,$M$616,$N$616)))</f>
        <v/>
      </c>
      <c r="U652" s="95">
        <f>IF($L$616,$T652,$N652)</f>
        <v/>
      </c>
    </row>
    <row r="653">
      <c r="A653" s="90" t="n">
        <v>35</v>
      </c>
      <c r="B653" s="91">
        <f>EDATE($B652,1)</f>
        <v/>
      </c>
      <c r="C653" s="92">
        <f>EOMONTH($B653,0)</f>
        <v/>
      </c>
      <c r="D653" s="87">
        <f>$C653-$B653+1</f>
        <v/>
      </c>
      <c r="E653" s="87">
        <f>MONTH($B653)</f>
        <v/>
      </c>
      <c r="F653" s="93">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$N653*IF($O$616=1,$O653/$F$616,1)</f>
        <v/>
      </c>
      <c r="T653" s="95">
        <f>IF($G653&lt;nr_MStartP,$S653,$T641*(1+IF($G653&lt;nr_MStartP1,$M$616,$N$616)))</f>
        <v/>
      </c>
      <c r="U653" s="95">
        <f>IF($L$616,$T653,$N653)</f>
        <v/>
      </c>
    </row>
    <row r="654">
      <c r="A654" s="90" t="n">
        <v>36</v>
      </c>
      <c r="B654" s="91">
        <f>EDATE($B653,1)</f>
        <v/>
      </c>
      <c r="C654" s="92">
        <f>EOMONTH($B654,0)</f>
        <v/>
      </c>
      <c r="D654" s="87">
        <f>$C654-$B654+1</f>
        <v/>
      </c>
      <c r="E654" s="87">
        <f>MONTH($B654)</f>
        <v/>
      </c>
      <c r="F654" s="93">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$N654*IF($O$616=1,$O654/$F$616,1)</f>
        <v/>
      </c>
      <c r="T654" s="95">
        <f>IF($G654&lt;nr_MStartP,$S654,$T642*(1+IF($G654&lt;nr_MStartP1,$M$616,$N$616)))</f>
        <v/>
      </c>
      <c r="U654" s="95">
        <f>IF($L$616,$T654,$N654)</f>
        <v/>
      </c>
    </row>
    <row r="655">
      <c r="A655" s="90" t="n">
        <v>37</v>
      </c>
      <c r="B655" s="91">
        <f>EDATE($B654,1)</f>
        <v/>
      </c>
      <c r="C655" s="92">
        <f>EOMONTH($B655,0)</f>
        <v/>
      </c>
      <c r="D655" s="87">
        <f>$C655-$B655+1</f>
        <v/>
      </c>
      <c r="E655" s="87">
        <f>MONTH($B655)</f>
        <v/>
      </c>
      <c r="F655" s="93">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$N655*IF($O$616=1,$O655/$F$616,1)</f>
        <v/>
      </c>
      <c r="T655" s="95">
        <f>IF($G655&lt;nr_MStartP,$S655,$T643*(1+IF($G655&lt;nr_MStartP1,$M$616,$N$616)))</f>
        <v/>
      </c>
      <c r="U655" s="95">
        <f>IF($L$616,$T655,$N655)</f>
        <v/>
      </c>
    </row>
    <row r="656">
      <c r="A656" s="90" t="n">
        <v>38</v>
      </c>
      <c r="B656" s="91">
        <f>EDATE($B655,1)</f>
        <v/>
      </c>
      <c r="C656" s="92">
        <f>EOMONTH($B656,0)</f>
        <v/>
      </c>
      <c r="D656" s="87">
        <f>$C656-$B656+1</f>
        <v/>
      </c>
      <c r="E656" s="87">
        <f>MONTH($B656)</f>
        <v/>
      </c>
      <c r="F656" s="93">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$N656*IF($O$616=1,$O656/$F$616,1)</f>
        <v/>
      </c>
      <c r="T656" s="95">
        <f>IF($G656&lt;nr_MStartP,$S656,$T644*(1+IF($G656&lt;nr_MStartP1,$M$616,$N$616)))</f>
        <v/>
      </c>
      <c r="U656" s="95">
        <f>IF($L$616,$T656,$N656)</f>
        <v/>
      </c>
    </row>
    <row r="657">
      <c r="A657" s="90" t="n">
        <v>39</v>
      </c>
      <c r="B657" s="91">
        <f>EDATE($B656,1)</f>
        <v/>
      </c>
      <c r="C657" s="92">
        <f>EOMONTH($B657,0)</f>
        <v/>
      </c>
      <c r="D657" s="87">
        <f>$C657-$B657+1</f>
        <v/>
      </c>
      <c r="E657" s="87">
        <f>MONTH($B657)</f>
        <v/>
      </c>
      <c r="F657" s="93">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$N657*IF($O$616=1,$O657/$F$616,1)</f>
        <v/>
      </c>
      <c r="T657" s="95">
        <f>IF($G657&lt;nr_MStartP,$S657,$T645*(1+IF($G657&lt;nr_MStartP1,$M$616,$N$616)))</f>
        <v/>
      </c>
      <c r="U657" s="95">
        <f>IF($L$616,$T657,$N657)</f>
        <v/>
      </c>
    </row>
    <row r="658">
      <c r="A658" s="90" t="n">
        <v>40</v>
      </c>
      <c r="B658" s="91">
        <f>EDATE($B657,1)</f>
        <v/>
      </c>
      <c r="C658" s="92">
        <f>EOMONTH($B658,0)</f>
        <v/>
      </c>
      <c r="D658" s="87">
        <f>$C658-$B658+1</f>
        <v/>
      </c>
      <c r="E658" s="87">
        <f>MONTH($B658)</f>
        <v/>
      </c>
      <c r="F658" s="93">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$N658*IF($O$616=1,$O658/$F$616,1)</f>
        <v/>
      </c>
      <c r="T658" s="95">
        <f>IF($G658&lt;nr_MStartP,$S658,$T646*(1+IF($G658&lt;nr_MStartP1,$M$616,$N$616)))</f>
        <v/>
      </c>
      <c r="U658" s="95">
        <f>IF($L$616,$T658,$N658)</f>
        <v/>
      </c>
    </row>
    <row r="659">
      <c r="A659" s="90" t="n">
        <v>41</v>
      </c>
      <c r="B659" s="91">
        <f>EDATE($B658,1)</f>
        <v/>
      </c>
      <c r="C659" s="92">
        <f>EOMONTH($B659,0)</f>
        <v/>
      </c>
      <c r="D659" s="87">
        <f>$C659-$B659+1</f>
        <v/>
      </c>
      <c r="E659" s="87">
        <f>MONTH($B659)</f>
        <v/>
      </c>
      <c r="F659" s="93">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$N659*IF($O$616=1,$O659/$F$616,1)</f>
        <v/>
      </c>
      <c r="T659" s="95">
        <f>IF($G659&lt;nr_MStartP,$S659,$T647*(1+IF($G659&lt;nr_MStartP1,$M$616,$N$616)))</f>
        <v/>
      </c>
      <c r="U659" s="95">
        <f>IF($L$616,$T659,$N659)</f>
        <v/>
      </c>
    </row>
    <row r="660">
      <c r="A660" s="90" t="n">
        <v>42</v>
      </c>
      <c r="B660" s="91">
        <f>EDATE($B659,1)</f>
        <v/>
      </c>
      <c r="C660" s="92">
        <f>EOMONTH($B660,0)</f>
        <v/>
      </c>
      <c r="D660" s="87">
        <f>$C660-$B660+1</f>
        <v/>
      </c>
      <c r="E660" s="87">
        <f>MONTH($B660)</f>
        <v/>
      </c>
      <c r="F660" s="93">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$N660*IF($O$616=1,$O660/$F$616,1)</f>
        <v/>
      </c>
      <c r="T660" s="95">
        <f>IF($G660&lt;nr_MStartP,$S660,$T648*(1+IF($G660&lt;nr_MStartP1,$M$616,$N$616)))</f>
        <v/>
      </c>
      <c r="U660" s="95">
        <f>IF($L$616,$T660,$N660)</f>
        <v/>
      </c>
    </row>
    <row r="661">
      <c r="A661" s="90" t="n">
        <v>43</v>
      </c>
      <c r="B661" s="91">
        <f>EDATE($B660,1)</f>
        <v/>
      </c>
      <c r="C661" s="92">
        <f>EOMONTH($B661,0)</f>
        <v/>
      </c>
      <c r="D661" s="87">
        <f>$C661-$B661+1</f>
        <v/>
      </c>
      <c r="E661" s="87">
        <f>MONTH($B661)</f>
        <v/>
      </c>
      <c r="F661" s="93">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$N661*IF($O$616=1,$O661/$F$616,1)</f>
        <v/>
      </c>
      <c r="T661" s="95">
        <f>IF($G661&lt;nr_MStartP,$S661,$T649*(1+IF($G661&lt;nr_MStartP1,$M$616,$N$616)))</f>
        <v/>
      </c>
      <c r="U661" s="95">
        <f>IF($L$616,$T661,$N661)</f>
        <v/>
      </c>
    </row>
    <row r="662">
      <c r="A662" s="90" t="n">
        <v>44</v>
      </c>
      <c r="B662" s="91">
        <f>EDATE($B661,1)</f>
        <v/>
      </c>
      <c r="C662" s="92">
        <f>EOMONTH($B662,0)</f>
        <v/>
      </c>
      <c r="D662" s="87">
        <f>$C662-$B662+1</f>
        <v/>
      </c>
      <c r="E662" s="87">
        <f>MONTH($B662)</f>
        <v/>
      </c>
      <c r="F662" s="93">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$N662*IF($O$616=1,$O662/$F$616,1)</f>
        <v/>
      </c>
      <c r="T662" s="95">
        <f>IF($G662&lt;nr_MStartP,$S662,$T650*(1+IF($G662&lt;nr_MStartP1,$M$616,$N$616)))</f>
        <v/>
      </c>
      <c r="U662" s="95">
        <f>IF($L$616,$T662,$N662)</f>
        <v/>
      </c>
    </row>
    <row r="663">
      <c r="A663" s="90" t="n">
        <v>45</v>
      </c>
      <c r="B663" s="91">
        <f>EDATE($B662,1)</f>
        <v/>
      </c>
      <c r="C663" s="92">
        <f>EOMONTH($B663,0)</f>
        <v/>
      </c>
      <c r="D663" s="87">
        <f>$C663-$B663+1</f>
        <v/>
      </c>
      <c r="E663" s="87">
        <f>MONTH($B663)</f>
        <v/>
      </c>
      <c r="F663" s="93">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$N663*IF($O$616=1,$O663/$F$616,1)</f>
        <v/>
      </c>
      <c r="T663" s="95">
        <f>IF($G663&lt;nr_MStartP,$S663,$T651*(1+IF($G663&lt;nr_MStartP1,$M$616,$N$616)))</f>
        <v/>
      </c>
      <c r="U663" s="95">
        <f>IF($L$616,$T663,$N663)</f>
        <v/>
      </c>
    </row>
    <row r="664">
      <c r="A664" s="90" t="n">
        <v>46</v>
      </c>
      <c r="B664" s="91">
        <f>EDATE($B663,1)</f>
        <v/>
      </c>
      <c r="C664" s="92">
        <f>EOMONTH($B664,0)</f>
        <v/>
      </c>
      <c r="D664" s="87">
        <f>$C664-$B664+1</f>
        <v/>
      </c>
      <c r="E664" s="87">
        <f>MONTH($B664)</f>
        <v/>
      </c>
      <c r="F664" s="93">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$N664*IF($O$616=1,$O664/$F$616,1)</f>
        <v/>
      </c>
      <c r="T664" s="95">
        <f>IF($G664&lt;nr_MStartP,$S664,$T652*(1+IF($G664&lt;nr_MStartP1,$M$616,$N$616)))</f>
        <v/>
      </c>
      <c r="U664" s="95">
        <f>IF($L$616,$T664,$N664)</f>
        <v/>
      </c>
    </row>
    <row r="665">
      <c r="A665" s="90" t="n">
        <v>47</v>
      </c>
      <c r="B665" s="91">
        <f>EDATE($B664,1)</f>
        <v/>
      </c>
      <c r="C665" s="92">
        <f>EOMONTH($B665,0)</f>
        <v/>
      </c>
      <c r="D665" s="87">
        <f>$C665-$B665+1</f>
        <v/>
      </c>
      <c r="E665" s="87">
        <f>MONTH($B665)</f>
        <v/>
      </c>
      <c r="F665" s="93">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$N665*IF($O$616=1,$O665/$F$616,1)</f>
        <v/>
      </c>
      <c r="T665" s="95">
        <f>IF($G665&lt;nr_MStartP,$S665,$T653*(1+IF($G665&lt;nr_MStartP1,$M$616,$N$616)))</f>
        <v/>
      </c>
      <c r="U665" s="95">
        <f>IF($L$616,$T665,$N665)</f>
        <v/>
      </c>
    </row>
    <row r="666">
      <c r="A666" s="90" t="n">
        <v>48</v>
      </c>
      <c r="B666" s="91">
        <f>EDATE($B665,1)</f>
        <v/>
      </c>
      <c r="C666" s="92">
        <f>EOMONTH($B666,0)</f>
        <v/>
      </c>
      <c r="D666" s="87">
        <f>$C666-$B666+1</f>
        <v/>
      </c>
      <c r="E666" s="87">
        <f>MONTH($B666)</f>
        <v/>
      </c>
      <c r="F666" s="93">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$N666*IF($O$616=1,$O666/$F$616,1)</f>
        <v/>
      </c>
      <c r="T666" s="95">
        <f>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04">
        <f>SUMPRODUCT($H$619:$H$666,$Q$619:$Q$666,$O$619:$O$666)/SUMPRODUCT($H$619:$H$666,$Q$619:$Q$666)</f>
        <v/>
      </c>
      <c r="G667" s="20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04">
        <f>IF(N(INDEX(lr_mind,12))=0,1,INDEX(lr_mind,12))</f>
        <v/>
      </c>
      <c r="G670" s="204">
        <f>IF(N(INDEX(lr_m0,12))=0,1,INDEX(lr_m0,12))</f>
        <v/>
      </c>
      <c r="H670" s="73">
        <f>IF(N(INDEX(lr_m0asof,12))=0,DATE(nr_PlanYear-1,10,1),INDEX(lr_m0asof,12))</f>
        <v/>
      </c>
      <c r="I670" s="204">
        <f>IF(N(INDEX(lr_m1,12))=0,1,INDEX(lr_m1,12))</f>
        <v/>
      </c>
      <c r="J670" s="204">
        <f>INDEX(lr_mprior,12)</f>
        <v/>
      </c>
      <c r="K670" s="20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93">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$N673*IF($O$670=1,$O673/$F$670,1)</f>
        <v/>
      </c>
      <c r="T673" s="95">
        <f>IF($G673&lt;nr_MStartP,$S673,$T661*(1+IF($G673&lt;nr_MStartP1,$M$670,$N$670)))</f>
        <v/>
      </c>
      <c r="U673" s="95">
        <f>IF($L$670,$T673,$N673)</f>
        <v/>
      </c>
    </row>
    <row r="674">
      <c r="A674" s="90" t="n">
        <v>2</v>
      </c>
      <c r="B674" s="91">
        <f>EDATE($B673,1)</f>
        <v/>
      </c>
      <c r="C674" s="92">
        <f>EOMONTH($B674,0)</f>
        <v/>
      </c>
      <c r="D674" s="87">
        <f>$C674-$B674+1</f>
        <v/>
      </c>
      <c r="E674" s="87">
        <f>MONTH($B674)</f>
        <v/>
      </c>
      <c r="F674" s="93">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$N674*IF($O$670=1,$O674/$F$670,1)</f>
        <v/>
      </c>
      <c r="T674" s="95">
        <f>IF($G674&lt;nr_MStartP,$S674,$T662*(1+IF($G674&lt;nr_MStartP1,$M$670,$N$670)))</f>
        <v/>
      </c>
      <c r="U674" s="95">
        <f>IF($L$670,$T674,$N674)</f>
        <v/>
      </c>
    </row>
    <row r="675">
      <c r="A675" s="90" t="n">
        <v>3</v>
      </c>
      <c r="B675" s="91">
        <f>EDATE($B674,1)</f>
        <v/>
      </c>
      <c r="C675" s="92">
        <f>EOMONTH($B675,0)</f>
        <v/>
      </c>
      <c r="D675" s="87">
        <f>$C675-$B675+1</f>
        <v/>
      </c>
      <c r="E675" s="87">
        <f>MONTH($B675)</f>
        <v/>
      </c>
      <c r="F675" s="93">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$N675*IF($O$670=1,$O675/$F$670,1)</f>
        <v/>
      </c>
      <c r="T675" s="95">
        <f>IF($G675&lt;nr_MStartP,$S675,$T663*(1+IF($G675&lt;nr_MStartP1,$M$670,$N$670)))</f>
        <v/>
      </c>
      <c r="U675" s="95">
        <f>IF($L$670,$T675,$N675)</f>
        <v/>
      </c>
    </row>
    <row r="676">
      <c r="A676" s="90" t="n">
        <v>4</v>
      </c>
      <c r="B676" s="91">
        <f>EDATE($B675,1)</f>
        <v/>
      </c>
      <c r="C676" s="92">
        <f>EOMONTH($B676,0)</f>
        <v/>
      </c>
      <c r="D676" s="87">
        <f>$C676-$B676+1</f>
        <v/>
      </c>
      <c r="E676" s="87">
        <f>MONTH($B676)</f>
        <v/>
      </c>
      <c r="F676" s="93">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$N676*IF($O$670=1,$O676/$F$670,1)</f>
        <v/>
      </c>
      <c r="T676" s="95">
        <f>IF($G676&lt;nr_MStartP,$S676,$T664*(1+IF($G676&lt;nr_MStartP1,$M$670,$N$670)))</f>
        <v/>
      </c>
      <c r="U676" s="95">
        <f>IF($L$670,$T676,$N676)</f>
        <v/>
      </c>
    </row>
    <row r="677">
      <c r="A677" s="90" t="n">
        <v>5</v>
      </c>
      <c r="B677" s="91">
        <f>EDATE($B676,1)</f>
        <v/>
      </c>
      <c r="C677" s="92">
        <f>EOMONTH($B677,0)</f>
        <v/>
      </c>
      <c r="D677" s="87">
        <f>$C677-$B677+1</f>
        <v/>
      </c>
      <c r="E677" s="87">
        <f>MONTH($B677)</f>
        <v/>
      </c>
      <c r="F677" s="93">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$N677*IF($O$670=1,$O677/$F$670,1)</f>
        <v/>
      </c>
      <c r="T677" s="95">
        <f>IF($G677&lt;nr_MStartP,$S677,$T665*(1+IF($G677&lt;nr_MStartP1,$M$670,$N$670)))</f>
        <v/>
      </c>
      <c r="U677" s="95">
        <f>IF($L$670,$T677,$N677)</f>
        <v/>
      </c>
    </row>
    <row r="678">
      <c r="A678" s="90" t="n">
        <v>6</v>
      </c>
      <c r="B678" s="91">
        <f>EDATE($B677,1)</f>
        <v/>
      </c>
      <c r="C678" s="92">
        <f>EOMONTH($B678,0)</f>
        <v/>
      </c>
      <c r="D678" s="87">
        <f>$C678-$B678+1</f>
        <v/>
      </c>
      <c r="E678" s="87">
        <f>MONTH($B678)</f>
        <v/>
      </c>
      <c r="F678" s="93">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$N678*IF($O$670=1,$O678/$F$670,1)</f>
        <v/>
      </c>
      <c r="T678" s="95">
        <f>IF($G678&lt;nr_MStartP,$S678,$T666*(1+IF($G678&lt;nr_MStartP1,$M$670,$N$670)))</f>
        <v/>
      </c>
      <c r="U678" s="95">
        <f>IF($L$670,$T678,$N678)</f>
        <v/>
      </c>
    </row>
    <row r="679">
      <c r="A679" s="90" t="n">
        <v>7</v>
      </c>
      <c r="B679" s="91">
        <f>EDATE($B678,1)</f>
        <v/>
      </c>
      <c r="C679" s="92">
        <f>EOMONTH($B679,0)</f>
        <v/>
      </c>
      <c r="D679" s="87">
        <f>$C679-$B679+1</f>
        <v/>
      </c>
      <c r="E679" s="87">
        <f>MONTH($B679)</f>
        <v/>
      </c>
      <c r="F679" s="93">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$N679*IF($O$670=1,$O679/$F$670,1)</f>
        <v/>
      </c>
      <c r="T679" s="95">
        <f>IF($G679&lt;nr_MStartP,$S679,$T667*(1+IF($G679&lt;nr_MStartP1,$M$670,$N$670)))</f>
        <v/>
      </c>
      <c r="U679" s="95">
        <f>IF($L$670,$T679,$N679)</f>
        <v/>
      </c>
    </row>
    <row r="680">
      <c r="A680" s="90" t="n">
        <v>8</v>
      </c>
      <c r="B680" s="91">
        <f>EDATE($B679,1)</f>
        <v/>
      </c>
      <c r="C680" s="92">
        <f>EOMONTH($B680,0)</f>
        <v/>
      </c>
      <c r="D680" s="87">
        <f>$C680-$B680+1</f>
        <v/>
      </c>
      <c r="E680" s="87">
        <f>MONTH($B680)</f>
        <v/>
      </c>
      <c r="F680" s="93">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$N680*IF($O$670=1,$O680/$F$670,1)</f>
        <v/>
      </c>
      <c r="T680" s="95">
        <f>IF($G680&lt;nr_MStartP,$S680,$T668*(1+IF($G680&lt;nr_MStartP1,$M$670,$N$670)))</f>
        <v/>
      </c>
      <c r="U680" s="95">
        <f>IF($L$670,$T680,$N680)</f>
        <v/>
      </c>
    </row>
    <row r="681">
      <c r="A681" s="90" t="n">
        <v>9</v>
      </c>
      <c r="B681" s="91">
        <f>EDATE($B680,1)</f>
        <v/>
      </c>
      <c r="C681" s="92">
        <f>EOMONTH($B681,0)</f>
        <v/>
      </c>
      <c r="D681" s="87">
        <f>$C681-$B681+1</f>
        <v/>
      </c>
      <c r="E681" s="87">
        <f>MONTH($B681)</f>
        <v/>
      </c>
      <c r="F681" s="93">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$N681*IF($O$670=1,$O681/$F$670,1)</f>
        <v/>
      </c>
      <c r="T681" s="95">
        <f>IF($G681&lt;nr_MStartP,$S681,$T669*(1+IF($G681&lt;nr_MStartP1,$M$670,$N$670)))</f>
        <v/>
      </c>
      <c r="U681" s="95">
        <f>IF($L$670,$T681,$N681)</f>
        <v/>
      </c>
    </row>
    <row r="682">
      <c r="A682" s="90" t="n">
        <v>10</v>
      </c>
      <c r="B682" s="91">
        <f>EDATE($B681,1)</f>
        <v/>
      </c>
      <c r="C682" s="92">
        <f>EOMONTH($B682,0)</f>
        <v/>
      </c>
      <c r="D682" s="87">
        <f>$C682-$B682+1</f>
        <v/>
      </c>
      <c r="E682" s="87">
        <f>MONTH($B682)</f>
        <v/>
      </c>
      <c r="F682" s="93">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$N682*IF($O$670=1,$O682/$F$670,1)</f>
        <v/>
      </c>
      <c r="T682" s="95">
        <f>IF($G682&lt;nr_MStartP,$S682,$T670*(1+IF($G682&lt;nr_MStartP1,$M$670,$N$670)))</f>
        <v/>
      </c>
      <c r="U682" s="95">
        <f>IF($L$670,$T682,$N682)</f>
        <v/>
      </c>
    </row>
    <row r="683">
      <c r="A683" s="90" t="n">
        <v>11</v>
      </c>
      <c r="B683" s="91">
        <f>EDATE($B682,1)</f>
        <v/>
      </c>
      <c r="C683" s="92">
        <f>EOMONTH($B683,0)</f>
        <v/>
      </c>
      <c r="D683" s="87">
        <f>$C683-$B683+1</f>
        <v/>
      </c>
      <c r="E683" s="87">
        <f>MONTH($B683)</f>
        <v/>
      </c>
      <c r="F683" s="93">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$N683*IF($O$670=1,$O683/$F$670,1)</f>
        <v/>
      </c>
      <c r="T683" s="95">
        <f>IF($G683&lt;nr_MStartP,$S683,$T671*(1+IF($G683&lt;nr_MStartP1,$M$670,$N$670)))</f>
        <v/>
      </c>
      <c r="U683" s="95">
        <f>IF($L$670,$T683,$N683)</f>
        <v/>
      </c>
    </row>
    <row r="684">
      <c r="A684" s="90" t="n">
        <v>12</v>
      </c>
      <c r="B684" s="91">
        <f>EDATE($B683,1)</f>
        <v/>
      </c>
      <c r="C684" s="92">
        <f>EOMONTH($B684,0)</f>
        <v/>
      </c>
      <c r="D684" s="87">
        <f>$C684-$B684+1</f>
        <v/>
      </c>
      <c r="E684" s="87">
        <f>MONTH($B684)</f>
        <v/>
      </c>
      <c r="F684" s="93">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$N684*IF($O$670=1,$O684/$F$670,1)</f>
        <v/>
      </c>
      <c r="T684" s="95">
        <f>IF($G684&lt;nr_MStartP,$S684,$T672*(1+IF($G684&lt;nr_MStartP1,$M$670,$N$670)))</f>
        <v/>
      </c>
      <c r="U684" s="95">
        <f>IF($L$670,$T684,$N684)</f>
        <v/>
      </c>
    </row>
    <row r="685">
      <c r="A685" s="90" t="n">
        <v>13</v>
      </c>
      <c r="B685" s="91">
        <f>EDATE($B684,1)</f>
        <v/>
      </c>
      <c r="C685" s="92">
        <f>EOMONTH($B685,0)</f>
        <v/>
      </c>
      <c r="D685" s="87">
        <f>$C685-$B685+1</f>
        <v/>
      </c>
      <c r="E685" s="87">
        <f>MONTH($B685)</f>
        <v/>
      </c>
      <c r="F685" s="93">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$N685*IF($O$670=1,$O685/$F$670,1)</f>
        <v/>
      </c>
      <c r="T685" s="95">
        <f>IF($G685&lt;nr_MStartP,$S685,$T673*(1+IF($G685&lt;nr_MStartP1,$M$670,$N$670)))</f>
        <v/>
      </c>
      <c r="U685" s="95">
        <f>IF($L$670,$T685,$N685)</f>
        <v/>
      </c>
    </row>
    <row r="686">
      <c r="A686" s="90" t="n">
        <v>14</v>
      </c>
      <c r="B686" s="91">
        <f>EDATE($B685,1)</f>
        <v/>
      </c>
      <c r="C686" s="92">
        <f>EOMONTH($B686,0)</f>
        <v/>
      </c>
      <c r="D686" s="87">
        <f>$C686-$B686+1</f>
        <v/>
      </c>
      <c r="E686" s="87">
        <f>MONTH($B686)</f>
        <v/>
      </c>
      <c r="F686" s="93">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$N686*IF($O$670=1,$O686/$F$670,1)</f>
        <v/>
      </c>
      <c r="T686" s="95">
        <f>IF($G686&lt;nr_MStartP,$S686,$T674*(1+IF($G686&lt;nr_MStartP1,$M$670,$N$670)))</f>
        <v/>
      </c>
      <c r="U686" s="95">
        <f>IF($L$670,$T686,$N686)</f>
        <v/>
      </c>
    </row>
    <row r="687">
      <c r="A687" s="90" t="n">
        <v>15</v>
      </c>
      <c r="B687" s="91">
        <f>EDATE($B686,1)</f>
        <v/>
      </c>
      <c r="C687" s="92">
        <f>EOMONTH($B687,0)</f>
        <v/>
      </c>
      <c r="D687" s="87">
        <f>$C687-$B687+1</f>
        <v/>
      </c>
      <c r="E687" s="87">
        <f>MONTH($B687)</f>
        <v/>
      </c>
      <c r="F687" s="93">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$N687*IF($O$670=1,$O687/$F$670,1)</f>
        <v/>
      </c>
      <c r="T687" s="95">
        <f>IF($G687&lt;nr_MStartP,$S687,$T675*(1+IF($G687&lt;nr_MStartP1,$M$670,$N$670)))</f>
        <v/>
      </c>
      <c r="U687" s="95">
        <f>IF($L$670,$T687,$N687)</f>
        <v/>
      </c>
    </row>
    <row r="688">
      <c r="A688" s="90" t="n">
        <v>16</v>
      </c>
      <c r="B688" s="91">
        <f>EDATE($B687,1)</f>
        <v/>
      </c>
      <c r="C688" s="92">
        <f>EOMONTH($B688,0)</f>
        <v/>
      </c>
      <c r="D688" s="87">
        <f>$C688-$B688+1</f>
        <v/>
      </c>
      <c r="E688" s="87">
        <f>MONTH($B688)</f>
        <v/>
      </c>
      <c r="F688" s="93">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$N688*IF($O$670=1,$O688/$F$670,1)</f>
        <v/>
      </c>
      <c r="T688" s="95">
        <f>IF($G688&lt;nr_MStartP,$S688,$T676*(1+IF($G688&lt;nr_MStartP1,$M$670,$N$670)))</f>
        <v/>
      </c>
      <c r="U688" s="95">
        <f>IF($L$670,$T688,$N688)</f>
        <v/>
      </c>
    </row>
    <row r="689">
      <c r="A689" s="90" t="n">
        <v>17</v>
      </c>
      <c r="B689" s="91">
        <f>EDATE($B688,1)</f>
        <v/>
      </c>
      <c r="C689" s="92">
        <f>EOMONTH($B689,0)</f>
        <v/>
      </c>
      <c r="D689" s="87">
        <f>$C689-$B689+1</f>
        <v/>
      </c>
      <c r="E689" s="87">
        <f>MONTH($B689)</f>
        <v/>
      </c>
      <c r="F689" s="93">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$N689*IF($O$670=1,$O689/$F$670,1)</f>
        <v/>
      </c>
      <c r="T689" s="95">
        <f>IF($G689&lt;nr_MStartP,$S689,$T677*(1+IF($G689&lt;nr_MStartP1,$M$670,$N$670)))</f>
        <v/>
      </c>
      <c r="U689" s="95">
        <f>IF($L$670,$T689,$N689)</f>
        <v/>
      </c>
    </row>
    <row r="690">
      <c r="A690" s="90" t="n">
        <v>18</v>
      </c>
      <c r="B690" s="91">
        <f>EDATE($B689,1)</f>
        <v/>
      </c>
      <c r="C690" s="92">
        <f>EOMONTH($B690,0)</f>
        <v/>
      </c>
      <c r="D690" s="87">
        <f>$C690-$B690+1</f>
        <v/>
      </c>
      <c r="E690" s="87">
        <f>MONTH($B690)</f>
        <v/>
      </c>
      <c r="F690" s="93">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$N690*IF($O$670=1,$O690/$F$670,1)</f>
        <v/>
      </c>
      <c r="T690" s="95">
        <f>IF($G690&lt;nr_MStartP,$S690,$T678*(1+IF($G690&lt;nr_MStartP1,$M$670,$N$670)))</f>
        <v/>
      </c>
      <c r="U690" s="95">
        <f>IF($L$670,$T690,$N690)</f>
        <v/>
      </c>
    </row>
    <row r="691">
      <c r="A691" s="90" t="n">
        <v>19</v>
      </c>
      <c r="B691" s="91">
        <f>EDATE($B690,1)</f>
        <v/>
      </c>
      <c r="C691" s="92">
        <f>EOMONTH($B691,0)</f>
        <v/>
      </c>
      <c r="D691" s="87">
        <f>$C691-$B691+1</f>
        <v/>
      </c>
      <c r="E691" s="87">
        <f>MONTH($B691)</f>
        <v/>
      </c>
      <c r="F691" s="93">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$N691*IF($O$670=1,$O691/$F$670,1)</f>
        <v/>
      </c>
      <c r="T691" s="95">
        <f>IF($G691&lt;nr_MStartP,$S691,$T679*(1+IF($G691&lt;nr_MStartP1,$M$670,$N$670)))</f>
        <v/>
      </c>
      <c r="U691" s="95">
        <f>IF($L$670,$T691,$N691)</f>
        <v/>
      </c>
    </row>
    <row r="692">
      <c r="A692" s="90" t="n">
        <v>20</v>
      </c>
      <c r="B692" s="91">
        <f>EDATE($B691,1)</f>
        <v/>
      </c>
      <c r="C692" s="92">
        <f>EOMONTH($B692,0)</f>
        <v/>
      </c>
      <c r="D692" s="87">
        <f>$C692-$B692+1</f>
        <v/>
      </c>
      <c r="E692" s="87">
        <f>MONTH($B692)</f>
        <v/>
      </c>
      <c r="F692" s="93">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$N692*IF($O$670=1,$O692/$F$670,1)</f>
        <v/>
      </c>
      <c r="T692" s="95">
        <f>IF($G692&lt;nr_MStartP,$S692,$T680*(1+IF($G692&lt;nr_MStartP1,$M$670,$N$670)))</f>
        <v/>
      </c>
      <c r="U692" s="95">
        <f>IF($L$670,$T692,$N692)</f>
        <v/>
      </c>
    </row>
    <row r="693">
      <c r="A693" s="90" t="n">
        <v>21</v>
      </c>
      <c r="B693" s="91">
        <f>EDATE($B692,1)</f>
        <v/>
      </c>
      <c r="C693" s="92">
        <f>EOMONTH($B693,0)</f>
        <v/>
      </c>
      <c r="D693" s="87">
        <f>$C693-$B693+1</f>
        <v/>
      </c>
      <c r="E693" s="87">
        <f>MONTH($B693)</f>
        <v/>
      </c>
      <c r="F693" s="93">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$N693*IF($O$670=1,$O693/$F$670,1)</f>
        <v/>
      </c>
      <c r="T693" s="95">
        <f>IF($G693&lt;nr_MStartP,$S693,$T681*(1+IF($G693&lt;nr_MStartP1,$M$670,$N$670)))</f>
        <v/>
      </c>
      <c r="U693" s="95">
        <f>IF($L$670,$T693,$N693)</f>
        <v/>
      </c>
    </row>
    <row r="694">
      <c r="A694" s="90" t="n">
        <v>22</v>
      </c>
      <c r="B694" s="91">
        <f>EDATE($B693,1)</f>
        <v/>
      </c>
      <c r="C694" s="92">
        <f>EOMONTH($B694,0)</f>
        <v/>
      </c>
      <c r="D694" s="87">
        <f>$C694-$B694+1</f>
        <v/>
      </c>
      <c r="E694" s="87">
        <f>MONTH($B694)</f>
        <v/>
      </c>
      <c r="F694" s="93">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$N694*IF($O$670=1,$O694/$F$670,1)</f>
        <v/>
      </c>
      <c r="T694" s="95">
        <f>IF($G694&lt;nr_MStartP,$S694,$T682*(1+IF($G694&lt;nr_MStartP1,$M$670,$N$670)))</f>
        <v/>
      </c>
      <c r="U694" s="95">
        <f>IF($L$670,$T694,$N694)</f>
        <v/>
      </c>
    </row>
    <row r="695">
      <c r="A695" s="90" t="n">
        <v>23</v>
      </c>
      <c r="B695" s="91">
        <f>EDATE($B694,1)</f>
        <v/>
      </c>
      <c r="C695" s="92">
        <f>EOMONTH($B695,0)</f>
        <v/>
      </c>
      <c r="D695" s="87">
        <f>$C695-$B695+1</f>
        <v/>
      </c>
      <c r="E695" s="87">
        <f>MONTH($B695)</f>
        <v/>
      </c>
      <c r="F695" s="93">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$N695*IF($O$670=1,$O695/$F$670,1)</f>
        <v/>
      </c>
      <c r="T695" s="95">
        <f>IF($G695&lt;nr_MStartP,$S695,$T683*(1+IF($G695&lt;nr_MStartP1,$M$670,$N$670)))</f>
        <v/>
      </c>
      <c r="U695" s="95">
        <f>IF($L$670,$T695,$N695)</f>
        <v/>
      </c>
    </row>
    <row r="696">
      <c r="A696" s="90" t="n">
        <v>24</v>
      </c>
      <c r="B696" s="91">
        <f>EDATE($B695,1)</f>
        <v/>
      </c>
      <c r="C696" s="92">
        <f>EOMONTH($B696,0)</f>
        <v/>
      </c>
      <c r="D696" s="87">
        <f>$C696-$B696+1</f>
        <v/>
      </c>
      <c r="E696" s="87">
        <f>MONTH($B696)</f>
        <v/>
      </c>
      <c r="F696" s="93">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$N696*IF($O$670=1,$O696/$F$670,1)</f>
        <v/>
      </c>
      <c r="T696" s="95">
        <f>IF($G696&lt;nr_MStartP,$S696,$T684*(1+IF($G696&lt;nr_MStartP1,$M$670,$N$670)))</f>
        <v/>
      </c>
      <c r="U696" s="95">
        <f>IF($L$670,$T696,$N696)</f>
        <v/>
      </c>
    </row>
    <row r="697">
      <c r="A697" s="90" t="n">
        <v>25</v>
      </c>
      <c r="B697" s="91">
        <f>EDATE($B696,1)</f>
        <v/>
      </c>
      <c r="C697" s="92">
        <f>EOMONTH($B697,0)</f>
        <v/>
      </c>
      <c r="D697" s="87">
        <f>$C697-$B697+1</f>
        <v/>
      </c>
      <c r="E697" s="87">
        <f>MONTH($B697)</f>
        <v/>
      </c>
      <c r="F697" s="93">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$N697*IF($O$670=1,$O697/$F$670,1)</f>
        <v/>
      </c>
      <c r="T697" s="95">
        <f>IF($G697&lt;nr_MStartP,$S697,$T685*(1+IF($G697&lt;nr_MStartP1,$M$670,$N$670)))</f>
        <v/>
      </c>
      <c r="U697" s="95">
        <f>IF($L$670,$T697,$N697)</f>
        <v/>
      </c>
    </row>
    <row r="698">
      <c r="A698" s="90" t="n">
        <v>26</v>
      </c>
      <c r="B698" s="91">
        <f>EDATE($B697,1)</f>
        <v/>
      </c>
      <c r="C698" s="92">
        <f>EOMONTH($B698,0)</f>
        <v/>
      </c>
      <c r="D698" s="87">
        <f>$C698-$B698+1</f>
        <v/>
      </c>
      <c r="E698" s="87">
        <f>MONTH($B698)</f>
        <v/>
      </c>
      <c r="F698" s="93">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$N698*IF($O$670=1,$O698/$F$670,1)</f>
        <v/>
      </c>
      <c r="T698" s="95">
        <f>IF($G698&lt;nr_MStartP,$S698,$T686*(1+IF($G698&lt;nr_MStartP1,$M$670,$N$670)))</f>
        <v/>
      </c>
      <c r="U698" s="95">
        <f>IF($L$670,$T698,$N698)</f>
        <v/>
      </c>
    </row>
    <row r="699">
      <c r="A699" s="90" t="n">
        <v>27</v>
      </c>
      <c r="B699" s="91">
        <f>EDATE($B698,1)</f>
        <v/>
      </c>
      <c r="C699" s="92">
        <f>EOMONTH($B699,0)</f>
        <v/>
      </c>
      <c r="D699" s="87">
        <f>$C699-$B699+1</f>
        <v/>
      </c>
      <c r="E699" s="87">
        <f>MONTH($B699)</f>
        <v/>
      </c>
      <c r="F699" s="93">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$N699*IF($O$670=1,$O699/$F$670,1)</f>
        <v/>
      </c>
      <c r="T699" s="95">
        <f>IF($G699&lt;nr_MStartP,$S699,$T687*(1+IF($G699&lt;nr_MStartP1,$M$670,$N$670)))</f>
        <v/>
      </c>
      <c r="U699" s="95">
        <f>IF($L$670,$T699,$N699)</f>
        <v/>
      </c>
    </row>
    <row r="700">
      <c r="A700" s="90" t="n">
        <v>28</v>
      </c>
      <c r="B700" s="91">
        <f>EDATE($B699,1)</f>
        <v/>
      </c>
      <c r="C700" s="92">
        <f>EOMONTH($B700,0)</f>
        <v/>
      </c>
      <c r="D700" s="87">
        <f>$C700-$B700+1</f>
        <v/>
      </c>
      <c r="E700" s="87">
        <f>MONTH($B700)</f>
        <v/>
      </c>
      <c r="F700" s="93">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$N700*IF($O$670=1,$O700/$F$670,1)</f>
        <v/>
      </c>
      <c r="T700" s="95">
        <f>IF($G700&lt;nr_MStartP,$S700,$T688*(1+IF($G700&lt;nr_MStartP1,$M$670,$N$670)))</f>
        <v/>
      </c>
      <c r="U700" s="95">
        <f>IF($L$670,$T700,$N700)</f>
        <v/>
      </c>
    </row>
    <row r="701">
      <c r="A701" s="90" t="n">
        <v>29</v>
      </c>
      <c r="B701" s="91">
        <f>EDATE($B700,1)</f>
        <v/>
      </c>
      <c r="C701" s="92">
        <f>EOMONTH($B701,0)</f>
        <v/>
      </c>
      <c r="D701" s="87">
        <f>$C701-$B701+1</f>
        <v/>
      </c>
      <c r="E701" s="87">
        <f>MONTH($B701)</f>
        <v/>
      </c>
      <c r="F701" s="93">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$N701*IF($O$670=1,$O701/$F$670,1)</f>
        <v/>
      </c>
      <c r="T701" s="95">
        <f>IF($G701&lt;nr_MStartP,$S701,$T689*(1+IF($G701&lt;nr_MStartP1,$M$670,$N$670)))</f>
        <v/>
      </c>
      <c r="U701" s="95">
        <f>IF($L$670,$T701,$N701)</f>
        <v/>
      </c>
    </row>
    <row r="702">
      <c r="A702" s="90" t="n">
        <v>30</v>
      </c>
      <c r="B702" s="91">
        <f>EDATE($B701,1)</f>
        <v/>
      </c>
      <c r="C702" s="92">
        <f>EOMONTH($B702,0)</f>
        <v/>
      </c>
      <c r="D702" s="87">
        <f>$C702-$B702+1</f>
        <v/>
      </c>
      <c r="E702" s="87">
        <f>MONTH($B702)</f>
        <v/>
      </c>
      <c r="F702" s="93">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$N702*IF($O$670=1,$O702/$F$670,1)</f>
        <v/>
      </c>
      <c r="T702" s="95">
        <f>IF($G702&lt;nr_MStartP,$S702,$T690*(1+IF($G702&lt;nr_MStartP1,$M$670,$N$670)))</f>
        <v/>
      </c>
      <c r="U702" s="95">
        <f>IF($L$670,$T702,$N702)</f>
        <v/>
      </c>
    </row>
    <row r="703">
      <c r="A703" s="90" t="n">
        <v>31</v>
      </c>
      <c r="B703" s="91">
        <f>EDATE($B702,1)</f>
        <v/>
      </c>
      <c r="C703" s="92">
        <f>EOMONTH($B703,0)</f>
        <v/>
      </c>
      <c r="D703" s="87">
        <f>$C703-$B703+1</f>
        <v/>
      </c>
      <c r="E703" s="87">
        <f>MONTH($B703)</f>
        <v/>
      </c>
      <c r="F703" s="93">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$N703*IF($O$670=1,$O703/$F$670,1)</f>
        <v/>
      </c>
      <c r="T703" s="95">
        <f>IF($G703&lt;nr_MStartP,$S703,$T691*(1+IF($G703&lt;nr_MStartP1,$M$670,$N$670)))</f>
        <v/>
      </c>
      <c r="U703" s="95">
        <f>IF($L$670,$T703,$N703)</f>
        <v/>
      </c>
    </row>
    <row r="704">
      <c r="A704" s="90" t="n">
        <v>32</v>
      </c>
      <c r="B704" s="91">
        <f>EDATE($B703,1)</f>
        <v/>
      </c>
      <c r="C704" s="92">
        <f>EOMONTH($B704,0)</f>
        <v/>
      </c>
      <c r="D704" s="87">
        <f>$C704-$B704+1</f>
        <v/>
      </c>
      <c r="E704" s="87">
        <f>MONTH($B704)</f>
        <v/>
      </c>
      <c r="F704" s="93">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$N704*IF($O$670=1,$O704/$F$670,1)</f>
        <v/>
      </c>
      <c r="T704" s="95">
        <f>IF($G704&lt;nr_MStartP,$S704,$T692*(1+IF($G704&lt;nr_MStartP1,$M$670,$N$670)))</f>
        <v/>
      </c>
      <c r="U704" s="95">
        <f>IF($L$670,$T704,$N704)</f>
        <v/>
      </c>
    </row>
    <row r="705">
      <c r="A705" s="90" t="n">
        <v>33</v>
      </c>
      <c r="B705" s="91">
        <f>EDATE($B704,1)</f>
        <v/>
      </c>
      <c r="C705" s="92">
        <f>EOMONTH($B705,0)</f>
        <v/>
      </c>
      <c r="D705" s="87">
        <f>$C705-$B705+1</f>
        <v/>
      </c>
      <c r="E705" s="87">
        <f>MONTH($B705)</f>
        <v/>
      </c>
      <c r="F705" s="93">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$N705*IF($O$670=1,$O705/$F$670,1)</f>
        <v/>
      </c>
      <c r="T705" s="95">
        <f>IF($G705&lt;nr_MStartP,$S705,$T693*(1+IF($G705&lt;nr_MStartP1,$M$670,$N$670)))</f>
        <v/>
      </c>
      <c r="U705" s="95">
        <f>IF($L$670,$T705,$N705)</f>
        <v/>
      </c>
    </row>
    <row r="706">
      <c r="A706" s="90" t="n">
        <v>34</v>
      </c>
      <c r="B706" s="91">
        <f>EDATE($B705,1)</f>
        <v/>
      </c>
      <c r="C706" s="92">
        <f>EOMONTH($B706,0)</f>
        <v/>
      </c>
      <c r="D706" s="87">
        <f>$C706-$B706+1</f>
        <v/>
      </c>
      <c r="E706" s="87">
        <f>MONTH($B706)</f>
        <v/>
      </c>
      <c r="F706" s="93">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$N706*IF($O$670=1,$O706/$F$670,1)</f>
        <v/>
      </c>
      <c r="T706" s="95">
        <f>IF($G706&lt;nr_MStartP,$S706,$T694*(1+IF($G706&lt;nr_MStartP1,$M$670,$N$670)))</f>
        <v/>
      </c>
      <c r="U706" s="95">
        <f>IF($L$670,$T706,$N706)</f>
        <v/>
      </c>
    </row>
    <row r="707">
      <c r="A707" s="90" t="n">
        <v>35</v>
      </c>
      <c r="B707" s="91">
        <f>EDATE($B706,1)</f>
        <v/>
      </c>
      <c r="C707" s="92">
        <f>EOMONTH($B707,0)</f>
        <v/>
      </c>
      <c r="D707" s="87">
        <f>$C707-$B707+1</f>
        <v/>
      </c>
      <c r="E707" s="87">
        <f>MONTH($B707)</f>
        <v/>
      </c>
      <c r="F707" s="93">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$N707*IF($O$670=1,$O707/$F$670,1)</f>
        <v/>
      </c>
      <c r="T707" s="95">
        <f>IF($G707&lt;nr_MStartP,$S707,$T695*(1+IF($G707&lt;nr_MStartP1,$M$670,$N$670)))</f>
        <v/>
      </c>
      <c r="U707" s="95">
        <f>IF($L$670,$T707,$N707)</f>
        <v/>
      </c>
    </row>
    <row r="708">
      <c r="A708" s="90" t="n">
        <v>36</v>
      </c>
      <c r="B708" s="91">
        <f>EDATE($B707,1)</f>
        <v/>
      </c>
      <c r="C708" s="92">
        <f>EOMONTH($B708,0)</f>
        <v/>
      </c>
      <c r="D708" s="87">
        <f>$C708-$B708+1</f>
        <v/>
      </c>
      <c r="E708" s="87">
        <f>MONTH($B708)</f>
        <v/>
      </c>
      <c r="F708" s="93">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$N708*IF($O$670=1,$O708/$F$670,1)</f>
        <v/>
      </c>
      <c r="T708" s="95">
        <f>IF($G708&lt;nr_MStartP,$S708,$T696*(1+IF($G708&lt;nr_MStartP1,$M$670,$N$670)))</f>
        <v/>
      </c>
      <c r="U708" s="95">
        <f>IF($L$670,$T708,$N708)</f>
        <v/>
      </c>
    </row>
    <row r="709">
      <c r="A709" s="90" t="n">
        <v>37</v>
      </c>
      <c r="B709" s="91">
        <f>EDATE($B708,1)</f>
        <v/>
      </c>
      <c r="C709" s="92">
        <f>EOMONTH($B709,0)</f>
        <v/>
      </c>
      <c r="D709" s="87">
        <f>$C709-$B709+1</f>
        <v/>
      </c>
      <c r="E709" s="87">
        <f>MONTH($B709)</f>
        <v/>
      </c>
      <c r="F709" s="93">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$N709*IF($O$670=1,$O709/$F$670,1)</f>
        <v/>
      </c>
      <c r="T709" s="95">
        <f>IF($G709&lt;nr_MStartP,$S709,$T697*(1+IF($G709&lt;nr_MStartP1,$M$670,$N$670)))</f>
        <v/>
      </c>
      <c r="U709" s="95">
        <f>IF($L$670,$T709,$N709)</f>
        <v/>
      </c>
    </row>
    <row r="710">
      <c r="A710" s="90" t="n">
        <v>38</v>
      </c>
      <c r="B710" s="91">
        <f>EDATE($B709,1)</f>
        <v/>
      </c>
      <c r="C710" s="92">
        <f>EOMONTH($B710,0)</f>
        <v/>
      </c>
      <c r="D710" s="87">
        <f>$C710-$B710+1</f>
        <v/>
      </c>
      <c r="E710" s="87">
        <f>MONTH($B710)</f>
        <v/>
      </c>
      <c r="F710" s="93">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$N710*IF($O$670=1,$O710/$F$670,1)</f>
        <v/>
      </c>
      <c r="T710" s="95">
        <f>IF($G710&lt;nr_MStartP,$S710,$T698*(1+IF($G710&lt;nr_MStartP1,$M$670,$N$670)))</f>
        <v/>
      </c>
      <c r="U710" s="95">
        <f>IF($L$670,$T710,$N710)</f>
        <v/>
      </c>
    </row>
    <row r="711">
      <c r="A711" s="90" t="n">
        <v>39</v>
      </c>
      <c r="B711" s="91">
        <f>EDATE($B710,1)</f>
        <v/>
      </c>
      <c r="C711" s="92">
        <f>EOMONTH($B711,0)</f>
        <v/>
      </c>
      <c r="D711" s="87">
        <f>$C711-$B711+1</f>
        <v/>
      </c>
      <c r="E711" s="87">
        <f>MONTH($B711)</f>
        <v/>
      </c>
      <c r="F711" s="93">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$N711*IF($O$670=1,$O711/$F$670,1)</f>
        <v/>
      </c>
      <c r="T711" s="95">
        <f>IF($G711&lt;nr_MStartP,$S711,$T699*(1+IF($G711&lt;nr_MStartP1,$M$670,$N$670)))</f>
        <v/>
      </c>
      <c r="U711" s="95">
        <f>IF($L$670,$T711,$N711)</f>
        <v/>
      </c>
    </row>
    <row r="712">
      <c r="A712" s="90" t="n">
        <v>40</v>
      </c>
      <c r="B712" s="91">
        <f>EDATE($B711,1)</f>
        <v/>
      </c>
      <c r="C712" s="92">
        <f>EOMONTH($B712,0)</f>
        <v/>
      </c>
      <c r="D712" s="87">
        <f>$C712-$B712+1</f>
        <v/>
      </c>
      <c r="E712" s="87">
        <f>MONTH($B712)</f>
        <v/>
      </c>
      <c r="F712" s="93">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$N712*IF($O$670=1,$O712/$F$670,1)</f>
        <v/>
      </c>
      <c r="T712" s="95">
        <f>IF($G712&lt;nr_MStartP,$S712,$T700*(1+IF($G712&lt;nr_MStartP1,$M$670,$N$670)))</f>
        <v/>
      </c>
      <c r="U712" s="95">
        <f>IF($L$670,$T712,$N712)</f>
        <v/>
      </c>
    </row>
    <row r="713">
      <c r="A713" s="90" t="n">
        <v>41</v>
      </c>
      <c r="B713" s="91">
        <f>EDATE($B712,1)</f>
        <v/>
      </c>
      <c r="C713" s="92">
        <f>EOMONTH($B713,0)</f>
        <v/>
      </c>
      <c r="D713" s="87">
        <f>$C713-$B713+1</f>
        <v/>
      </c>
      <c r="E713" s="87">
        <f>MONTH($B713)</f>
        <v/>
      </c>
      <c r="F713" s="93">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$N713*IF($O$670=1,$O713/$F$670,1)</f>
        <v/>
      </c>
      <c r="T713" s="95">
        <f>IF($G713&lt;nr_MStartP,$S713,$T701*(1+IF($G713&lt;nr_MStartP1,$M$670,$N$670)))</f>
        <v/>
      </c>
      <c r="U713" s="95">
        <f>IF($L$670,$T713,$N713)</f>
        <v/>
      </c>
    </row>
    <row r="714">
      <c r="A714" s="90" t="n">
        <v>42</v>
      </c>
      <c r="B714" s="91">
        <f>EDATE($B713,1)</f>
        <v/>
      </c>
      <c r="C714" s="92">
        <f>EOMONTH($B714,0)</f>
        <v/>
      </c>
      <c r="D714" s="87">
        <f>$C714-$B714+1</f>
        <v/>
      </c>
      <c r="E714" s="87">
        <f>MONTH($B714)</f>
        <v/>
      </c>
      <c r="F714" s="93">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$N714*IF($O$670=1,$O714/$F$670,1)</f>
        <v/>
      </c>
      <c r="T714" s="95">
        <f>IF($G714&lt;nr_MStartP,$S714,$T702*(1+IF($G714&lt;nr_MStartP1,$M$670,$N$670)))</f>
        <v/>
      </c>
      <c r="U714" s="95">
        <f>IF($L$670,$T714,$N714)</f>
        <v/>
      </c>
    </row>
    <row r="715">
      <c r="A715" s="90" t="n">
        <v>43</v>
      </c>
      <c r="B715" s="91">
        <f>EDATE($B714,1)</f>
        <v/>
      </c>
      <c r="C715" s="92">
        <f>EOMONTH($B715,0)</f>
        <v/>
      </c>
      <c r="D715" s="87">
        <f>$C715-$B715+1</f>
        <v/>
      </c>
      <c r="E715" s="87">
        <f>MONTH($B715)</f>
        <v/>
      </c>
      <c r="F715" s="93">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$N715*IF($O$670=1,$O715/$F$670,1)</f>
        <v/>
      </c>
      <c r="T715" s="95">
        <f>IF($G715&lt;nr_MStartP,$S715,$T703*(1+IF($G715&lt;nr_MStartP1,$M$670,$N$670)))</f>
        <v/>
      </c>
      <c r="U715" s="95">
        <f>IF($L$670,$T715,$N715)</f>
        <v/>
      </c>
    </row>
    <row r="716">
      <c r="A716" s="90" t="n">
        <v>44</v>
      </c>
      <c r="B716" s="91">
        <f>EDATE($B715,1)</f>
        <v/>
      </c>
      <c r="C716" s="92">
        <f>EOMONTH($B716,0)</f>
        <v/>
      </c>
      <c r="D716" s="87">
        <f>$C716-$B716+1</f>
        <v/>
      </c>
      <c r="E716" s="87">
        <f>MONTH($B716)</f>
        <v/>
      </c>
      <c r="F716" s="93">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$N716*IF($O$670=1,$O716/$F$670,1)</f>
        <v/>
      </c>
      <c r="T716" s="95">
        <f>IF($G716&lt;nr_MStartP,$S716,$T704*(1+IF($G716&lt;nr_MStartP1,$M$670,$N$670)))</f>
        <v/>
      </c>
      <c r="U716" s="95">
        <f>IF($L$670,$T716,$N716)</f>
        <v/>
      </c>
    </row>
    <row r="717">
      <c r="A717" s="90" t="n">
        <v>45</v>
      </c>
      <c r="B717" s="91">
        <f>EDATE($B716,1)</f>
        <v/>
      </c>
      <c r="C717" s="92">
        <f>EOMONTH($B717,0)</f>
        <v/>
      </c>
      <c r="D717" s="87">
        <f>$C717-$B717+1</f>
        <v/>
      </c>
      <c r="E717" s="87">
        <f>MONTH($B717)</f>
        <v/>
      </c>
      <c r="F717" s="93">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$N717*IF($O$670=1,$O717/$F$670,1)</f>
        <v/>
      </c>
      <c r="T717" s="95">
        <f>IF($G717&lt;nr_MStartP,$S717,$T705*(1+IF($G717&lt;nr_MStartP1,$M$670,$N$670)))</f>
        <v/>
      </c>
      <c r="U717" s="95">
        <f>IF($L$670,$T717,$N717)</f>
        <v/>
      </c>
    </row>
    <row r="718">
      <c r="A718" s="90" t="n">
        <v>46</v>
      </c>
      <c r="B718" s="91">
        <f>EDATE($B717,1)</f>
        <v/>
      </c>
      <c r="C718" s="92">
        <f>EOMONTH($B718,0)</f>
        <v/>
      </c>
      <c r="D718" s="87">
        <f>$C718-$B718+1</f>
        <v/>
      </c>
      <c r="E718" s="87">
        <f>MONTH($B718)</f>
        <v/>
      </c>
      <c r="F718" s="93">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$N718*IF($O$670=1,$O718/$F$670,1)</f>
        <v/>
      </c>
      <c r="T718" s="95">
        <f>IF($G718&lt;nr_MStartP,$S718,$T706*(1+IF($G718&lt;nr_MStartP1,$M$670,$N$670)))</f>
        <v/>
      </c>
      <c r="U718" s="95">
        <f>IF($L$670,$T718,$N718)</f>
        <v/>
      </c>
    </row>
    <row r="719">
      <c r="A719" s="90" t="n">
        <v>47</v>
      </c>
      <c r="B719" s="91">
        <f>EDATE($B718,1)</f>
        <v/>
      </c>
      <c r="C719" s="92">
        <f>EOMONTH($B719,0)</f>
        <v/>
      </c>
      <c r="D719" s="87">
        <f>$C719-$B719+1</f>
        <v/>
      </c>
      <c r="E719" s="87">
        <f>MONTH($B719)</f>
        <v/>
      </c>
      <c r="F719" s="93">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$N719*IF($O$670=1,$O719/$F$670,1)</f>
        <v/>
      </c>
      <c r="T719" s="95">
        <f>IF($G719&lt;nr_MStartP,$S719,$T707*(1+IF($G719&lt;nr_MStartP1,$M$670,$N$670)))</f>
        <v/>
      </c>
      <c r="U719" s="95">
        <f>IF($L$670,$T719,$N719)</f>
        <v/>
      </c>
    </row>
    <row r="720">
      <c r="A720" s="90" t="n">
        <v>48</v>
      </c>
      <c r="B720" s="91">
        <f>EDATE($B719,1)</f>
        <v/>
      </c>
      <c r="C720" s="92">
        <f>EOMONTH($B720,0)</f>
        <v/>
      </c>
      <c r="D720" s="87">
        <f>$C720-$B720+1</f>
        <v/>
      </c>
      <c r="E720" s="87">
        <f>MONTH($B720)</f>
        <v/>
      </c>
      <c r="F720" s="93">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$N720*IF($O$670=1,$O720/$F$670,1)</f>
        <v/>
      </c>
      <c r="T720" s="95">
        <f>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04">
        <f>SUMPRODUCT($H$673:$H$720,$Q$673:$Q$720,$O$673:$O$720)/SUMPRODUCT($H$673:$H$720,$Q$673:$Q$720)</f>
        <v/>
      </c>
      <c r="G721" s="20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04">
        <f>IF(N(INDEX(lr_mind,13))=0,1,INDEX(lr_mind,13))</f>
        <v/>
      </c>
      <c r="G724" s="204">
        <f>IF(N(INDEX(lr_m0,13))=0,1,INDEX(lr_m0,13))</f>
        <v/>
      </c>
      <c r="H724" s="73">
        <f>IF(N(INDEX(lr_m0asof,13))=0,DATE(nr_PlanYear-1,10,1),INDEX(lr_m0asof,13))</f>
        <v/>
      </c>
      <c r="I724" s="204">
        <f>IF(N(INDEX(lr_m1,13))=0,1,INDEX(lr_m1,13))</f>
        <v/>
      </c>
      <c r="J724" s="204">
        <f>INDEX(lr_mprior,13)</f>
        <v/>
      </c>
      <c r="K724" s="20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93">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$N727*IF($O$724=1,$O727/$F$724,1)</f>
        <v/>
      </c>
      <c r="T727" s="95">
        <f>IF($G727&lt;nr_MStartP,$S727,$T715*(1+IF($G727&lt;nr_MStartP1,$M$724,$N$724)))</f>
        <v/>
      </c>
      <c r="U727" s="95">
        <f>IF($L$724,$T727,$N727)</f>
        <v/>
      </c>
    </row>
    <row r="728">
      <c r="A728" s="90" t="n">
        <v>2</v>
      </c>
      <c r="B728" s="91">
        <f>EDATE($B727,1)</f>
        <v/>
      </c>
      <c r="C728" s="92">
        <f>EOMONTH($B728,0)</f>
        <v/>
      </c>
      <c r="D728" s="87">
        <f>$C728-$B728+1</f>
        <v/>
      </c>
      <c r="E728" s="87">
        <f>MONTH($B728)</f>
        <v/>
      </c>
      <c r="F728" s="93">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$N728*IF($O$724=1,$O728/$F$724,1)</f>
        <v/>
      </c>
      <c r="T728" s="95">
        <f>IF($G728&lt;nr_MStartP,$S728,$T716*(1+IF($G728&lt;nr_MStartP1,$M$724,$N$724)))</f>
        <v/>
      </c>
      <c r="U728" s="95">
        <f>IF($L$724,$T728,$N728)</f>
        <v/>
      </c>
    </row>
    <row r="729">
      <c r="A729" s="90" t="n">
        <v>3</v>
      </c>
      <c r="B729" s="91">
        <f>EDATE($B728,1)</f>
        <v/>
      </c>
      <c r="C729" s="92">
        <f>EOMONTH($B729,0)</f>
        <v/>
      </c>
      <c r="D729" s="87">
        <f>$C729-$B729+1</f>
        <v/>
      </c>
      <c r="E729" s="87">
        <f>MONTH($B729)</f>
        <v/>
      </c>
      <c r="F729" s="93">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$N729*IF($O$724=1,$O729/$F$724,1)</f>
        <v/>
      </c>
      <c r="T729" s="95">
        <f>IF($G729&lt;nr_MStartP,$S729,$T717*(1+IF($G729&lt;nr_MStartP1,$M$724,$N$724)))</f>
        <v/>
      </c>
      <c r="U729" s="95">
        <f>IF($L$724,$T729,$N729)</f>
        <v/>
      </c>
    </row>
    <row r="730">
      <c r="A730" s="90" t="n">
        <v>4</v>
      </c>
      <c r="B730" s="91">
        <f>EDATE($B729,1)</f>
        <v/>
      </c>
      <c r="C730" s="92">
        <f>EOMONTH($B730,0)</f>
        <v/>
      </c>
      <c r="D730" s="87">
        <f>$C730-$B730+1</f>
        <v/>
      </c>
      <c r="E730" s="87">
        <f>MONTH($B730)</f>
        <v/>
      </c>
      <c r="F730" s="93">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$N730*IF($O$724=1,$O730/$F$724,1)</f>
        <v/>
      </c>
      <c r="T730" s="95">
        <f>IF($G730&lt;nr_MStartP,$S730,$T718*(1+IF($G730&lt;nr_MStartP1,$M$724,$N$724)))</f>
        <v/>
      </c>
      <c r="U730" s="95">
        <f>IF($L$724,$T730,$N730)</f>
        <v/>
      </c>
    </row>
    <row r="731">
      <c r="A731" s="90" t="n">
        <v>5</v>
      </c>
      <c r="B731" s="91">
        <f>EDATE($B730,1)</f>
        <v/>
      </c>
      <c r="C731" s="92">
        <f>EOMONTH($B731,0)</f>
        <v/>
      </c>
      <c r="D731" s="87">
        <f>$C731-$B731+1</f>
        <v/>
      </c>
      <c r="E731" s="87">
        <f>MONTH($B731)</f>
        <v/>
      </c>
      <c r="F731" s="93">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$N731*IF($O$724=1,$O731/$F$724,1)</f>
        <v/>
      </c>
      <c r="T731" s="95">
        <f>IF($G731&lt;nr_MStartP,$S731,$T719*(1+IF($G731&lt;nr_MStartP1,$M$724,$N$724)))</f>
        <v/>
      </c>
      <c r="U731" s="95">
        <f>IF($L$724,$T731,$N731)</f>
        <v/>
      </c>
    </row>
    <row r="732">
      <c r="A732" s="90" t="n">
        <v>6</v>
      </c>
      <c r="B732" s="91">
        <f>EDATE($B731,1)</f>
        <v/>
      </c>
      <c r="C732" s="92">
        <f>EOMONTH($B732,0)</f>
        <v/>
      </c>
      <c r="D732" s="87">
        <f>$C732-$B732+1</f>
        <v/>
      </c>
      <c r="E732" s="87">
        <f>MONTH($B732)</f>
        <v/>
      </c>
      <c r="F732" s="93">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$N732*IF($O$724=1,$O732/$F$724,1)</f>
        <v/>
      </c>
      <c r="T732" s="95">
        <f>IF($G732&lt;nr_MStartP,$S732,$T720*(1+IF($G732&lt;nr_MStartP1,$M$724,$N$724)))</f>
        <v/>
      </c>
      <c r="U732" s="95">
        <f>IF($L$724,$T732,$N732)</f>
        <v/>
      </c>
    </row>
    <row r="733">
      <c r="A733" s="90" t="n">
        <v>7</v>
      </c>
      <c r="B733" s="91">
        <f>EDATE($B732,1)</f>
        <v/>
      </c>
      <c r="C733" s="92">
        <f>EOMONTH($B733,0)</f>
        <v/>
      </c>
      <c r="D733" s="87">
        <f>$C733-$B733+1</f>
        <v/>
      </c>
      <c r="E733" s="87">
        <f>MONTH($B733)</f>
        <v/>
      </c>
      <c r="F733" s="93">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$N733*IF($O$724=1,$O733/$F$724,1)</f>
        <v/>
      </c>
      <c r="T733" s="95">
        <f>IF($G733&lt;nr_MStartP,$S733,$T721*(1+IF($G733&lt;nr_MStartP1,$M$724,$N$724)))</f>
        <v/>
      </c>
      <c r="U733" s="95">
        <f>IF($L$724,$T733,$N733)</f>
        <v/>
      </c>
    </row>
    <row r="734">
      <c r="A734" s="90" t="n">
        <v>8</v>
      </c>
      <c r="B734" s="91">
        <f>EDATE($B733,1)</f>
        <v/>
      </c>
      <c r="C734" s="92">
        <f>EOMONTH($B734,0)</f>
        <v/>
      </c>
      <c r="D734" s="87">
        <f>$C734-$B734+1</f>
        <v/>
      </c>
      <c r="E734" s="87">
        <f>MONTH($B734)</f>
        <v/>
      </c>
      <c r="F734" s="93">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$N734*IF($O$724=1,$O734/$F$724,1)</f>
        <v/>
      </c>
      <c r="T734" s="95">
        <f>IF($G734&lt;nr_MStartP,$S734,$T722*(1+IF($G734&lt;nr_MStartP1,$M$724,$N$724)))</f>
        <v/>
      </c>
      <c r="U734" s="95">
        <f>IF($L$724,$T734,$N734)</f>
        <v/>
      </c>
    </row>
    <row r="735">
      <c r="A735" s="90" t="n">
        <v>9</v>
      </c>
      <c r="B735" s="91">
        <f>EDATE($B734,1)</f>
        <v/>
      </c>
      <c r="C735" s="92">
        <f>EOMONTH($B735,0)</f>
        <v/>
      </c>
      <c r="D735" s="87">
        <f>$C735-$B735+1</f>
        <v/>
      </c>
      <c r="E735" s="87">
        <f>MONTH($B735)</f>
        <v/>
      </c>
      <c r="F735" s="93">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$N735*IF($O$724=1,$O735/$F$724,1)</f>
        <v/>
      </c>
      <c r="T735" s="95">
        <f>IF($G735&lt;nr_MStartP,$S735,$T723*(1+IF($G735&lt;nr_MStartP1,$M$724,$N$724)))</f>
        <v/>
      </c>
      <c r="U735" s="95">
        <f>IF($L$724,$T735,$N735)</f>
        <v/>
      </c>
    </row>
    <row r="736">
      <c r="A736" s="90" t="n">
        <v>10</v>
      </c>
      <c r="B736" s="91">
        <f>EDATE($B735,1)</f>
        <v/>
      </c>
      <c r="C736" s="92">
        <f>EOMONTH($B736,0)</f>
        <v/>
      </c>
      <c r="D736" s="87">
        <f>$C736-$B736+1</f>
        <v/>
      </c>
      <c r="E736" s="87">
        <f>MONTH($B736)</f>
        <v/>
      </c>
      <c r="F736" s="93">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$N736*IF($O$724=1,$O736/$F$724,1)</f>
        <v/>
      </c>
      <c r="T736" s="95">
        <f>IF($G736&lt;nr_MStartP,$S736,$T724*(1+IF($G736&lt;nr_MStartP1,$M$724,$N$724)))</f>
        <v/>
      </c>
      <c r="U736" s="95">
        <f>IF($L$724,$T736,$N736)</f>
        <v/>
      </c>
    </row>
    <row r="737">
      <c r="A737" s="90" t="n">
        <v>11</v>
      </c>
      <c r="B737" s="91">
        <f>EDATE($B736,1)</f>
        <v/>
      </c>
      <c r="C737" s="92">
        <f>EOMONTH($B737,0)</f>
        <v/>
      </c>
      <c r="D737" s="87">
        <f>$C737-$B737+1</f>
        <v/>
      </c>
      <c r="E737" s="87">
        <f>MONTH($B737)</f>
        <v/>
      </c>
      <c r="F737" s="93">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$N737*IF($O$724=1,$O737/$F$724,1)</f>
        <v/>
      </c>
      <c r="T737" s="95">
        <f>IF($G737&lt;nr_MStartP,$S737,$T725*(1+IF($G737&lt;nr_MStartP1,$M$724,$N$724)))</f>
        <v/>
      </c>
      <c r="U737" s="95">
        <f>IF($L$724,$T737,$N737)</f>
        <v/>
      </c>
    </row>
    <row r="738">
      <c r="A738" s="90" t="n">
        <v>12</v>
      </c>
      <c r="B738" s="91">
        <f>EDATE($B737,1)</f>
        <v/>
      </c>
      <c r="C738" s="92">
        <f>EOMONTH($B738,0)</f>
        <v/>
      </c>
      <c r="D738" s="87">
        <f>$C738-$B738+1</f>
        <v/>
      </c>
      <c r="E738" s="87">
        <f>MONTH($B738)</f>
        <v/>
      </c>
      <c r="F738" s="93">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$N738*IF($O$724=1,$O738/$F$724,1)</f>
        <v/>
      </c>
      <c r="T738" s="95">
        <f>IF($G738&lt;nr_MStartP,$S738,$T726*(1+IF($G738&lt;nr_MStartP1,$M$724,$N$724)))</f>
        <v/>
      </c>
      <c r="U738" s="95">
        <f>IF($L$724,$T738,$N738)</f>
        <v/>
      </c>
    </row>
    <row r="739">
      <c r="A739" s="90" t="n">
        <v>13</v>
      </c>
      <c r="B739" s="91">
        <f>EDATE($B738,1)</f>
        <v/>
      </c>
      <c r="C739" s="92">
        <f>EOMONTH($B739,0)</f>
        <v/>
      </c>
      <c r="D739" s="87">
        <f>$C739-$B739+1</f>
        <v/>
      </c>
      <c r="E739" s="87">
        <f>MONTH($B739)</f>
        <v/>
      </c>
      <c r="F739" s="93">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$N739*IF($O$724=1,$O739/$F$724,1)</f>
        <v/>
      </c>
      <c r="T739" s="95">
        <f>IF($G739&lt;nr_MStartP,$S739,$T727*(1+IF($G739&lt;nr_MStartP1,$M$724,$N$724)))</f>
        <v/>
      </c>
      <c r="U739" s="95">
        <f>IF($L$724,$T739,$N739)</f>
        <v/>
      </c>
    </row>
    <row r="740">
      <c r="A740" s="90" t="n">
        <v>14</v>
      </c>
      <c r="B740" s="91">
        <f>EDATE($B739,1)</f>
        <v/>
      </c>
      <c r="C740" s="92">
        <f>EOMONTH($B740,0)</f>
        <v/>
      </c>
      <c r="D740" s="87">
        <f>$C740-$B740+1</f>
        <v/>
      </c>
      <c r="E740" s="87">
        <f>MONTH($B740)</f>
        <v/>
      </c>
      <c r="F740" s="93">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$N740*IF($O$724=1,$O740/$F$724,1)</f>
        <v/>
      </c>
      <c r="T740" s="95">
        <f>IF($G740&lt;nr_MStartP,$S740,$T728*(1+IF($G740&lt;nr_MStartP1,$M$724,$N$724)))</f>
        <v/>
      </c>
      <c r="U740" s="95">
        <f>IF($L$724,$T740,$N740)</f>
        <v/>
      </c>
    </row>
    <row r="741">
      <c r="A741" s="90" t="n">
        <v>15</v>
      </c>
      <c r="B741" s="91">
        <f>EDATE($B740,1)</f>
        <v/>
      </c>
      <c r="C741" s="92">
        <f>EOMONTH($B741,0)</f>
        <v/>
      </c>
      <c r="D741" s="87">
        <f>$C741-$B741+1</f>
        <v/>
      </c>
      <c r="E741" s="87">
        <f>MONTH($B741)</f>
        <v/>
      </c>
      <c r="F741" s="93">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$N741*IF($O$724=1,$O741/$F$724,1)</f>
        <v/>
      </c>
      <c r="T741" s="95">
        <f>IF($G741&lt;nr_MStartP,$S741,$T729*(1+IF($G741&lt;nr_MStartP1,$M$724,$N$724)))</f>
        <v/>
      </c>
      <c r="U741" s="95">
        <f>IF($L$724,$T741,$N741)</f>
        <v/>
      </c>
    </row>
    <row r="742">
      <c r="A742" s="90" t="n">
        <v>16</v>
      </c>
      <c r="B742" s="91">
        <f>EDATE($B741,1)</f>
        <v/>
      </c>
      <c r="C742" s="92">
        <f>EOMONTH($B742,0)</f>
        <v/>
      </c>
      <c r="D742" s="87">
        <f>$C742-$B742+1</f>
        <v/>
      </c>
      <c r="E742" s="87">
        <f>MONTH($B742)</f>
        <v/>
      </c>
      <c r="F742" s="93">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$N742*IF($O$724=1,$O742/$F$724,1)</f>
        <v/>
      </c>
      <c r="T742" s="95">
        <f>IF($G742&lt;nr_MStartP,$S742,$T730*(1+IF($G742&lt;nr_MStartP1,$M$724,$N$724)))</f>
        <v/>
      </c>
      <c r="U742" s="95">
        <f>IF($L$724,$T742,$N742)</f>
        <v/>
      </c>
    </row>
    <row r="743">
      <c r="A743" s="90" t="n">
        <v>17</v>
      </c>
      <c r="B743" s="91">
        <f>EDATE($B742,1)</f>
        <v/>
      </c>
      <c r="C743" s="92">
        <f>EOMONTH($B743,0)</f>
        <v/>
      </c>
      <c r="D743" s="87">
        <f>$C743-$B743+1</f>
        <v/>
      </c>
      <c r="E743" s="87">
        <f>MONTH($B743)</f>
        <v/>
      </c>
      <c r="F743" s="93">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$N743*IF($O$724=1,$O743/$F$724,1)</f>
        <v/>
      </c>
      <c r="T743" s="95">
        <f>IF($G743&lt;nr_MStartP,$S743,$T731*(1+IF($G743&lt;nr_MStartP1,$M$724,$N$724)))</f>
        <v/>
      </c>
      <c r="U743" s="95">
        <f>IF($L$724,$T743,$N743)</f>
        <v/>
      </c>
    </row>
    <row r="744">
      <c r="A744" s="90" t="n">
        <v>18</v>
      </c>
      <c r="B744" s="91">
        <f>EDATE($B743,1)</f>
        <v/>
      </c>
      <c r="C744" s="92">
        <f>EOMONTH($B744,0)</f>
        <v/>
      </c>
      <c r="D744" s="87">
        <f>$C744-$B744+1</f>
        <v/>
      </c>
      <c r="E744" s="87">
        <f>MONTH($B744)</f>
        <v/>
      </c>
      <c r="F744" s="93">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$N744*IF($O$724=1,$O744/$F$724,1)</f>
        <v/>
      </c>
      <c r="T744" s="95">
        <f>IF($G744&lt;nr_MStartP,$S744,$T732*(1+IF($G744&lt;nr_MStartP1,$M$724,$N$724)))</f>
        <v/>
      </c>
      <c r="U744" s="95">
        <f>IF($L$724,$T744,$N744)</f>
        <v/>
      </c>
    </row>
    <row r="745">
      <c r="A745" s="90" t="n">
        <v>19</v>
      </c>
      <c r="B745" s="91">
        <f>EDATE($B744,1)</f>
        <v/>
      </c>
      <c r="C745" s="92">
        <f>EOMONTH($B745,0)</f>
        <v/>
      </c>
      <c r="D745" s="87">
        <f>$C745-$B745+1</f>
        <v/>
      </c>
      <c r="E745" s="87">
        <f>MONTH($B745)</f>
        <v/>
      </c>
      <c r="F745" s="93">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$N745*IF($O$724=1,$O745/$F$724,1)</f>
        <v/>
      </c>
      <c r="T745" s="95">
        <f>IF($G745&lt;nr_MStartP,$S745,$T733*(1+IF($G745&lt;nr_MStartP1,$M$724,$N$724)))</f>
        <v/>
      </c>
      <c r="U745" s="95">
        <f>IF($L$724,$T745,$N745)</f>
        <v/>
      </c>
    </row>
    <row r="746">
      <c r="A746" s="90" t="n">
        <v>20</v>
      </c>
      <c r="B746" s="91">
        <f>EDATE($B745,1)</f>
        <v/>
      </c>
      <c r="C746" s="92">
        <f>EOMONTH($B746,0)</f>
        <v/>
      </c>
      <c r="D746" s="87">
        <f>$C746-$B746+1</f>
        <v/>
      </c>
      <c r="E746" s="87">
        <f>MONTH($B746)</f>
        <v/>
      </c>
      <c r="F746" s="93">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$N746*IF($O$724=1,$O746/$F$724,1)</f>
        <v/>
      </c>
      <c r="T746" s="95">
        <f>IF($G746&lt;nr_MStartP,$S746,$T734*(1+IF($G746&lt;nr_MStartP1,$M$724,$N$724)))</f>
        <v/>
      </c>
      <c r="U746" s="95">
        <f>IF($L$724,$T746,$N746)</f>
        <v/>
      </c>
    </row>
    <row r="747">
      <c r="A747" s="90" t="n">
        <v>21</v>
      </c>
      <c r="B747" s="91">
        <f>EDATE($B746,1)</f>
        <v/>
      </c>
      <c r="C747" s="92">
        <f>EOMONTH($B747,0)</f>
        <v/>
      </c>
      <c r="D747" s="87">
        <f>$C747-$B747+1</f>
        <v/>
      </c>
      <c r="E747" s="87">
        <f>MONTH($B747)</f>
        <v/>
      </c>
      <c r="F747" s="93">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$N747*IF($O$724=1,$O747/$F$724,1)</f>
        <v/>
      </c>
      <c r="T747" s="95">
        <f>IF($G747&lt;nr_MStartP,$S747,$T735*(1+IF($G747&lt;nr_MStartP1,$M$724,$N$724)))</f>
        <v/>
      </c>
      <c r="U747" s="95">
        <f>IF($L$724,$T747,$N747)</f>
        <v/>
      </c>
    </row>
    <row r="748">
      <c r="A748" s="90" t="n">
        <v>22</v>
      </c>
      <c r="B748" s="91">
        <f>EDATE($B747,1)</f>
        <v/>
      </c>
      <c r="C748" s="92">
        <f>EOMONTH($B748,0)</f>
        <v/>
      </c>
      <c r="D748" s="87">
        <f>$C748-$B748+1</f>
        <v/>
      </c>
      <c r="E748" s="87">
        <f>MONTH($B748)</f>
        <v/>
      </c>
      <c r="F748" s="93">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$N748*IF($O$724=1,$O748/$F$724,1)</f>
        <v/>
      </c>
      <c r="T748" s="95">
        <f>IF($G748&lt;nr_MStartP,$S748,$T736*(1+IF($G748&lt;nr_MStartP1,$M$724,$N$724)))</f>
        <v/>
      </c>
      <c r="U748" s="95">
        <f>IF($L$724,$T748,$N748)</f>
        <v/>
      </c>
    </row>
    <row r="749">
      <c r="A749" s="90" t="n">
        <v>23</v>
      </c>
      <c r="B749" s="91">
        <f>EDATE($B748,1)</f>
        <v/>
      </c>
      <c r="C749" s="92">
        <f>EOMONTH($B749,0)</f>
        <v/>
      </c>
      <c r="D749" s="87">
        <f>$C749-$B749+1</f>
        <v/>
      </c>
      <c r="E749" s="87">
        <f>MONTH($B749)</f>
        <v/>
      </c>
      <c r="F749" s="93">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$N749*IF($O$724=1,$O749/$F$724,1)</f>
        <v/>
      </c>
      <c r="T749" s="95">
        <f>IF($G749&lt;nr_MStartP,$S749,$T737*(1+IF($G749&lt;nr_MStartP1,$M$724,$N$724)))</f>
        <v/>
      </c>
      <c r="U749" s="95">
        <f>IF($L$724,$T749,$N749)</f>
        <v/>
      </c>
    </row>
    <row r="750">
      <c r="A750" s="90" t="n">
        <v>24</v>
      </c>
      <c r="B750" s="91">
        <f>EDATE($B749,1)</f>
        <v/>
      </c>
      <c r="C750" s="92">
        <f>EOMONTH($B750,0)</f>
        <v/>
      </c>
      <c r="D750" s="87">
        <f>$C750-$B750+1</f>
        <v/>
      </c>
      <c r="E750" s="87">
        <f>MONTH($B750)</f>
        <v/>
      </c>
      <c r="F750" s="93">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$N750*IF($O$724=1,$O750/$F$724,1)</f>
        <v/>
      </c>
      <c r="T750" s="95">
        <f>IF($G750&lt;nr_MStartP,$S750,$T738*(1+IF($G750&lt;nr_MStartP1,$M$724,$N$724)))</f>
        <v/>
      </c>
      <c r="U750" s="95">
        <f>IF($L$724,$T750,$N750)</f>
        <v/>
      </c>
    </row>
    <row r="751">
      <c r="A751" s="90" t="n">
        <v>25</v>
      </c>
      <c r="B751" s="91">
        <f>EDATE($B750,1)</f>
        <v/>
      </c>
      <c r="C751" s="92">
        <f>EOMONTH($B751,0)</f>
        <v/>
      </c>
      <c r="D751" s="87">
        <f>$C751-$B751+1</f>
        <v/>
      </c>
      <c r="E751" s="87">
        <f>MONTH($B751)</f>
        <v/>
      </c>
      <c r="F751" s="93">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$N751*IF($O$724=1,$O751/$F$724,1)</f>
        <v/>
      </c>
      <c r="T751" s="95">
        <f>IF($G751&lt;nr_MStartP,$S751,$T739*(1+IF($G751&lt;nr_MStartP1,$M$724,$N$724)))</f>
        <v/>
      </c>
      <c r="U751" s="95">
        <f>IF($L$724,$T751,$N751)</f>
        <v/>
      </c>
    </row>
    <row r="752">
      <c r="A752" s="90" t="n">
        <v>26</v>
      </c>
      <c r="B752" s="91">
        <f>EDATE($B751,1)</f>
        <v/>
      </c>
      <c r="C752" s="92">
        <f>EOMONTH($B752,0)</f>
        <v/>
      </c>
      <c r="D752" s="87">
        <f>$C752-$B752+1</f>
        <v/>
      </c>
      <c r="E752" s="87">
        <f>MONTH($B752)</f>
        <v/>
      </c>
      <c r="F752" s="93">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$N752*IF($O$724=1,$O752/$F$724,1)</f>
        <v/>
      </c>
      <c r="T752" s="95">
        <f>IF($G752&lt;nr_MStartP,$S752,$T740*(1+IF($G752&lt;nr_MStartP1,$M$724,$N$724)))</f>
        <v/>
      </c>
      <c r="U752" s="95">
        <f>IF($L$724,$T752,$N752)</f>
        <v/>
      </c>
    </row>
    <row r="753">
      <c r="A753" s="90" t="n">
        <v>27</v>
      </c>
      <c r="B753" s="91">
        <f>EDATE($B752,1)</f>
        <v/>
      </c>
      <c r="C753" s="92">
        <f>EOMONTH($B753,0)</f>
        <v/>
      </c>
      <c r="D753" s="87">
        <f>$C753-$B753+1</f>
        <v/>
      </c>
      <c r="E753" s="87">
        <f>MONTH($B753)</f>
        <v/>
      </c>
      <c r="F753" s="93">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$N753*IF($O$724=1,$O753/$F$724,1)</f>
        <v/>
      </c>
      <c r="T753" s="95">
        <f>IF($G753&lt;nr_MStartP,$S753,$T741*(1+IF($G753&lt;nr_MStartP1,$M$724,$N$724)))</f>
        <v/>
      </c>
      <c r="U753" s="95">
        <f>IF($L$724,$T753,$N753)</f>
        <v/>
      </c>
    </row>
    <row r="754">
      <c r="A754" s="90" t="n">
        <v>28</v>
      </c>
      <c r="B754" s="91">
        <f>EDATE($B753,1)</f>
        <v/>
      </c>
      <c r="C754" s="92">
        <f>EOMONTH($B754,0)</f>
        <v/>
      </c>
      <c r="D754" s="87">
        <f>$C754-$B754+1</f>
        <v/>
      </c>
      <c r="E754" s="87">
        <f>MONTH($B754)</f>
        <v/>
      </c>
      <c r="F754" s="93">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$N754*IF($O$724=1,$O754/$F$724,1)</f>
        <v/>
      </c>
      <c r="T754" s="95">
        <f>IF($G754&lt;nr_MStartP,$S754,$T742*(1+IF($G754&lt;nr_MStartP1,$M$724,$N$724)))</f>
        <v/>
      </c>
      <c r="U754" s="95">
        <f>IF($L$724,$T754,$N754)</f>
        <v/>
      </c>
    </row>
    <row r="755">
      <c r="A755" s="90" t="n">
        <v>29</v>
      </c>
      <c r="B755" s="91">
        <f>EDATE($B754,1)</f>
        <v/>
      </c>
      <c r="C755" s="92">
        <f>EOMONTH($B755,0)</f>
        <v/>
      </c>
      <c r="D755" s="87">
        <f>$C755-$B755+1</f>
        <v/>
      </c>
      <c r="E755" s="87">
        <f>MONTH($B755)</f>
        <v/>
      </c>
      <c r="F755" s="93">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$N755*IF($O$724=1,$O755/$F$724,1)</f>
        <v/>
      </c>
      <c r="T755" s="95">
        <f>IF($G755&lt;nr_MStartP,$S755,$T743*(1+IF($G755&lt;nr_MStartP1,$M$724,$N$724)))</f>
        <v/>
      </c>
      <c r="U755" s="95">
        <f>IF($L$724,$T755,$N755)</f>
        <v/>
      </c>
    </row>
    <row r="756">
      <c r="A756" s="90" t="n">
        <v>30</v>
      </c>
      <c r="B756" s="91">
        <f>EDATE($B755,1)</f>
        <v/>
      </c>
      <c r="C756" s="92">
        <f>EOMONTH($B756,0)</f>
        <v/>
      </c>
      <c r="D756" s="87">
        <f>$C756-$B756+1</f>
        <v/>
      </c>
      <c r="E756" s="87">
        <f>MONTH($B756)</f>
        <v/>
      </c>
      <c r="F756" s="93">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$N756*IF($O$724=1,$O756/$F$724,1)</f>
        <v/>
      </c>
      <c r="T756" s="95">
        <f>IF($G756&lt;nr_MStartP,$S756,$T744*(1+IF($G756&lt;nr_MStartP1,$M$724,$N$724)))</f>
        <v/>
      </c>
      <c r="U756" s="95">
        <f>IF($L$724,$T756,$N756)</f>
        <v/>
      </c>
    </row>
    <row r="757">
      <c r="A757" s="90" t="n">
        <v>31</v>
      </c>
      <c r="B757" s="91">
        <f>EDATE($B756,1)</f>
        <v/>
      </c>
      <c r="C757" s="92">
        <f>EOMONTH($B757,0)</f>
        <v/>
      </c>
      <c r="D757" s="87">
        <f>$C757-$B757+1</f>
        <v/>
      </c>
      <c r="E757" s="87">
        <f>MONTH($B757)</f>
        <v/>
      </c>
      <c r="F757" s="93">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$N757*IF($O$724=1,$O757/$F$724,1)</f>
        <v/>
      </c>
      <c r="T757" s="95">
        <f>IF($G757&lt;nr_MStartP,$S757,$T745*(1+IF($G757&lt;nr_MStartP1,$M$724,$N$724)))</f>
        <v/>
      </c>
      <c r="U757" s="95">
        <f>IF($L$724,$T757,$N757)</f>
        <v/>
      </c>
    </row>
    <row r="758">
      <c r="A758" s="90" t="n">
        <v>32</v>
      </c>
      <c r="B758" s="91">
        <f>EDATE($B757,1)</f>
        <v/>
      </c>
      <c r="C758" s="92">
        <f>EOMONTH($B758,0)</f>
        <v/>
      </c>
      <c r="D758" s="87">
        <f>$C758-$B758+1</f>
        <v/>
      </c>
      <c r="E758" s="87">
        <f>MONTH($B758)</f>
        <v/>
      </c>
      <c r="F758" s="93">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$N758*IF($O$724=1,$O758/$F$724,1)</f>
        <v/>
      </c>
      <c r="T758" s="95">
        <f>IF($G758&lt;nr_MStartP,$S758,$T746*(1+IF($G758&lt;nr_MStartP1,$M$724,$N$724)))</f>
        <v/>
      </c>
      <c r="U758" s="95">
        <f>IF($L$724,$T758,$N758)</f>
        <v/>
      </c>
    </row>
    <row r="759">
      <c r="A759" s="90" t="n">
        <v>33</v>
      </c>
      <c r="B759" s="91">
        <f>EDATE($B758,1)</f>
        <v/>
      </c>
      <c r="C759" s="92">
        <f>EOMONTH($B759,0)</f>
        <v/>
      </c>
      <c r="D759" s="87">
        <f>$C759-$B759+1</f>
        <v/>
      </c>
      <c r="E759" s="87">
        <f>MONTH($B759)</f>
        <v/>
      </c>
      <c r="F759" s="93">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$N759*IF($O$724=1,$O759/$F$724,1)</f>
        <v/>
      </c>
      <c r="T759" s="95">
        <f>IF($G759&lt;nr_MStartP,$S759,$T747*(1+IF($G759&lt;nr_MStartP1,$M$724,$N$724)))</f>
        <v/>
      </c>
      <c r="U759" s="95">
        <f>IF($L$724,$T759,$N759)</f>
        <v/>
      </c>
    </row>
    <row r="760">
      <c r="A760" s="90" t="n">
        <v>34</v>
      </c>
      <c r="B760" s="91">
        <f>EDATE($B759,1)</f>
        <v/>
      </c>
      <c r="C760" s="92">
        <f>EOMONTH($B760,0)</f>
        <v/>
      </c>
      <c r="D760" s="87">
        <f>$C760-$B760+1</f>
        <v/>
      </c>
      <c r="E760" s="87">
        <f>MONTH($B760)</f>
        <v/>
      </c>
      <c r="F760" s="93">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$N760*IF($O$724=1,$O760/$F$724,1)</f>
        <v/>
      </c>
      <c r="T760" s="95">
        <f>IF($G760&lt;nr_MStartP,$S760,$T748*(1+IF($G760&lt;nr_MStartP1,$M$724,$N$724)))</f>
        <v/>
      </c>
      <c r="U760" s="95">
        <f>IF($L$724,$T760,$N760)</f>
        <v/>
      </c>
    </row>
    <row r="761">
      <c r="A761" s="90" t="n">
        <v>35</v>
      </c>
      <c r="B761" s="91">
        <f>EDATE($B760,1)</f>
        <v/>
      </c>
      <c r="C761" s="92">
        <f>EOMONTH($B761,0)</f>
        <v/>
      </c>
      <c r="D761" s="87">
        <f>$C761-$B761+1</f>
        <v/>
      </c>
      <c r="E761" s="87">
        <f>MONTH($B761)</f>
        <v/>
      </c>
      <c r="F761" s="93">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$N761*IF($O$724=1,$O761/$F$724,1)</f>
        <v/>
      </c>
      <c r="T761" s="95">
        <f>IF($G761&lt;nr_MStartP,$S761,$T749*(1+IF($G761&lt;nr_MStartP1,$M$724,$N$724)))</f>
        <v/>
      </c>
      <c r="U761" s="95">
        <f>IF($L$724,$T761,$N761)</f>
        <v/>
      </c>
    </row>
    <row r="762">
      <c r="A762" s="90" t="n">
        <v>36</v>
      </c>
      <c r="B762" s="91">
        <f>EDATE($B761,1)</f>
        <v/>
      </c>
      <c r="C762" s="92">
        <f>EOMONTH($B762,0)</f>
        <v/>
      </c>
      <c r="D762" s="87">
        <f>$C762-$B762+1</f>
        <v/>
      </c>
      <c r="E762" s="87">
        <f>MONTH($B762)</f>
        <v/>
      </c>
      <c r="F762" s="93">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$N762*IF($O$724=1,$O762/$F$724,1)</f>
        <v/>
      </c>
      <c r="T762" s="95">
        <f>IF($G762&lt;nr_MStartP,$S762,$T750*(1+IF($G762&lt;nr_MStartP1,$M$724,$N$724)))</f>
        <v/>
      </c>
      <c r="U762" s="95">
        <f>IF($L$724,$T762,$N762)</f>
        <v/>
      </c>
    </row>
    <row r="763">
      <c r="A763" s="90" t="n">
        <v>37</v>
      </c>
      <c r="B763" s="91">
        <f>EDATE($B762,1)</f>
        <v/>
      </c>
      <c r="C763" s="92">
        <f>EOMONTH($B763,0)</f>
        <v/>
      </c>
      <c r="D763" s="87">
        <f>$C763-$B763+1</f>
        <v/>
      </c>
      <c r="E763" s="87">
        <f>MONTH($B763)</f>
        <v/>
      </c>
      <c r="F763" s="93">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$N763*IF($O$724=1,$O763/$F$724,1)</f>
        <v/>
      </c>
      <c r="T763" s="95">
        <f>IF($G763&lt;nr_MStartP,$S763,$T751*(1+IF($G763&lt;nr_MStartP1,$M$724,$N$724)))</f>
        <v/>
      </c>
      <c r="U763" s="95">
        <f>IF($L$724,$T763,$N763)</f>
        <v/>
      </c>
    </row>
    <row r="764">
      <c r="A764" s="90" t="n">
        <v>38</v>
      </c>
      <c r="B764" s="91">
        <f>EDATE($B763,1)</f>
        <v/>
      </c>
      <c r="C764" s="92">
        <f>EOMONTH($B764,0)</f>
        <v/>
      </c>
      <c r="D764" s="87">
        <f>$C764-$B764+1</f>
        <v/>
      </c>
      <c r="E764" s="87">
        <f>MONTH($B764)</f>
        <v/>
      </c>
      <c r="F764" s="93">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$N764*IF($O$724=1,$O764/$F$724,1)</f>
        <v/>
      </c>
      <c r="T764" s="95">
        <f>IF($G764&lt;nr_MStartP,$S764,$T752*(1+IF($G764&lt;nr_MStartP1,$M$724,$N$724)))</f>
        <v/>
      </c>
      <c r="U764" s="95">
        <f>IF($L$724,$T764,$N764)</f>
        <v/>
      </c>
    </row>
    <row r="765">
      <c r="A765" s="90" t="n">
        <v>39</v>
      </c>
      <c r="B765" s="91">
        <f>EDATE($B764,1)</f>
        <v/>
      </c>
      <c r="C765" s="92">
        <f>EOMONTH($B765,0)</f>
        <v/>
      </c>
      <c r="D765" s="87">
        <f>$C765-$B765+1</f>
        <v/>
      </c>
      <c r="E765" s="87">
        <f>MONTH($B765)</f>
        <v/>
      </c>
      <c r="F765" s="93">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$N765*IF($O$724=1,$O765/$F$724,1)</f>
        <v/>
      </c>
      <c r="T765" s="95">
        <f>IF($G765&lt;nr_MStartP,$S765,$T753*(1+IF($G765&lt;nr_MStartP1,$M$724,$N$724)))</f>
        <v/>
      </c>
      <c r="U765" s="95">
        <f>IF($L$724,$T765,$N765)</f>
        <v/>
      </c>
    </row>
    <row r="766">
      <c r="A766" s="90" t="n">
        <v>40</v>
      </c>
      <c r="B766" s="91">
        <f>EDATE($B765,1)</f>
        <v/>
      </c>
      <c r="C766" s="92">
        <f>EOMONTH($B766,0)</f>
        <v/>
      </c>
      <c r="D766" s="87">
        <f>$C766-$B766+1</f>
        <v/>
      </c>
      <c r="E766" s="87">
        <f>MONTH($B766)</f>
        <v/>
      </c>
      <c r="F766" s="93">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$N766*IF($O$724=1,$O766/$F$724,1)</f>
        <v/>
      </c>
      <c r="T766" s="95">
        <f>IF($G766&lt;nr_MStartP,$S766,$T754*(1+IF($G766&lt;nr_MStartP1,$M$724,$N$724)))</f>
        <v/>
      </c>
      <c r="U766" s="95">
        <f>IF($L$724,$T766,$N766)</f>
        <v/>
      </c>
    </row>
    <row r="767">
      <c r="A767" s="90" t="n">
        <v>41</v>
      </c>
      <c r="B767" s="91">
        <f>EDATE($B766,1)</f>
        <v/>
      </c>
      <c r="C767" s="92">
        <f>EOMONTH($B767,0)</f>
        <v/>
      </c>
      <c r="D767" s="87">
        <f>$C767-$B767+1</f>
        <v/>
      </c>
      <c r="E767" s="87">
        <f>MONTH($B767)</f>
        <v/>
      </c>
      <c r="F767" s="93">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$N767*IF($O$724=1,$O767/$F$724,1)</f>
        <v/>
      </c>
      <c r="T767" s="95">
        <f>IF($G767&lt;nr_MStartP,$S767,$T755*(1+IF($G767&lt;nr_MStartP1,$M$724,$N$724)))</f>
        <v/>
      </c>
      <c r="U767" s="95">
        <f>IF($L$724,$T767,$N767)</f>
        <v/>
      </c>
    </row>
    <row r="768">
      <c r="A768" s="90" t="n">
        <v>42</v>
      </c>
      <c r="B768" s="91">
        <f>EDATE($B767,1)</f>
        <v/>
      </c>
      <c r="C768" s="92">
        <f>EOMONTH($B768,0)</f>
        <v/>
      </c>
      <c r="D768" s="87">
        <f>$C768-$B768+1</f>
        <v/>
      </c>
      <c r="E768" s="87">
        <f>MONTH($B768)</f>
        <v/>
      </c>
      <c r="F768" s="93">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$N768*IF($O$724=1,$O768/$F$724,1)</f>
        <v/>
      </c>
      <c r="T768" s="95">
        <f>IF($G768&lt;nr_MStartP,$S768,$T756*(1+IF($G768&lt;nr_MStartP1,$M$724,$N$724)))</f>
        <v/>
      </c>
      <c r="U768" s="95">
        <f>IF($L$724,$T768,$N768)</f>
        <v/>
      </c>
    </row>
    <row r="769">
      <c r="A769" s="90" t="n">
        <v>43</v>
      </c>
      <c r="B769" s="91">
        <f>EDATE($B768,1)</f>
        <v/>
      </c>
      <c r="C769" s="92">
        <f>EOMONTH($B769,0)</f>
        <v/>
      </c>
      <c r="D769" s="87">
        <f>$C769-$B769+1</f>
        <v/>
      </c>
      <c r="E769" s="87">
        <f>MONTH($B769)</f>
        <v/>
      </c>
      <c r="F769" s="93">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$N769*IF($O$724=1,$O769/$F$724,1)</f>
        <v/>
      </c>
      <c r="T769" s="95">
        <f>IF($G769&lt;nr_MStartP,$S769,$T757*(1+IF($G769&lt;nr_MStartP1,$M$724,$N$724)))</f>
        <v/>
      </c>
      <c r="U769" s="95">
        <f>IF($L$724,$T769,$N769)</f>
        <v/>
      </c>
    </row>
    <row r="770">
      <c r="A770" s="90" t="n">
        <v>44</v>
      </c>
      <c r="B770" s="91">
        <f>EDATE($B769,1)</f>
        <v/>
      </c>
      <c r="C770" s="92">
        <f>EOMONTH($B770,0)</f>
        <v/>
      </c>
      <c r="D770" s="87">
        <f>$C770-$B770+1</f>
        <v/>
      </c>
      <c r="E770" s="87">
        <f>MONTH($B770)</f>
        <v/>
      </c>
      <c r="F770" s="93">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$N770*IF($O$724=1,$O770/$F$724,1)</f>
        <v/>
      </c>
      <c r="T770" s="95">
        <f>IF($G770&lt;nr_MStartP,$S770,$T758*(1+IF($G770&lt;nr_MStartP1,$M$724,$N$724)))</f>
        <v/>
      </c>
      <c r="U770" s="95">
        <f>IF($L$724,$T770,$N770)</f>
        <v/>
      </c>
    </row>
    <row r="771">
      <c r="A771" s="90" t="n">
        <v>45</v>
      </c>
      <c r="B771" s="91">
        <f>EDATE($B770,1)</f>
        <v/>
      </c>
      <c r="C771" s="92">
        <f>EOMONTH($B771,0)</f>
        <v/>
      </c>
      <c r="D771" s="87">
        <f>$C771-$B771+1</f>
        <v/>
      </c>
      <c r="E771" s="87">
        <f>MONTH($B771)</f>
        <v/>
      </c>
      <c r="F771" s="93">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$N771*IF($O$724=1,$O771/$F$724,1)</f>
        <v/>
      </c>
      <c r="T771" s="95">
        <f>IF($G771&lt;nr_MStartP,$S771,$T759*(1+IF($G771&lt;nr_MStartP1,$M$724,$N$724)))</f>
        <v/>
      </c>
      <c r="U771" s="95">
        <f>IF($L$724,$T771,$N771)</f>
        <v/>
      </c>
    </row>
    <row r="772">
      <c r="A772" s="90" t="n">
        <v>46</v>
      </c>
      <c r="B772" s="91">
        <f>EDATE($B771,1)</f>
        <v/>
      </c>
      <c r="C772" s="92">
        <f>EOMONTH($B772,0)</f>
        <v/>
      </c>
      <c r="D772" s="87">
        <f>$C772-$B772+1</f>
        <v/>
      </c>
      <c r="E772" s="87">
        <f>MONTH($B772)</f>
        <v/>
      </c>
      <c r="F772" s="93">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$N772*IF($O$724=1,$O772/$F$724,1)</f>
        <v/>
      </c>
      <c r="T772" s="95">
        <f>IF($G772&lt;nr_MStartP,$S772,$T760*(1+IF($G772&lt;nr_MStartP1,$M$724,$N$724)))</f>
        <v/>
      </c>
      <c r="U772" s="95">
        <f>IF($L$724,$T772,$N772)</f>
        <v/>
      </c>
    </row>
    <row r="773">
      <c r="A773" s="90" t="n">
        <v>47</v>
      </c>
      <c r="B773" s="91">
        <f>EDATE($B772,1)</f>
        <v/>
      </c>
      <c r="C773" s="92">
        <f>EOMONTH($B773,0)</f>
        <v/>
      </c>
      <c r="D773" s="87">
        <f>$C773-$B773+1</f>
        <v/>
      </c>
      <c r="E773" s="87">
        <f>MONTH($B773)</f>
        <v/>
      </c>
      <c r="F773" s="93">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$N773*IF($O$724=1,$O773/$F$724,1)</f>
        <v/>
      </c>
      <c r="T773" s="95">
        <f>IF($G773&lt;nr_MStartP,$S773,$T761*(1+IF($G773&lt;nr_MStartP1,$M$724,$N$724)))</f>
        <v/>
      </c>
      <c r="U773" s="95">
        <f>IF($L$724,$T773,$N773)</f>
        <v/>
      </c>
    </row>
    <row r="774">
      <c r="A774" s="90" t="n">
        <v>48</v>
      </c>
      <c r="B774" s="91">
        <f>EDATE($B773,1)</f>
        <v/>
      </c>
      <c r="C774" s="92">
        <f>EOMONTH($B774,0)</f>
        <v/>
      </c>
      <c r="D774" s="87">
        <f>$C774-$B774+1</f>
        <v/>
      </c>
      <c r="E774" s="87">
        <f>MONTH($B774)</f>
        <v/>
      </c>
      <c r="F774" s="93">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$N774*IF($O$724=1,$O774/$F$724,1)</f>
        <v/>
      </c>
      <c r="T774" s="95">
        <f>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04">
        <f>SUMPRODUCT($H$727:$H$774,$Q$727:$Q$774,$O$727:$O$774)/SUMPRODUCT($H$727:$H$774,$Q$727:$Q$774)</f>
        <v/>
      </c>
      <c r="G775" s="20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04">
        <f>IF(N(INDEX(lr_mind,14))=0,1,INDEX(lr_mind,14))</f>
        <v/>
      </c>
      <c r="G778" s="204">
        <f>IF(N(INDEX(lr_m0,14))=0,1,INDEX(lr_m0,14))</f>
        <v/>
      </c>
      <c r="H778" s="73">
        <f>IF(N(INDEX(lr_m0asof,14))=0,DATE(nr_PlanYear-1,10,1),INDEX(lr_m0asof,14))</f>
        <v/>
      </c>
      <c r="I778" s="204">
        <f>IF(N(INDEX(lr_m1,14))=0,1,INDEX(lr_m1,14))</f>
        <v/>
      </c>
      <c r="J778" s="204">
        <f>INDEX(lr_mprior,14)</f>
        <v/>
      </c>
      <c r="K778" s="20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93">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$N781*IF($O$778=1,$O781/$F$778,1)</f>
        <v/>
      </c>
      <c r="T781" s="95">
        <f>IF($G781&lt;nr_MStartP,$S781,$T769*(1+IF($G781&lt;nr_MStartP1,$M$778,$N$778)))</f>
        <v/>
      </c>
      <c r="U781" s="95">
        <f>IF($L$778,$T781,$N781)</f>
        <v/>
      </c>
    </row>
    <row r="782">
      <c r="A782" s="90" t="n">
        <v>2</v>
      </c>
      <c r="B782" s="91">
        <f>EDATE($B781,1)</f>
        <v/>
      </c>
      <c r="C782" s="92">
        <f>EOMONTH($B782,0)</f>
        <v/>
      </c>
      <c r="D782" s="87">
        <f>$C782-$B782+1</f>
        <v/>
      </c>
      <c r="E782" s="87">
        <f>MONTH($B782)</f>
        <v/>
      </c>
      <c r="F782" s="93">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$N782*IF($O$778=1,$O782/$F$778,1)</f>
        <v/>
      </c>
      <c r="T782" s="95">
        <f>IF($G782&lt;nr_MStartP,$S782,$T770*(1+IF($G782&lt;nr_MStartP1,$M$778,$N$778)))</f>
        <v/>
      </c>
      <c r="U782" s="95">
        <f>IF($L$778,$T782,$N782)</f>
        <v/>
      </c>
    </row>
    <row r="783">
      <c r="A783" s="90" t="n">
        <v>3</v>
      </c>
      <c r="B783" s="91">
        <f>EDATE($B782,1)</f>
        <v/>
      </c>
      <c r="C783" s="92">
        <f>EOMONTH($B783,0)</f>
        <v/>
      </c>
      <c r="D783" s="87">
        <f>$C783-$B783+1</f>
        <v/>
      </c>
      <c r="E783" s="87">
        <f>MONTH($B783)</f>
        <v/>
      </c>
      <c r="F783" s="93">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$N783*IF($O$778=1,$O783/$F$778,1)</f>
        <v/>
      </c>
      <c r="T783" s="95">
        <f>IF($G783&lt;nr_MStartP,$S783,$T771*(1+IF($G783&lt;nr_MStartP1,$M$778,$N$778)))</f>
        <v/>
      </c>
      <c r="U783" s="95">
        <f>IF($L$778,$T783,$N783)</f>
        <v/>
      </c>
    </row>
    <row r="784">
      <c r="A784" s="90" t="n">
        <v>4</v>
      </c>
      <c r="B784" s="91">
        <f>EDATE($B783,1)</f>
        <v/>
      </c>
      <c r="C784" s="92">
        <f>EOMONTH($B784,0)</f>
        <v/>
      </c>
      <c r="D784" s="87">
        <f>$C784-$B784+1</f>
        <v/>
      </c>
      <c r="E784" s="87">
        <f>MONTH($B784)</f>
        <v/>
      </c>
      <c r="F784" s="93">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$N784*IF($O$778=1,$O784/$F$778,1)</f>
        <v/>
      </c>
      <c r="T784" s="95">
        <f>IF($G784&lt;nr_MStartP,$S784,$T772*(1+IF($G784&lt;nr_MStartP1,$M$778,$N$778)))</f>
        <v/>
      </c>
      <c r="U784" s="95">
        <f>IF($L$778,$T784,$N784)</f>
        <v/>
      </c>
    </row>
    <row r="785">
      <c r="A785" s="90" t="n">
        <v>5</v>
      </c>
      <c r="B785" s="91">
        <f>EDATE($B784,1)</f>
        <v/>
      </c>
      <c r="C785" s="92">
        <f>EOMONTH($B785,0)</f>
        <v/>
      </c>
      <c r="D785" s="87">
        <f>$C785-$B785+1</f>
        <v/>
      </c>
      <c r="E785" s="87">
        <f>MONTH($B785)</f>
        <v/>
      </c>
      <c r="F785" s="93">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$N785*IF($O$778=1,$O785/$F$778,1)</f>
        <v/>
      </c>
      <c r="T785" s="95">
        <f>IF($G785&lt;nr_MStartP,$S785,$T773*(1+IF($G785&lt;nr_MStartP1,$M$778,$N$778)))</f>
        <v/>
      </c>
      <c r="U785" s="95">
        <f>IF($L$778,$T785,$N785)</f>
        <v/>
      </c>
    </row>
    <row r="786">
      <c r="A786" s="90" t="n">
        <v>6</v>
      </c>
      <c r="B786" s="91">
        <f>EDATE($B785,1)</f>
        <v/>
      </c>
      <c r="C786" s="92">
        <f>EOMONTH($B786,0)</f>
        <v/>
      </c>
      <c r="D786" s="87">
        <f>$C786-$B786+1</f>
        <v/>
      </c>
      <c r="E786" s="87">
        <f>MONTH($B786)</f>
        <v/>
      </c>
      <c r="F786" s="93">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$N786*IF($O$778=1,$O786/$F$778,1)</f>
        <v/>
      </c>
      <c r="T786" s="95">
        <f>IF($G786&lt;nr_MStartP,$S786,$T774*(1+IF($G786&lt;nr_MStartP1,$M$778,$N$778)))</f>
        <v/>
      </c>
      <c r="U786" s="95">
        <f>IF($L$778,$T786,$N786)</f>
        <v/>
      </c>
    </row>
    <row r="787">
      <c r="A787" s="90" t="n">
        <v>7</v>
      </c>
      <c r="B787" s="91">
        <f>EDATE($B786,1)</f>
        <v/>
      </c>
      <c r="C787" s="92">
        <f>EOMONTH($B787,0)</f>
        <v/>
      </c>
      <c r="D787" s="87">
        <f>$C787-$B787+1</f>
        <v/>
      </c>
      <c r="E787" s="87">
        <f>MONTH($B787)</f>
        <v/>
      </c>
      <c r="F787" s="93">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$N787*IF($O$778=1,$O787/$F$778,1)</f>
        <v/>
      </c>
      <c r="T787" s="95">
        <f>IF($G787&lt;nr_MStartP,$S787,$T775*(1+IF($G787&lt;nr_MStartP1,$M$778,$N$778)))</f>
        <v/>
      </c>
      <c r="U787" s="95">
        <f>IF($L$778,$T787,$N787)</f>
        <v/>
      </c>
    </row>
    <row r="788">
      <c r="A788" s="90" t="n">
        <v>8</v>
      </c>
      <c r="B788" s="91">
        <f>EDATE($B787,1)</f>
        <v/>
      </c>
      <c r="C788" s="92">
        <f>EOMONTH($B788,0)</f>
        <v/>
      </c>
      <c r="D788" s="87">
        <f>$C788-$B788+1</f>
        <v/>
      </c>
      <c r="E788" s="87">
        <f>MONTH($B788)</f>
        <v/>
      </c>
      <c r="F788" s="93">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$N788*IF($O$778=1,$O788/$F$778,1)</f>
        <v/>
      </c>
      <c r="T788" s="95">
        <f>IF($G788&lt;nr_MStartP,$S788,$T776*(1+IF($G788&lt;nr_MStartP1,$M$778,$N$778)))</f>
        <v/>
      </c>
      <c r="U788" s="95">
        <f>IF($L$778,$T788,$N788)</f>
        <v/>
      </c>
    </row>
    <row r="789">
      <c r="A789" s="90" t="n">
        <v>9</v>
      </c>
      <c r="B789" s="91">
        <f>EDATE($B788,1)</f>
        <v/>
      </c>
      <c r="C789" s="92">
        <f>EOMONTH($B789,0)</f>
        <v/>
      </c>
      <c r="D789" s="87">
        <f>$C789-$B789+1</f>
        <v/>
      </c>
      <c r="E789" s="87">
        <f>MONTH($B789)</f>
        <v/>
      </c>
      <c r="F789" s="93">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$N789*IF($O$778=1,$O789/$F$778,1)</f>
        <v/>
      </c>
      <c r="T789" s="95">
        <f>IF($G789&lt;nr_MStartP,$S789,$T777*(1+IF($G789&lt;nr_MStartP1,$M$778,$N$778)))</f>
        <v/>
      </c>
      <c r="U789" s="95">
        <f>IF($L$778,$T789,$N789)</f>
        <v/>
      </c>
    </row>
    <row r="790">
      <c r="A790" s="90" t="n">
        <v>10</v>
      </c>
      <c r="B790" s="91">
        <f>EDATE($B789,1)</f>
        <v/>
      </c>
      <c r="C790" s="92">
        <f>EOMONTH($B790,0)</f>
        <v/>
      </c>
      <c r="D790" s="87">
        <f>$C790-$B790+1</f>
        <v/>
      </c>
      <c r="E790" s="87">
        <f>MONTH($B790)</f>
        <v/>
      </c>
      <c r="F790" s="93">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$N790*IF($O$778=1,$O790/$F$778,1)</f>
        <v/>
      </c>
      <c r="T790" s="95">
        <f>IF($G790&lt;nr_MStartP,$S790,$T778*(1+IF($G790&lt;nr_MStartP1,$M$778,$N$778)))</f>
        <v/>
      </c>
      <c r="U790" s="95">
        <f>IF($L$778,$T790,$N790)</f>
        <v/>
      </c>
    </row>
    <row r="791">
      <c r="A791" s="90" t="n">
        <v>11</v>
      </c>
      <c r="B791" s="91">
        <f>EDATE($B790,1)</f>
        <v/>
      </c>
      <c r="C791" s="92">
        <f>EOMONTH($B791,0)</f>
        <v/>
      </c>
      <c r="D791" s="87">
        <f>$C791-$B791+1</f>
        <v/>
      </c>
      <c r="E791" s="87">
        <f>MONTH($B791)</f>
        <v/>
      </c>
      <c r="F791" s="93">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$N791*IF($O$778=1,$O791/$F$778,1)</f>
        <v/>
      </c>
      <c r="T791" s="95">
        <f>IF($G791&lt;nr_MStartP,$S791,$T779*(1+IF($G791&lt;nr_MStartP1,$M$778,$N$778)))</f>
        <v/>
      </c>
      <c r="U791" s="95">
        <f>IF($L$778,$T791,$N791)</f>
        <v/>
      </c>
    </row>
    <row r="792">
      <c r="A792" s="90" t="n">
        <v>12</v>
      </c>
      <c r="B792" s="91">
        <f>EDATE($B791,1)</f>
        <v/>
      </c>
      <c r="C792" s="92">
        <f>EOMONTH($B792,0)</f>
        <v/>
      </c>
      <c r="D792" s="87">
        <f>$C792-$B792+1</f>
        <v/>
      </c>
      <c r="E792" s="87">
        <f>MONTH($B792)</f>
        <v/>
      </c>
      <c r="F792" s="93">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$N792*IF($O$778=1,$O792/$F$778,1)</f>
        <v/>
      </c>
      <c r="T792" s="95">
        <f>IF($G792&lt;nr_MStartP,$S792,$T780*(1+IF($G792&lt;nr_MStartP1,$M$778,$N$778)))</f>
        <v/>
      </c>
      <c r="U792" s="95">
        <f>IF($L$778,$T792,$N792)</f>
        <v/>
      </c>
    </row>
    <row r="793">
      <c r="A793" s="90" t="n">
        <v>13</v>
      </c>
      <c r="B793" s="91">
        <f>EDATE($B792,1)</f>
        <v/>
      </c>
      <c r="C793" s="92">
        <f>EOMONTH($B793,0)</f>
        <v/>
      </c>
      <c r="D793" s="87">
        <f>$C793-$B793+1</f>
        <v/>
      </c>
      <c r="E793" s="87">
        <f>MONTH($B793)</f>
        <v/>
      </c>
      <c r="F793" s="93">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$N793*IF($O$778=1,$O793/$F$778,1)</f>
        <v/>
      </c>
      <c r="T793" s="95">
        <f>IF($G793&lt;nr_MStartP,$S793,$T781*(1+IF($G793&lt;nr_MStartP1,$M$778,$N$778)))</f>
        <v/>
      </c>
      <c r="U793" s="95">
        <f>IF($L$778,$T793,$N793)</f>
        <v/>
      </c>
    </row>
    <row r="794">
      <c r="A794" s="90" t="n">
        <v>14</v>
      </c>
      <c r="B794" s="91">
        <f>EDATE($B793,1)</f>
        <v/>
      </c>
      <c r="C794" s="92">
        <f>EOMONTH($B794,0)</f>
        <v/>
      </c>
      <c r="D794" s="87">
        <f>$C794-$B794+1</f>
        <v/>
      </c>
      <c r="E794" s="87">
        <f>MONTH($B794)</f>
        <v/>
      </c>
      <c r="F794" s="93">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$N794*IF($O$778=1,$O794/$F$778,1)</f>
        <v/>
      </c>
      <c r="T794" s="95">
        <f>IF($G794&lt;nr_MStartP,$S794,$T782*(1+IF($G794&lt;nr_MStartP1,$M$778,$N$778)))</f>
        <v/>
      </c>
      <c r="U794" s="95">
        <f>IF($L$778,$T794,$N794)</f>
        <v/>
      </c>
    </row>
    <row r="795">
      <c r="A795" s="90" t="n">
        <v>15</v>
      </c>
      <c r="B795" s="91">
        <f>EDATE($B794,1)</f>
        <v/>
      </c>
      <c r="C795" s="92">
        <f>EOMONTH($B795,0)</f>
        <v/>
      </c>
      <c r="D795" s="87">
        <f>$C795-$B795+1</f>
        <v/>
      </c>
      <c r="E795" s="87">
        <f>MONTH($B795)</f>
        <v/>
      </c>
      <c r="F795" s="93">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$N795*IF($O$778=1,$O795/$F$778,1)</f>
        <v/>
      </c>
      <c r="T795" s="95">
        <f>IF($G795&lt;nr_MStartP,$S795,$T783*(1+IF($G795&lt;nr_MStartP1,$M$778,$N$778)))</f>
        <v/>
      </c>
      <c r="U795" s="95">
        <f>IF($L$778,$T795,$N795)</f>
        <v/>
      </c>
    </row>
    <row r="796">
      <c r="A796" s="90" t="n">
        <v>16</v>
      </c>
      <c r="B796" s="91">
        <f>EDATE($B795,1)</f>
        <v/>
      </c>
      <c r="C796" s="92">
        <f>EOMONTH($B796,0)</f>
        <v/>
      </c>
      <c r="D796" s="87">
        <f>$C796-$B796+1</f>
        <v/>
      </c>
      <c r="E796" s="87">
        <f>MONTH($B796)</f>
        <v/>
      </c>
      <c r="F796" s="93">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$N796*IF($O$778=1,$O796/$F$778,1)</f>
        <v/>
      </c>
      <c r="T796" s="95">
        <f>IF($G796&lt;nr_MStartP,$S796,$T784*(1+IF($G796&lt;nr_MStartP1,$M$778,$N$778)))</f>
        <v/>
      </c>
      <c r="U796" s="95">
        <f>IF($L$778,$T796,$N796)</f>
        <v/>
      </c>
    </row>
    <row r="797">
      <c r="A797" s="90" t="n">
        <v>17</v>
      </c>
      <c r="B797" s="91">
        <f>EDATE($B796,1)</f>
        <v/>
      </c>
      <c r="C797" s="92">
        <f>EOMONTH($B797,0)</f>
        <v/>
      </c>
      <c r="D797" s="87">
        <f>$C797-$B797+1</f>
        <v/>
      </c>
      <c r="E797" s="87">
        <f>MONTH($B797)</f>
        <v/>
      </c>
      <c r="F797" s="93">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$N797*IF($O$778=1,$O797/$F$778,1)</f>
        <v/>
      </c>
      <c r="T797" s="95">
        <f>IF($G797&lt;nr_MStartP,$S797,$T785*(1+IF($G797&lt;nr_MStartP1,$M$778,$N$778)))</f>
        <v/>
      </c>
      <c r="U797" s="95">
        <f>IF($L$778,$T797,$N797)</f>
        <v/>
      </c>
    </row>
    <row r="798">
      <c r="A798" s="90" t="n">
        <v>18</v>
      </c>
      <c r="B798" s="91">
        <f>EDATE($B797,1)</f>
        <v/>
      </c>
      <c r="C798" s="92">
        <f>EOMONTH($B798,0)</f>
        <v/>
      </c>
      <c r="D798" s="87">
        <f>$C798-$B798+1</f>
        <v/>
      </c>
      <c r="E798" s="87">
        <f>MONTH($B798)</f>
        <v/>
      </c>
      <c r="F798" s="93">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$N798*IF($O$778=1,$O798/$F$778,1)</f>
        <v/>
      </c>
      <c r="T798" s="95">
        <f>IF($G798&lt;nr_MStartP,$S798,$T786*(1+IF($G798&lt;nr_MStartP1,$M$778,$N$778)))</f>
        <v/>
      </c>
      <c r="U798" s="95">
        <f>IF($L$778,$T798,$N798)</f>
        <v/>
      </c>
    </row>
    <row r="799">
      <c r="A799" s="90" t="n">
        <v>19</v>
      </c>
      <c r="B799" s="91">
        <f>EDATE($B798,1)</f>
        <v/>
      </c>
      <c r="C799" s="92">
        <f>EOMONTH($B799,0)</f>
        <v/>
      </c>
      <c r="D799" s="87">
        <f>$C799-$B799+1</f>
        <v/>
      </c>
      <c r="E799" s="87">
        <f>MONTH($B799)</f>
        <v/>
      </c>
      <c r="F799" s="93">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$N799*IF($O$778=1,$O799/$F$778,1)</f>
        <v/>
      </c>
      <c r="T799" s="95">
        <f>IF($G799&lt;nr_MStartP,$S799,$T787*(1+IF($G799&lt;nr_MStartP1,$M$778,$N$778)))</f>
        <v/>
      </c>
      <c r="U799" s="95">
        <f>IF($L$778,$T799,$N799)</f>
        <v/>
      </c>
    </row>
    <row r="800">
      <c r="A800" s="90" t="n">
        <v>20</v>
      </c>
      <c r="B800" s="91">
        <f>EDATE($B799,1)</f>
        <v/>
      </c>
      <c r="C800" s="92">
        <f>EOMONTH($B800,0)</f>
        <v/>
      </c>
      <c r="D800" s="87">
        <f>$C800-$B800+1</f>
        <v/>
      </c>
      <c r="E800" s="87">
        <f>MONTH($B800)</f>
        <v/>
      </c>
      <c r="F800" s="93">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$N800*IF($O$778=1,$O800/$F$778,1)</f>
        <v/>
      </c>
      <c r="T800" s="95">
        <f>IF($G800&lt;nr_MStartP,$S800,$T788*(1+IF($G800&lt;nr_MStartP1,$M$778,$N$778)))</f>
        <v/>
      </c>
      <c r="U800" s="95">
        <f>IF($L$778,$T800,$N800)</f>
        <v/>
      </c>
    </row>
    <row r="801">
      <c r="A801" s="90" t="n">
        <v>21</v>
      </c>
      <c r="B801" s="91">
        <f>EDATE($B800,1)</f>
        <v/>
      </c>
      <c r="C801" s="92">
        <f>EOMONTH($B801,0)</f>
        <v/>
      </c>
      <c r="D801" s="87">
        <f>$C801-$B801+1</f>
        <v/>
      </c>
      <c r="E801" s="87">
        <f>MONTH($B801)</f>
        <v/>
      </c>
      <c r="F801" s="93">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$N801*IF($O$778=1,$O801/$F$778,1)</f>
        <v/>
      </c>
      <c r="T801" s="95">
        <f>IF($G801&lt;nr_MStartP,$S801,$T789*(1+IF($G801&lt;nr_MStartP1,$M$778,$N$778)))</f>
        <v/>
      </c>
      <c r="U801" s="95">
        <f>IF($L$778,$T801,$N801)</f>
        <v/>
      </c>
    </row>
    <row r="802">
      <c r="A802" s="90" t="n">
        <v>22</v>
      </c>
      <c r="B802" s="91">
        <f>EDATE($B801,1)</f>
        <v/>
      </c>
      <c r="C802" s="92">
        <f>EOMONTH($B802,0)</f>
        <v/>
      </c>
      <c r="D802" s="87">
        <f>$C802-$B802+1</f>
        <v/>
      </c>
      <c r="E802" s="87">
        <f>MONTH($B802)</f>
        <v/>
      </c>
      <c r="F802" s="93">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$N802*IF($O$778=1,$O802/$F$778,1)</f>
        <v/>
      </c>
      <c r="T802" s="95">
        <f>IF($G802&lt;nr_MStartP,$S802,$T790*(1+IF($G802&lt;nr_MStartP1,$M$778,$N$778)))</f>
        <v/>
      </c>
      <c r="U802" s="95">
        <f>IF($L$778,$T802,$N802)</f>
        <v/>
      </c>
    </row>
    <row r="803">
      <c r="A803" s="90" t="n">
        <v>23</v>
      </c>
      <c r="B803" s="91">
        <f>EDATE($B802,1)</f>
        <v/>
      </c>
      <c r="C803" s="92">
        <f>EOMONTH($B803,0)</f>
        <v/>
      </c>
      <c r="D803" s="87">
        <f>$C803-$B803+1</f>
        <v/>
      </c>
      <c r="E803" s="87">
        <f>MONTH($B803)</f>
        <v/>
      </c>
      <c r="F803" s="93">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$N803*IF($O$778=1,$O803/$F$778,1)</f>
        <v/>
      </c>
      <c r="T803" s="95">
        <f>IF($G803&lt;nr_MStartP,$S803,$T791*(1+IF($G803&lt;nr_MStartP1,$M$778,$N$778)))</f>
        <v/>
      </c>
      <c r="U803" s="95">
        <f>IF($L$778,$T803,$N803)</f>
        <v/>
      </c>
    </row>
    <row r="804">
      <c r="A804" s="90" t="n">
        <v>24</v>
      </c>
      <c r="B804" s="91">
        <f>EDATE($B803,1)</f>
        <v/>
      </c>
      <c r="C804" s="92">
        <f>EOMONTH($B804,0)</f>
        <v/>
      </c>
      <c r="D804" s="87">
        <f>$C804-$B804+1</f>
        <v/>
      </c>
      <c r="E804" s="87">
        <f>MONTH($B804)</f>
        <v/>
      </c>
      <c r="F804" s="93">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$N804*IF($O$778=1,$O804/$F$778,1)</f>
        <v/>
      </c>
      <c r="T804" s="95">
        <f>IF($G804&lt;nr_MStartP,$S804,$T792*(1+IF($G804&lt;nr_MStartP1,$M$778,$N$778)))</f>
        <v/>
      </c>
      <c r="U804" s="95">
        <f>IF($L$778,$T804,$N804)</f>
        <v/>
      </c>
    </row>
    <row r="805">
      <c r="A805" s="90" t="n">
        <v>25</v>
      </c>
      <c r="B805" s="91">
        <f>EDATE($B804,1)</f>
        <v/>
      </c>
      <c r="C805" s="92">
        <f>EOMONTH($B805,0)</f>
        <v/>
      </c>
      <c r="D805" s="87">
        <f>$C805-$B805+1</f>
        <v/>
      </c>
      <c r="E805" s="87">
        <f>MONTH($B805)</f>
        <v/>
      </c>
      <c r="F805" s="93">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$N805*IF($O$778=1,$O805/$F$778,1)</f>
        <v/>
      </c>
      <c r="T805" s="95">
        <f>IF($G805&lt;nr_MStartP,$S805,$T793*(1+IF($G805&lt;nr_MStartP1,$M$778,$N$778)))</f>
        <v/>
      </c>
      <c r="U805" s="95">
        <f>IF($L$778,$T805,$N805)</f>
        <v/>
      </c>
    </row>
    <row r="806">
      <c r="A806" s="90" t="n">
        <v>26</v>
      </c>
      <c r="B806" s="91">
        <f>EDATE($B805,1)</f>
        <v/>
      </c>
      <c r="C806" s="92">
        <f>EOMONTH($B806,0)</f>
        <v/>
      </c>
      <c r="D806" s="87">
        <f>$C806-$B806+1</f>
        <v/>
      </c>
      <c r="E806" s="87">
        <f>MONTH($B806)</f>
        <v/>
      </c>
      <c r="F806" s="93">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$N806*IF($O$778=1,$O806/$F$778,1)</f>
        <v/>
      </c>
      <c r="T806" s="95">
        <f>IF($G806&lt;nr_MStartP,$S806,$T794*(1+IF($G806&lt;nr_MStartP1,$M$778,$N$778)))</f>
        <v/>
      </c>
      <c r="U806" s="95">
        <f>IF($L$778,$T806,$N806)</f>
        <v/>
      </c>
    </row>
    <row r="807">
      <c r="A807" s="90" t="n">
        <v>27</v>
      </c>
      <c r="B807" s="91">
        <f>EDATE($B806,1)</f>
        <v/>
      </c>
      <c r="C807" s="92">
        <f>EOMONTH($B807,0)</f>
        <v/>
      </c>
      <c r="D807" s="87">
        <f>$C807-$B807+1</f>
        <v/>
      </c>
      <c r="E807" s="87">
        <f>MONTH($B807)</f>
        <v/>
      </c>
      <c r="F807" s="93">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$N807*IF($O$778=1,$O807/$F$778,1)</f>
        <v/>
      </c>
      <c r="T807" s="95">
        <f>IF($G807&lt;nr_MStartP,$S807,$T795*(1+IF($G807&lt;nr_MStartP1,$M$778,$N$778)))</f>
        <v/>
      </c>
      <c r="U807" s="95">
        <f>IF($L$778,$T807,$N807)</f>
        <v/>
      </c>
    </row>
    <row r="808">
      <c r="A808" s="90" t="n">
        <v>28</v>
      </c>
      <c r="B808" s="91">
        <f>EDATE($B807,1)</f>
        <v/>
      </c>
      <c r="C808" s="92">
        <f>EOMONTH($B808,0)</f>
        <v/>
      </c>
      <c r="D808" s="87">
        <f>$C808-$B808+1</f>
        <v/>
      </c>
      <c r="E808" s="87">
        <f>MONTH($B808)</f>
        <v/>
      </c>
      <c r="F808" s="93">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$N808*IF($O$778=1,$O808/$F$778,1)</f>
        <v/>
      </c>
      <c r="T808" s="95">
        <f>IF($G808&lt;nr_MStartP,$S808,$T796*(1+IF($G808&lt;nr_MStartP1,$M$778,$N$778)))</f>
        <v/>
      </c>
      <c r="U808" s="95">
        <f>IF($L$778,$T808,$N808)</f>
        <v/>
      </c>
    </row>
    <row r="809">
      <c r="A809" s="90" t="n">
        <v>29</v>
      </c>
      <c r="B809" s="91">
        <f>EDATE($B808,1)</f>
        <v/>
      </c>
      <c r="C809" s="92">
        <f>EOMONTH($B809,0)</f>
        <v/>
      </c>
      <c r="D809" s="87">
        <f>$C809-$B809+1</f>
        <v/>
      </c>
      <c r="E809" s="87">
        <f>MONTH($B809)</f>
        <v/>
      </c>
      <c r="F809" s="93">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$N809*IF($O$778=1,$O809/$F$778,1)</f>
        <v/>
      </c>
      <c r="T809" s="95">
        <f>IF($G809&lt;nr_MStartP,$S809,$T797*(1+IF($G809&lt;nr_MStartP1,$M$778,$N$778)))</f>
        <v/>
      </c>
      <c r="U809" s="95">
        <f>IF($L$778,$T809,$N809)</f>
        <v/>
      </c>
    </row>
    <row r="810">
      <c r="A810" s="90" t="n">
        <v>30</v>
      </c>
      <c r="B810" s="91">
        <f>EDATE($B809,1)</f>
        <v/>
      </c>
      <c r="C810" s="92">
        <f>EOMONTH($B810,0)</f>
        <v/>
      </c>
      <c r="D810" s="87">
        <f>$C810-$B810+1</f>
        <v/>
      </c>
      <c r="E810" s="87">
        <f>MONTH($B810)</f>
        <v/>
      </c>
      <c r="F810" s="93">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$N810*IF($O$778=1,$O810/$F$778,1)</f>
        <v/>
      </c>
      <c r="T810" s="95">
        <f>IF($G810&lt;nr_MStartP,$S810,$T798*(1+IF($G810&lt;nr_MStartP1,$M$778,$N$778)))</f>
        <v/>
      </c>
      <c r="U810" s="95">
        <f>IF($L$778,$T810,$N810)</f>
        <v/>
      </c>
    </row>
    <row r="811">
      <c r="A811" s="90" t="n">
        <v>31</v>
      </c>
      <c r="B811" s="91">
        <f>EDATE($B810,1)</f>
        <v/>
      </c>
      <c r="C811" s="92">
        <f>EOMONTH($B811,0)</f>
        <v/>
      </c>
      <c r="D811" s="87">
        <f>$C811-$B811+1</f>
        <v/>
      </c>
      <c r="E811" s="87">
        <f>MONTH($B811)</f>
        <v/>
      </c>
      <c r="F811" s="93">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$N811*IF($O$778=1,$O811/$F$778,1)</f>
        <v/>
      </c>
      <c r="T811" s="95">
        <f>IF($G811&lt;nr_MStartP,$S811,$T799*(1+IF($G811&lt;nr_MStartP1,$M$778,$N$778)))</f>
        <v/>
      </c>
      <c r="U811" s="95">
        <f>IF($L$778,$T811,$N811)</f>
        <v/>
      </c>
    </row>
    <row r="812">
      <c r="A812" s="90" t="n">
        <v>32</v>
      </c>
      <c r="B812" s="91">
        <f>EDATE($B811,1)</f>
        <v/>
      </c>
      <c r="C812" s="92">
        <f>EOMONTH($B812,0)</f>
        <v/>
      </c>
      <c r="D812" s="87">
        <f>$C812-$B812+1</f>
        <v/>
      </c>
      <c r="E812" s="87">
        <f>MONTH($B812)</f>
        <v/>
      </c>
      <c r="F812" s="93">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$N812*IF($O$778=1,$O812/$F$778,1)</f>
        <v/>
      </c>
      <c r="T812" s="95">
        <f>IF($G812&lt;nr_MStartP,$S812,$T800*(1+IF($G812&lt;nr_MStartP1,$M$778,$N$778)))</f>
        <v/>
      </c>
      <c r="U812" s="95">
        <f>IF($L$778,$T812,$N812)</f>
        <v/>
      </c>
    </row>
    <row r="813">
      <c r="A813" s="90" t="n">
        <v>33</v>
      </c>
      <c r="B813" s="91">
        <f>EDATE($B812,1)</f>
        <v/>
      </c>
      <c r="C813" s="92">
        <f>EOMONTH($B813,0)</f>
        <v/>
      </c>
      <c r="D813" s="87">
        <f>$C813-$B813+1</f>
        <v/>
      </c>
      <c r="E813" s="87">
        <f>MONTH($B813)</f>
        <v/>
      </c>
      <c r="F813" s="93">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$N813*IF($O$778=1,$O813/$F$778,1)</f>
        <v/>
      </c>
      <c r="T813" s="95">
        <f>IF($G813&lt;nr_MStartP,$S813,$T801*(1+IF($G813&lt;nr_MStartP1,$M$778,$N$778)))</f>
        <v/>
      </c>
      <c r="U813" s="95">
        <f>IF($L$778,$T813,$N813)</f>
        <v/>
      </c>
    </row>
    <row r="814">
      <c r="A814" s="90" t="n">
        <v>34</v>
      </c>
      <c r="B814" s="91">
        <f>EDATE($B813,1)</f>
        <v/>
      </c>
      <c r="C814" s="92">
        <f>EOMONTH($B814,0)</f>
        <v/>
      </c>
      <c r="D814" s="87">
        <f>$C814-$B814+1</f>
        <v/>
      </c>
      <c r="E814" s="87">
        <f>MONTH($B814)</f>
        <v/>
      </c>
      <c r="F814" s="93">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$N814*IF($O$778=1,$O814/$F$778,1)</f>
        <v/>
      </c>
      <c r="T814" s="95">
        <f>IF($G814&lt;nr_MStartP,$S814,$T802*(1+IF($G814&lt;nr_MStartP1,$M$778,$N$778)))</f>
        <v/>
      </c>
      <c r="U814" s="95">
        <f>IF($L$778,$T814,$N814)</f>
        <v/>
      </c>
    </row>
    <row r="815">
      <c r="A815" s="90" t="n">
        <v>35</v>
      </c>
      <c r="B815" s="91">
        <f>EDATE($B814,1)</f>
        <v/>
      </c>
      <c r="C815" s="92">
        <f>EOMONTH($B815,0)</f>
        <v/>
      </c>
      <c r="D815" s="87">
        <f>$C815-$B815+1</f>
        <v/>
      </c>
      <c r="E815" s="87">
        <f>MONTH($B815)</f>
        <v/>
      </c>
      <c r="F815" s="93">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$N815*IF($O$778=1,$O815/$F$778,1)</f>
        <v/>
      </c>
      <c r="T815" s="95">
        <f>IF($G815&lt;nr_MStartP,$S815,$T803*(1+IF($G815&lt;nr_MStartP1,$M$778,$N$778)))</f>
        <v/>
      </c>
      <c r="U815" s="95">
        <f>IF($L$778,$T815,$N815)</f>
        <v/>
      </c>
    </row>
    <row r="816">
      <c r="A816" s="90" t="n">
        <v>36</v>
      </c>
      <c r="B816" s="91">
        <f>EDATE($B815,1)</f>
        <v/>
      </c>
      <c r="C816" s="92">
        <f>EOMONTH($B816,0)</f>
        <v/>
      </c>
      <c r="D816" s="87">
        <f>$C816-$B816+1</f>
        <v/>
      </c>
      <c r="E816" s="87">
        <f>MONTH($B816)</f>
        <v/>
      </c>
      <c r="F816" s="93">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$N816*IF($O$778=1,$O816/$F$778,1)</f>
        <v/>
      </c>
      <c r="T816" s="95">
        <f>IF($G816&lt;nr_MStartP,$S816,$T804*(1+IF($G816&lt;nr_MStartP1,$M$778,$N$778)))</f>
        <v/>
      </c>
      <c r="U816" s="95">
        <f>IF($L$778,$T816,$N816)</f>
        <v/>
      </c>
    </row>
    <row r="817">
      <c r="A817" s="90" t="n">
        <v>37</v>
      </c>
      <c r="B817" s="91">
        <f>EDATE($B816,1)</f>
        <v/>
      </c>
      <c r="C817" s="92">
        <f>EOMONTH($B817,0)</f>
        <v/>
      </c>
      <c r="D817" s="87">
        <f>$C817-$B817+1</f>
        <v/>
      </c>
      <c r="E817" s="87">
        <f>MONTH($B817)</f>
        <v/>
      </c>
      <c r="F817" s="93">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$N817*IF($O$778=1,$O817/$F$778,1)</f>
        <v/>
      </c>
      <c r="T817" s="95">
        <f>IF($G817&lt;nr_MStartP,$S817,$T805*(1+IF($G817&lt;nr_MStartP1,$M$778,$N$778)))</f>
        <v/>
      </c>
      <c r="U817" s="95">
        <f>IF($L$778,$T817,$N817)</f>
        <v/>
      </c>
    </row>
    <row r="818">
      <c r="A818" s="90" t="n">
        <v>38</v>
      </c>
      <c r="B818" s="91">
        <f>EDATE($B817,1)</f>
        <v/>
      </c>
      <c r="C818" s="92">
        <f>EOMONTH($B818,0)</f>
        <v/>
      </c>
      <c r="D818" s="87">
        <f>$C818-$B818+1</f>
        <v/>
      </c>
      <c r="E818" s="87">
        <f>MONTH($B818)</f>
        <v/>
      </c>
      <c r="F818" s="93">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$N818*IF($O$778=1,$O818/$F$778,1)</f>
        <v/>
      </c>
      <c r="T818" s="95">
        <f>IF($G818&lt;nr_MStartP,$S818,$T806*(1+IF($G818&lt;nr_MStartP1,$M$778,$N$778)))</f>
        <v/>
      </c>
      <c r="U818" s="95">
        <f>IF($L$778,$T818,$N818)</f>
        <v/>
      </c>
    </row>
    <row r="819">
      <c r="A819" s="90" t="n">
        <v>39</v>
      </c>
      <c r="B819" s="91">
        <f>EDATE($B818,1)</f>
        <v/>
      </c>
      <c r="C819" s="92">
        <f>EOMONTH($B819,0)</f>
        <v/>
      </c>
      <c r="D819" s="87">
        <f>$C819-$B819+1</f>
        <v/>
      </c>
      <c r="E819" s="87">
        <f>MONTH($B819)</f>
        <v/>
      </c>
      <c r="F819" s="93">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$N819*IF($O$778=1,$O819/$F$778,1)</f>
        <v/>
      </c>
      <c r="T819" s="95">
        <f>IF($G819&lt;nr_MStartP,$S819,$T807*(1+IF($G819&lt;nr_MStartP1,$M$778,$N$778)))</f>
        <v/>
      </c>
      <c r="U819" s="95">
        <f>IF($L$778,$T819,$N819)</f>
        <v/>
      </c>
    </row>
    <row r="820">
      <c r="A820" s="90" t="n">
        <v>40</v>
      </c>
      <c r="B820" s="91">
        <f>EDATE($B819,1)</f>
        <v/>
      </c>
      <c r="C820" s="92">
        <f>EOMONTH($B820,0)</f>
        <v/>
      </c>
      <c r="D820" s="87">
        <f>$C820-$B820+1</f>
        <v/>
      </c>
      <c r="E820" s="87">
        <f>MONTH($B820)</f>
        <v/>
      </c>
      <c r="F820" s="93">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$N820*IF($O$778=1,$O820/$F$778,1)</f>
        <v/>
      </c>
      <c r="T820" s="95">
        <f>IF($G820&lt;nr_MStartP,$S820,$T808*(1+IF($G820&lt;nr_MStartP1,$M$778,$N$778)))</f>
        <v/>
      </c>
      <c r="U820" s="95">
        <f>IF($L$778,$T820,$N820)</f>
        <v/>
      </c>
    </row>
    <row r="821">
      <c r="A821" s="90" t="n">
        <v>41</v>
      </c>
      <c r="B821" s="91">
        <f>EDATE($B820,1)</f>
        <v/>
      </c>
      <c r="C821" s="92">
        <f>EOMONTH($B821,0)</f>
        <v/>
      </c>
      <c r="D821" s="87">
        <f>$C821-$B821+1</f>
        <v/>
      </c>
      <c r="E821" s="87">
        <f>MONTH($B821)</f>
        <v/>
      </c>
      <c r="F821" s="93">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$N821*IF($O$778=1,$O821/$F$778,1)</f>
        <v/>
      </c>
      <c r="T821" s="95">
        <f>IF($G821&lt;nr_MStartP,$S821,$T809*(1+IF($G821&lt;nr_MStartP1,$M$778,$N$778)))</f>
        <v/>
      </c>
      <c r="U821" s="95">
        <f>IF($L$778,$T821,$N821)</f>
        <v/>
      </c>
    </row>
    <row r="822">
      <c r="A822" s="90" t="n">
        <v>42</v>
      </c>
      <c r="B822" s="91">
        <f>EDATE($B821,1)</f>
        <v/>
      </c>
      <c r="C822" s="92">
        <f>EOMONTH($B822,0)</f>
        <v/>
      </c>
      <c r="D822" s="87">
        <f>$C822-$B822+1</f>
        <v/>
      </c>
      <c r="E822" s="87">
        <f>MONTH($B822)</f>
        <v/>
      </c>
      <c r="F822" s="93">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$N822*IF($O$778=1,$O822/$F$778,1)</f>
        <v/>
      </c>
      <c r="T822" s="95">
        <f>IF($G822&lt;nr_MStartP,$S822,$T810*(1+IF($G822&lt;nr_MStartP1,$M$778,$N$778)))</f>
        <v/>
      </c>
      <c r="U822" s="95">
        <f>IF($L$778,$T822,$N822)</f>
        <v/>
      </c>
    </row>
    <row r="823">
      <c r="A823" s="90" t="n">
        <v>43</v>
      </c>
      <c r="B823" s="91">
        <f>EDATE($B822,1)</f>
        <v/>
      </c>
      <c r="C823" s="92">
        <f>EOMONTH($B823,0)</f>
        <v/>
      </c>
      <c r="D823" s="87">
        <f>$C823-$B823+1</f>
        <v/>
      </c>
      <c r="E823" s="87">
        <f>MONTH($B823)</f>
        <v/>
      </c>
      <c r="F823" s="93">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$N823*IF($O$778=1,$O823/$F$778,1)</f>
        <v/>
      </c>
      <c r="T823" s="95">
        <f>IF($G823&lt;nr_MStartP,$S823,$T811*(1+IF($G823&lt;nr_MStartP1,$M$778,$N$778)))</f>
        <v/>
      </c>
      <c r="U823" s="95">
        <f>IF($L$778,$T823,$N823)</f>
        <v/>
      </c>
    </row>
    <row r="824">
      <c r="A824" s="90" t="n">
        <v>44</v>
      </c>
      <c r="B824" s="91">
        <f>EDATE($B823,1)</f>
        <v/>
      </c>
      <c r="C824" s="92">
        <f>EOMONTH($B824,0)</f>
        <v/>
      </c>
      <c r="D824" s="87">
        <f>$C824-$B824+1</f>
        <v/>
      </c>
      <c r="E824" s="87">
        <f>MONTH($B824)</f>
        <v/>
      </c>
      <c r="F824" s="93">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$N824*IF($O$778=1,$O824/$F$778,1)</f>
        <v/>
      </c>
      <c r="T824" s="95">
        <f>IF($G824&lt;nr_MStartP,$S824,$T812*(1+IF($G824&lt;nr_MStartP1,$M$778,$N$778)))</f>
        <v/>
      </c>
      <c r="U824" s="95">
        <f>IF($L$778,$T824,$N824)</f>
        <v/>
      </c>
    </row>
    <row r="825">
      <c r="A825" s="90" t="n">
        <v>45</v>
      </c>
      <c r="B825" s="91">
        <f>EDATE($B824,1)</f>
        <v/>
      </c>
      <c r="C825" s="92">
        <f>EOMONTH($B825,0)</f>
        <v/>
      </c>
      <c r="D825" s="87">
        <f>$C825-$B825+1</f>
        <v/>
      </c>
      <c r="E825" s="87">
        <f>MONTH($B825)</f>
        <v/>
      </c>
      <c r="F825" s="93">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$N825*IF($O$778=1,$O825/$F$778,1)</f>
        <v/>
      </c>
      <c r="T825" s="95">
        <f>IF($G825&lt;nr_MStartP,$S825,$T813*(1+IF($G825&lt;nr_MStartP1,$M$778,$N$778)))</f>
        <v/>
      </c>
      <c r="U825" s="95">
        <f>IF($L$778,$T825,$N825)</f>
        <v/>
      </c>
    </row>
    <row r="826">
      <c r="A826" s="90" t="n">
        <v>46</v>
      </c>
      <c r="B826" s="91">
        <f>EDATE($B825,1)</f>
        <v/>
      </c>
      <c r="C826" s="92">
        <f>EOMONTH($B826,0)</f>
        <v/>
      </c>
      <c r="D826" s="87">
        <f>$C826-$B826+1</f>
        <v/>
      </c>
      <c r="E826" s="87">
        <f>MONTH($B826)</f>
        <v/>
      </c>
      <c r="F826" s="93">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$N826*IF($O$778=1,$O826/$F$778,1)</f>
        <v/>
      </c>
      <c r="T826" s="95">
        <f>IF($G826&lt;nr_MStartP,$S826,$T814*(1+IF($G826&lt;nr_MStartP1,$M$778,$N$778)))</f>
        <v/>
      </c>
      <c r="U826" s="95">
        <f>IF($L$778,$T826,$N826)</f>
        <v/>
      </c>
    </row>
    <row r="827">
      <c r="A827" s="90" t="n">
        <v>47</v>
      </c>
      <c r="B827" s="91">
        <f>EDATE($B826,1)</f>
        <v/>
      </c>
      <c r="C827" s="92">
        <f>EOMONTH($B827,0)</f>
        <v/>
      </c>
      <c r="D827" s="87">
        <f>$C827-$B827+1</f>
        <v/>
      </c>
      <c r="E827" s="87">
        <f>MONTH($B827)</f>
        <v/>
      </c>
      <c r="F827" s="93">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$N827*IF($O$778=1,$O827/$F$778,1)</f>
        <v/>
      </c>
      <c r="T827" s="95">
        <f>IF($G827&lt;nr_MStartP,$S827,$T815*(1+IF($G827&lt;nr_MStartP1,$M$778,$N$778)))</f>
        <v/>
      </c>
      <c r="U827" s="95">
        <f>IF($L$778,$T827,$N827)</f>
        <v/>
      </c>
    </row>
    <row r="828">
      <c r="A828" s="90" t="n">
        <v>48</v>
      </c>
      <c r="B828" s="91">
        <f>EDATE($B827,1)</f>
        <v/>
      </c>
      <c r="C828" s="92">
        <f>EOMONTH($B828,0)</f>
        <v/>
      </c>
      <c r="D828" s="87">
        <f>$C828-$B828+1</f>
        <v/>
      </c>
      <c r="E828" s="87">
        <f>MONTH($B828)</f>
        <v/>
      </c>
      <c r="F828" s="93">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$N828*IF($O$778=1,$O828/$F$778,1)</f>
        <v/>
      </c>
      <c r="T828" s="95">
        <f>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04">
        <f>SUMPRODUCT($H$781:$H$828,$Q$781:$Q$828,$O$781:$O$828)/SUMPRODUCT($H$781:$H$828,$Q$781:$Q$828)</f>
        <v/>
      </c>
      <c r="G829" s="20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04">
        <f>IF(N(INDEX(lr_mind,15))=0,1,INDEX(lr_mind,15))</f>
        <v/>
      </c>
      <c r="G832" s="204">
        <f>IF(N(INDEX(lr_m0,15))=0,1,INDEX(lr_m0,15))</f>
        <v/>
      </c>
      <c r="H832" s="73">
        <f>IF(N(INDEX(lr_m0asof,15))=0,DATE(nr_PlanYear-1,10,1),INDEX(lr_m0asof,15))</f>
        <v/>
      </c>
      <c r="I832" s="204">
        <f>IF(N(INDEX(lr_m1,15))=0,1,INDEX(lr_m1,15))</f>
        <v/>
      </c>
      <c r="J832" s="204">
        <f>INDEX(lr_mprior,15)</f>
        <v/>
      </c>
      <c r="K832" s="20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93">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$N835*IF($O$832=1,$O835/$F$832,1)</f>
        <v/>
      </c>
      <c r="T835" s="95">
        <f>IF($G835&lt;nr_MStartP,$S835,$T823*(1+IF($G835&lt;nr_MStartP1,$M$832,$N$832)))</f>
        <v/>
      </c>
      <c r="U835" s="95">
        <f>IF($L$832,$T835,$N835)</f>
        <v/>
      </c>
    </row>
    <row r="836">
      <c r="A836" s="90" t="n">
        <v>2</v>
      </c>
      <c r="B836" s="91">
        <f>EDATE($B835,1)</f>
        <v/>
      </c>
      <c r="C836" s="92">
        <f>EOMONTH($B836,0)</f>
        <v/>
      </c>
      <c r="D836" s="87">
        <f>$C836-$B836+1</f>
        <v/>
      </c>
      <c r="E836" s="87">
        <f>MONTH($B836)</f>
        <v/>
      </c>
      <c r="F836" s="93">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$N836*IF($O$832=1,$O836/$F$832,1)</f>
        <v/>
      </c>
      <c r="T836" s="95">
        <f>IF($G836&lt;nr_MStartP,$S836,$T824*(1+IF($G836&lt;nr_MStartP1,$M$832,$N$832)))</f>
        <v/>
      </c>
      <c r="U836" s="95">
        <f>IF($L$832,$T836,$N836)</f>
        <v/>
      </c>
    </row>
    <row r="837">
      <c r="A837" s="90" t="n">
        <v>3</v>
      </c>
      <c r="B837" s="91">
        <f>EDATE($B836,1)</f>
        <v/>
      </c>
      <c r="C837" s="92">
        <f>EOMONTH($B837,0)</f>
        <v/>
      </c>
      <c r="D837" s="87">
        <f>$C837-$B837+1</f>
        <v/>
      </c>
      <c r="E837" s="87">
        <f>MONTH($B837)</f>
        <v/>
      </c>
      <c r="F837" s="93">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$N837*IF($O$832=1,$O837/$F$832,1)</f>
        <v/>
      </c>
      <c r="T837" s="95">
        <f>IF($G837&lt;nr_MStartP,$S837,$T825*(1+IF($G837&lt;nr_MStartP1,$M$832,$N$832)))</f>
        <v/>
      </c>
      <c r="U837" s="95">
        <f>IF($L$832,$T837,$N837)</f>
        <v/>
      </c>
    </row>
    <row r="838">
      <c r="A838" s="90" t="n">
        <v>4</v>
      </c>
      <c r="B838" s="91">
        <f>EDATE($B837,1)</f>
        <v/>
      </c>
      <c r="C838" s="92">
        <f>EOMONTH($B838,0)</f>
        <v/>
      </c>
      <c r="D838" s="87">
        <f>$C838-$B838+1</f>
        <v/>
      </c>
      <c r="E838" s="87">
        <f>MONTH($B838)</f>
        <v/>
      </c>
      <c r="F838" s="93">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$N838*IF($O$832=1,$O838/$F$832,1)</f>
        <v/>
      </c>
      <c r="T838" s="95">
        <f>IF($G838&lt;nr_MStartP,$S838,$T826*(1+IF($G838&lt;nr_MStartP1,$M$832,$N$832)))</f>
        <v/>
      </c>
      <c r="U838" s="95">
        <f>IF($L$832,$T838,$N838)</f>
        <v/>
      </c>
    </row>
    <row r="839">
      <c r="A839" s="90" t="n">
        <v>5</v>
      </c>
      <c r="B839" s="91">
        <f>EDATE($B838,1)</f>
        <v/>
      </c>
      <c r="C839" s="92">
        <f>EOMONTH($B839,0)</f>
        <v/>
      </c>
      <c r="D839" s="87">
        <f>$C839-$B839+1</f>
        <v/>
      </c>
      <c r="E839" s="87">
        <f>MONTH($B839)</f>
        <v/>
      </c>
      <c r="F839" s="93">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$N839*IF($O$832=1,$O839/$F$832,1)</f>
        <v/>
      </c>
      <c r="T839" s="95">
        <f>IF($G839&lt;nr_MStartP,$S839,$T827*(1+IF($G839&lt;nr_MStartP1,$M$832,$N$832)))</f>
        <v/>
      </c>
      <c r="U839" s="95">
        <f>IF($L$832,$T839,$N839)</f>
        <v/>
      </c>
    </row>
    <row r="840">
      <c r="A840" s="90" t="n">
        <v>6</v>
      </c>
      <c r="B840" s="91">
        <f>EDATE($B839,1)</f>
        <v/>
      </c>
      <c r="C840" s="92">
        <f>EOMONTH($B840,0)</f>
        <v/>
      </c>
      <c r="D840" s="87">
        <f>$C840-$B840+1</f>
        <v/>
      </c>
      <c r="E840" s="87">
        <f>MONTH($B840)</f>
        <v/>
      </c>
      <c r="F840" s="93">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$N840*IF($O$832=1,$O840/$F$832,1)</f>
        <v/>
      </c>
      <c r="T840" s="95">
        <f>IF($G840&lt;nr_MStartP,$S840,$T828*(1+IF($G840&lt;nr_MStartP1,$M$832,$N$832)))</f>
        <v/>
      </c>
      <c r="U840" s="95">
        <f>IF($L$832,$T840,$N840)</f>
        <v/>
      </c>
    </row>
    <row r="841">
      <c r="A841" s="90" t="n">
        <v>7</v>
      </c>
      <c r="B841" s="91">
        <f>EDATE($B840,1)</f>
        <v/>
      </c>
      <c r="C841" s="92">
        <f>EOMONTH($B841,0)</f>
        <v/>
      </c>
      <c r="D841" s="87">
        <f>$C841-$B841+1</f>
        <v/>
      </c>
      <c r="E841" s="87">
        <f>MONTH($B841)</f>
        <v/>
      </c>
      <c r="F841" s="93">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$N841*IF($O$832=1,$O841/$F$832,1)</f>
        <v/>
      </c>
      <c r="T841" s="95">
        <f>IF($G841&lt;nr_MStartP,$S841,$T829*(1+IF($G841&lt;nr_MStartP1,$M$832,$N$832)))</f>
        <v/>
      </c>
      <c r="U841" s="95">
        <f>IF($L$832,$T841,$N841)</f>
        <v/>
      </c>
    </row>
    <row r="842">
      <c r="A842" s="90" t="n">
        <v>8</v>
      </c>
      <c r="B842" s="91">
        <f>EDATE($B841,1)</f>
        <v/>
      </c>
      <c r="C842" s="92">
        <f>EOMONTH($B842,0)</f>
        <v/>
      </c>
      <c r="D842" s="87">
        <f>$C842-$B842+1</f>
        <v/>
      </c>
      <c r="E842" s="87">
        <f>MONTH($B842)</f>
        <v/>
      </c>
      <c r="F842" s="93">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$N842*IF($O$832=1,$O842/$F$832,1)</f>
        <v/>
      </c>
      <c r="T842" s="95">
        <f>IF($G842&lt;nr_MStartP,$S842,$T830*(1+IF($G842&lt;nr_MStartP1,$M$832,$N$832)))</f>
        <v/>
      </c>
      <c r="U842" s="95">
        <f>IF($L$832,$T842,$N842)</f>
        <v/>
      </c>
    </row>
    <row r="843">
      <c r="A843" s="90" t="n">
        <v>9</v>
      </c>
      <c r="B843" s="91">
        <f>EDATE($B842,1)</f>
        <v/>
      </c>
      <c r="C843" s="92">
        <f>EOMONTH($B843,0)</f>
        <v/>
      </c>
      <c r="D843" s="87">
        <f>$C843-$B843+1</f>
        <v/>
      </c>
      <c r="E843" s="87">
        <f>MONTH($B843)</f>
        <v/>
      </c>
      <c r="F843" s="93">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$N843*IF($O$832=1,$O843/$F$832,1)</f>
        <v/>
      </c>
      <c r="T843" s="95">
        <f>IF($G843&lt;nr_MStartP,$S843,$T831*(1+IF($G843&lt;nr_MStartP1,$M$832,$N$832)))</f>
        <v/>
      </c>
      <c r="U843" s="95">
        <f>IF($L$832,$T843,$N843)</f>
        <v/>
      </c>
    </row>
    <row r="844">
      <c r="A844" s="90" t="n">
        <v>10</v>
      </c>
      <c r="B844" s="91">
        <f>EDATE($B843,1)</f>
        <v/>
      </c>
      <c r="C844" s="92">
        <f>EOMONTH($B844,0)</f>
        <v/>
      </c>
      <c r="D844" s="87">
        <f>$C844-$B844+1</f>
        <v/>
      </c>
      <c r="E844" s="87">
        <f>MONTH($B844)</f>
        <v/>
      </c>
      <c r="F844" s="93">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$N844*IF($O$832=1,$O844/$F$832,1)</f>
        <v/>
      </c>
      <c r="T844" s="95">
        <f>IF($G844&lt;nr_MStartP,$S844,$T832*(1+IF($G844&lt;nr_MStartP1,$M$832,$N$832)))</f>
        <v/>
      </c>
      <c r="U844" s="95">
        <f>IF($L$832,$T844,$N844)</f>
        <v/>
      </c>
    </row>
    <row r="845">
      <c r="A845" s="90" t="n">
        <v>11</v>
      </c>
      <c r="B845" s="91">
        <f>EDATE($B844,1)</f>
        <v/>
      </c>
      <c r="C845" s="92">
        <f>EOMONTH($B845,0)</f>
        <v/>
      </c>
      <c r="D845" s="87">
        <f>$C845-$B845+1</f>
        <v/>
      </c>
      <c r="E845" s="87">
        <f>MONTH($B845)</f>
        <v/>
      </c>
      <c r="F845" s="93">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$N845*IF($O$832=1,$O845/$F$832,1)</f>
        <v/>
      </c>
      <c r="T845" s="95">
        <f>IF($G845&lt;nr_MStartP,$S845,$T833*(1+IF($G845&lt;nr_MStartP1,$M$832,$N$832)))</f>
        <v/>
      </c>
      <c r="U845" s="95">
        <f>IF($L$832,$T845,$N845)</f>
        <v/>
      </c>
    </row>
    <row r="846">
      <c r="A846" s="90" t="n">
        <v>12</v>
      </c>
      <c r="B846" s="91">
        <f>EDATE($B845,1)</f>
        <v/>
      </c>
      <c r="C846" s="92">
        <f>EOMONTH($B846,0)</f>
        <v/>
      </c>
      <c r="D846" s="87">
        <f>$C846-$B846+1</f>
        <v/>
      </c>
      <c r="E846" s="87">
        <f>MONTH($B846)</f>
        <v/>
      </c>
      <c r="F846" s="93">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$N846*IF($O$832=1,$O846/$F$832,1)</f>
        <v/>
      </c>
      <c r="T846" s="95">
        <f>IF($G846&lt;nr_MStartP,$S846,$T834*(1+IF($G846&lt;nr_MStartP1,$M$832,$N$832)))</f>
        <v/>
      </c>
      <c r="U846" s="95">
        <f>IF($L$832,$T846,$N846)</f>
        <v/>
      </c>
    </row>
    <row r="847">
      <c r="A847" s="90" t="n">
        <v>13</v>
      </c>
      <c r="B847" s="91">
        <f>EDATE($B846,1)</f>
        <v/>
      </c>
      <c r="C847" s="92">
        <f>EOMONTH($B847,0)</f>
        <v/>
      </c>
      <c r="D847" s="87">
        <f>$C847-$B847+1</f>
        <v/>
      </c>
      <c r="E847" s="87">
        <f>MONTH($B847)</f>
        <v/>
      </c>
      <c r="F847" s="93">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$N847*IF($O$832=1,$O847/$F$832,1)</f>
        <v/>
      </c>
      <c r="T847" s="95">
        <f>IF($G847&lt;nr_MStartP,$S847,$T835*(1+IF($G847&lt;nr_MStartP1,$M$832,$N$832)))</f>
        <v/>
      </c>
      <c r="U847" s="95">
        <f>IF($L$832,$T847,$N847)</f>
        <v/>
      </c>
    </row>
    <row r="848">
      <c r="A848" s="90" t="n">
        <v>14</v>
      </c>
      <c r="B848" s="91">
        <f>EDATE($B847,1)</f>
        <v/>
      </c>
      <c r="C848" s="92">
        <f>EOMONTH($B848,0)</f>
        <v/>
      </c>
      <c r="D848" s="87">
        <f>$C848-$B848+1</f>
        <v/>
      </c>
      <c r="E848" s="87">
        <f>MONTH($B848)</f>
        <v/>
      </c>
      <c r="F848" s="93">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$N848*IF($O$832=1,$O848/$F$832,1)</f>
        <v/>
      </c>
      <c r="T848" s="95">
        <f>IF($G848&lt;nr_MStartP,$S848,$T836*(1+IF($G848&lt;nr_MStartP1,$M$832,$N$832)))</f>
        <v/>
      </c>
      <c r="U848" s="95">
        <f>IF($L$832,$T848,$N848)</f>
        <v/>
      </c>
    </row>
    <row r="849">
      <c r="A849" s="90" t="n">
        <v>15</v>
      </c>
      <c r="B849" s="91">
        <f>EDATE($B848,1)</f>
        <v/>
      </c>
      <c r="C849" s="92">
        <f>EOMONTH($B849,0)</f>
        <v/>
      </c>
      <c r="D849" s="87">
        <f>$C849-$B849+1</f>
        <v/>
      </c>
      <c r="E849" s="87">
        <f>MONTH($B849)</f>
        <v/>
      </c>
      <c r="F849" s="93">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$N849*IF($O$832=1,$O849/$F$832,1)</f>
        <v/>
      </c>
      <c r="T849" s="95">
        <f>IF($G849&lt;nr_MStartP,$S849,$T837*(1+IF($G849&lt;nr_MStartP1,$M$832,$N$832)))</f>
        <v/>
      </c>
      <c r="U849" s="95">
        <f>IF($L$832,$T849,$N849)</f>
        <v/>
      </c>
    </row>
    <row r="850">
      <c r="A850" s="90" t="n">
        <v>16</v>
      </c>
      <c r="B850" s="91">
        <f>EDATE($B849,1)</f>
        <v/>
      </c>
      <c r="C850" s="92">
        <f>EOMONTH($B850,0)</f>
        <v/>
      </c>
      <c r="D850" s="87">
        <f>$C850-$B850+1</f>
        <v/>
      </c>
      <c r="E850" s="87">
        <f>MONTH($B850)</f>
        <v/>
      </c>
      <c r="F850" s="93">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$N850*IF($O$832=1,$O850/$F$832,1)</f>
        <v/>
      </c>
      <c r="T850" s="95">
        <f>IF($G850&lt;nr_MStartP,$S850,$T838*(1+IF($G850&lt;nr_MStartP1,$M$832,$N$832)))</f>
        <v/>
      </c>
      <c r="U850" s="95">
        <f>IF($L$832,$T850,$N850)</f>
        <v/>
      </c>
    </row>
    <row r="851">
      <c r="A851" s="90" t="n">
        <v>17</v>
      </c>
      <c r="B851" s="91">
        <f>EDATE($B850,1)</f>
        <v/>
      </c>
      <c r="C851" s="92">
        <f>EOMONTH($B851,0)</f>
        <v/>
      </c>
      <c r="D851" s="87">
        <f>$C851-$B851+1</f>
        <v/>
      </c>
      <c r="E851" s="87">
        <f>MONTH($B851)</f>
        <v/>
      </c>
      <c r="F851" s="93">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$N851*IF($O$832=1,$O851/$F$832,1)</f>
        <v/>
      </c>
      <c r="T851" s="95">
        <f>IF($G851&lt;nr_MStartP,$S851,$T839*(1+IF($G851&lt;nr_MStartP1,$M$832,$N$832)))</f>
        <v/>
      </c>
      <c r="U851" s="95">
        <f>IF($L$832,$T851,$N851)</f>
        <v/>
      </c>
    </row>
    <row r="852">
      <c r="A852" s="90" t="n">
        <v>18</v>
      </c>
      <c r="B852" s="91">
        <f>EDATE($B851,1)</f>
        <v/>
      </c>
      <c r="C852" s="92">
        <f>EOMONTH($B852,0)</f>
        <v/>
      </c>
      <c r="D852" s="87">
        <f>$C852-$B852+1</f>
        <v/>
      </c>
      <c r="E852" s="87">
        <f>MONTH($B852)</f>
        <v/>
      </c>
      <c r="F852" s="93">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$N852*IF($O$832=1,$O852/$F$832,1)</f>
        <v/>
      </c>
      <c r="T852" s="95">
        <f>IF($G852&lt;nr_MStartP,$S852,$T840*(1+IF($G852&lt;nr_MStartP1,$M$832,$N$832)))</f>
        <v/>
      </c>
      <c r="U852" s="95">
        <f>IF($L$832,$T852,$N852)</f>
        <v/>
      </c>
    </row>
    <row r="853">
      <c r="A853" s="90" t="n">
        <v>19</v>
      </c>
      <c r="B853" s="91">
        <f>EDATE($B852,1)</f>
        <v/>
      </c>
      <c r="C853" s="92">
        <f>EOMONTH($B853,0)</f>
        <v/>
      </c>
      <c r="D853" s="87">
        <f>$C853-$B853+1</f>
        <v/>
      </c>
      <c r="E853" s="87">
        <f>MONTH($B853)</f>
        <v/>
      </c>
      <c r="F853" s="93">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$N853*IF($O$832=1,$O853/$F$832,1)</f>
        <v/>
      </c>
      <c r="T853" s="95">
        <f>IF($G853&lt;nr_MStartP,$S853,$T841*(1+IF($G853&lt;nr_MStartP1,$M$832,$N$832)))</f>
        <v/>
      </c>
      <c r="U853" s="95">
        <f>IF($L$832,$T853,$N853)</f>
        <v/>
      </c>
    </row>
    <row r="854">
      <c r="A854" s="90" t="n">
        <v>20</v>
      </c>
      <c r="B854" s="91">
        <f>EDATE($B853,1)</f>
        <v/>
      </c>
      <c r="C854" s="92">
        <f>EOMONTH($B854,0)</f>
        <v/>
      </c>
      <c r="D854" s="87">
        <f>$C854-$B854+1</f>
        <v/>
      </c>
      <c r="E854" s="87">
        <f>MONTH($B854)</f>
        <v/>
      </c>
      <c r="F854" s="93">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$N854*IF($O$832=1,$O854/$F$832,1)</f>
        <v/>
      </c>
      <c r="T854" s="95">
        <f>IF($G854&lt;nr_MStartP,$S854,$T842*(1+IF($G854&lt;nr_MStartP1,$M$832,$N$832)))</f>
        <v/>
      </c>
      <c r="U854" s="95">
        <f>IF($L$832,$T854,$N854)</f>
        <v/>
      </c>
    </row>
    <row r="855">
      <c r="A855" s="90" t="n">
        <v>21</v>
      </c>
      <c r="B855" s="91">
        <f>EDATE($B854,1)</f>
        <v/>
      </c>
      <c r="C855" s="92">
        <f>EOMONTH($B855,0)</f>
        <v/>
      </c>
      <c r="D855" s="87">
        <f>$C855-$B855+1</f>
        <v/>
      </c>
      <c r="E855" s="87">
        <f>MONTH($B855)</f>
        <v/>
      </c>
      <c r="F855" s="93">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$N855*IF($O$832=1,$O855/$F$832,1)</f>
        <v/>
      </c>
      <c r="T855" s="95">
        <f>IF($G855&lt;nr_MStartP,$S855,$T843*(1+IF($G855&lt;nr_MStartP1,$M$832,$N$832)))</f>
        <v/>
      </c>
      <c r="U855" s="95">
        <f>IF($L$832,$T855,$N855)</f>
        <v/>
      </c>
    </row>
    <row r="856">
      <c r="A856" s="90" t="n">
        <v>22</v>
      </c>
      <c r="B856" s="91">
        <f>EDATE($B855,1)</f>
        <v/>
      </c>
      <c r="C856" s="92">
        <f>EOMONTH($B856,0)</f>
        <v/>
      </c>
      <c r="D856" s="87">
        <f>$C856-$B856+1</f>
        <v/>
      </c>
      <c r="E856" s="87">
        <f>MONTH($B856)</f>
        <v/>
      </c>
      <c r="F856" s="93">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$N856*IF($O$832=1,$O856/$F$832,1)</f>
        <v/>
      </c>
      <c r="T856" s="95">
        <f>IF($G856&lt;nr_MStartP,$S856,$T844*(1+IF($G856&lt;nr_MStartP1,$M$832,$N$832)))</f>
        <v/>
      </c>
      <c r="U856" s="95">
        <f>IF($L$832,$T856,$N856)</f>
        <v/>
      </c>
    </row>
    <row r="857">
      <c r="A857" s="90" t="n">
        <v>23</v>
      </c>
      <c r="B857" s="91">
        <f>EDATE($B856,1)</f>
        <v/>
      </c>
      <c r="C857" s="92">
        <f>EOMONTH($B857,0)</f>
        <v/>
      </c>
      <c r="D857" s="87">
        <f>$C857-$B857+1</f>
        <v/>
      </c>
      <c r="E857" s="87">
        <f>MONTH($B857)</f>
        <v/>
      </c>
      <c r="F857" s="93">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$N857*IF($O$832=1,$O857/$F$832,1)</f>
        <v/>
      </c>
      <c r="T857" s="95">
        <f>IF($G857&lt;nr_MStartP,$S857,$T845*(1+IF($G857&lt;nr_MStartP1,$M$832,$N$832)))</f>
        <v/>
      </c>
      <c r="U857" s="95">
        <f>IF($L$832,$T857,$N857)</f>
        <v/>
      </c>
    </row>
    <row r="858">
      <c r="A858" s="90" t="n">
        <v>24</v>
      </c>
      <c r="B858" s="91">
        <f>EDATE($B857,1)</f>
        <v/>
      </c>
      <c r="C858" s="92">
        <f>EOMONTH($B858,0)</f>
        <v/>
      </c>
      <c r="D858" s="87">
        <f>$C858-$B858+1</f>
        <v/>
      </c>
      <c r="E858" s="87">
        <f>MONTH($B858)</f>
        <v/>
      </c>
      <c r="F858" s="93">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$N858*IF($O$832=1,$O858/$F$832,1)</f>
        <v/>
      </c>
      <c r="T858" s="95">
        <f>IF($G858&lt;nr_MStartP,$S858,$T846*(1+IF($G858&lt;nr_MStartP1,$M$832,$N$832)))</f>
        <v/>
      </c>
      <c r="U858" s="95">
        <f>IF($L$832,$T858,$N858)</f>
        <v/>
      </c>
    </row>
    <row r="859">
      <c r="A859" s="90" t="n">
        <v>25</v>
      </c>
      <c r="B859" s="91">
        <f>EDATE($B858,1)</f>
        <v/>
      </c>
      <c r="C859" s="92">
        <f>EOMONTH($B859,0)</f>
        <v/>
      </c>
      <c r="D859" s="87">
        <f>$C859-$B859+1</f>
        <v/>
      </c>
      <c r="E859" s="87">
        <f>MONTH($B859)</f>
        <v/>
      </c>
      <c r="F859" s="93">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$N859*IF($O$832=1,$O859/$F$832,1)</f>
        <v/>
      </c>
      <c r="T859" s="95">
        <f>IF($G859&lt;nr_MStartP,$S859,$T847*(1+IF($G859&lt;nr_MStartP1,$M$832,$N$832)))</f>
        <v/>
      </c>
      <c r="U859" s="95">
        <f>IF($L$832,$T859,$N859)</f>
        <v/>
      </c>
    </row>
    <row r="860">
      <c r="A860" s="90" t="n">
        <v>26</v>
      </c>
      <c r="B860" s="91">
        <f>EDATE($B859,1)</f>
        <v/>
      </c>
      <c r="C860" s="92">
        <f>EOMONTH($B860,0)</f>
        <v/>
      </c>
      <c r="D860" s="87">
        <f>$C860-$B860+1</f>
        <v/>
      </c>
      <c r="E860" s="87">
        <f>MONTH($B860)</f>
        <v/>
      </c>
      <c r="F860" s="93">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$N860*IF($O$832=1,$O860/$F$832,1)</f>
        <v/>
      </c>
      <c r="T860" s="95">
        <f>IF($G860&lt;nr_MStartP,$S860,$T848*(1+IF($G860&lt;nr_MStartP1,$M$832,$N$832)))</f>
        <v/>
      </c>
      <c r="U860" s="95">
        <f>IF($L$832,$T860,$N860)</f>
        <v/>
      </c>
    </row>
    <row r="861">
      <c r="A861" s="90" t="n">
        <v>27</v>
      </c>
      <c r="B861" s="91">
        <f>EDATE($B860,1)</f>
        <v/>
      </c>
      <c r="C861" s="92">
        <f>EOMONTH($B861,0)</f>
        <v/>
      </c>
      <c r="D861" s="87">
        <f>$C861-$B861+1</f>
        <v/>
      </c>
      <c r="E861" s="87">
        <f>MONTH($B861)</f>
        <v/>
      </c>
      <c r="F861" s="93">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$N861*IF($O$832=1,$O861/$F$832,1)</f>
        <v/>
      </c>
      <c r="T861" s="95">
        <f>IF($G861&lt;nr_MStartP,$S861,$T849*(1+IF($G861&lt;nr_MStartP1,$M$832,$N$832)))</f>
        <v/>
      </c>
      <c r="U861" s="95">
        <f>IF($L$832,$T861,$N861)</f>
        <v/>
      </c>
    </row>
    <row r="862">
      <c r="A862" s="90" t="n">
        <v>28</v>
      </c>
      <c r="B862" s="91">
        <f>EDATE($B861,1)</f>
        <v/>
      </c>
      <c r="C862" s="92">
        <f>EOMONTH($B862,0)</f>
        <v/>
      </c>
      <c r="D862" s="87">
        <f>$C862-$B862+1</f>
        <v/>
      </c>
      <c r="E862" s="87">
        <f>MONTH($B862)</f>
        <v/>
      </c>
      <c r="F862" s="93">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$N862*IF($O$832=1,$O862/$F$832,1)</f>
        <v/>
      </c>
      <c r="T862" s="95">
        <f>IF($G862&lt;nr_MStartP,$S862,$T850*(1+IF($G862&lt;nr_MStartP1,$M$832,$N$832)))</f>
        <v/>
      </c>
      <c r="U862" s="95">
        <f>IF($L$832,$T862,$N862)</f>
        <v/>
      </c>
    </row>
    <row r="863">
      <c r="A863" s="90" t="n">
        <v>29</v>
      </c>
      <c r="B863" s="91">
        <f>EDATE($B862,1)</f>
        <v/>
      </c>
      <c r="C863" s="92">
        <f>EOMONTH($B863,0)</f>
        <v/>
      </c>
      <c r="D863" s="87">
        <f>$C863-$B863+1</f>
        <v/>
      </c>
      <c r="E863" s="87">
        <f>MONTH($B863)</f>
        <v/>
      </c>
      <c r="F863" s="93">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$N863*IF($O$832=1,$O863/$F$832,1)</f>
        <v/>
      </c>
      <c r="T863" s="95">
        <f>IF($G863&lt;nr_MStartP,$S863,$T851*(1+IF($G863&lt;nr_MStartP1,$M$832,$N$832)))</f>
        <v/>
      </c>
      <c r="U863" s="95">
        <f>IF($L$832,$T863,$N863)</f>
        <v/>
      </c>
    </row>
    <row r="864">
      <c r="A864" s="90" t="n">
        <v>30</v>
      </c>
      <c r="B864" s="91">
        <f>EDATE($B863,1)</f>
        <v/>
      </c>
      <c r="C864" s="92">
        <f>EOMONTH($B864,0)</f>
        <v/>
      </c>
      <c r="D864" s="87">
        <f>$C864-$B864+1</f>
        <v/>
      </c>
      <c r="E864" s="87">
        <f>MONTH($B864)</f>
        <v/>
      </c>
      <c r="F864" s="93">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$N864*IF($O$832=1,$O864/$F$832,1)</f>
        <v/>
      </c>
      <c r="T864" s="95">
        <f>IF($G864&lt;nr_MStartP,$S864,$T852*(1+IF($G864&lt;nr_MStartP1,$M$832,$N$832)))</f>
        <v/>
      </c>
      <c r="U864" s="95">
        <f>IF($L$832,$T864,$N864)</f>
        <v/>
      </c>
    </row>
    <row r="865">
      <c r="A865" s="90" t="n">
        <v>31</v>
      </c>
      <c r="B865" s="91">
        <f>EDATE($B864,1)</f>
        <v/>
      </c>
      <c r="C865" s="92">
        <f>EOMONTH($B865,0)</f>
        <v/>
      </c>
      <c r="D865" s="87">
        <f>$C865-$B865+1</f>
        <v/>
      </c>
      <c r="E865" s="87">
        <f>MONTH($B865)</f>
        <v/>
      </c>
      <c r="F865" s="93">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$N865*IF($O$832=1,$O865/$F$832,1)</f>
        <v/>
      </c>
      <c r="T865" s="95">
        <f>IF($G865&lt;nr_MStartP,$S865,$T853*(1+IF($G865&lt;nr_MStartP1,$M$832,$N$832)))</f>
        <v/>
      </c>
      <c r="U865" s="95">
        <f>IF($L$832,$T865,$N865)</f>
        <v/>
      </c>
    </row>
    <row r="866">
      <c r="A866" s="90" t="n">
        <v>32</v>
      </c>
      <c r="B866" s="91">
        <f>EDATE($B865,1)</f>
        <v/>
      </c>
      <c r="C866" s="92">
        <f>EOMONTH($B866,0)</f>
        <v/>
      </c>
      <c r="D866" s="87">
        <f>$C866-$B866+1</f>
        <v/>
      </c>
      <c r="E866" s="87">
        <f>MONTH($B866)</f>
        <v/>
      </c>
      <c r="F866" s="93">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$N866*IF($O$832=1,$O866/$F$832,1)</f>
        <v/>
      </c>
      <c r="T866" s="95">
        <f>IF($G866&lt;nr_MStartP,$S866,$T854*(1+IF($G866&lt;nr_MStartP1,$M$832,$N$832)))</f>
        <v/>
      </c>
      <c r="U866" s="95">
        <f>IF($L$832,$T866,$N866)</f>
        <v/>
      </c>
    </row>
    <row r="867">
      <c r="A867" s="90" t="n">
        <v>33</v>
      </c>
      <c r="B867" s="91">
        <f>EDATE($B866,1)</f>
        <v/>
      </c>
      <c r="C867" s="92">
        <f>EOMONTH($B867,0)</f>
        <v/>
      </c>
      <c r="D867" s="87">
        <f>$C867-$B867+1</f>
        <v/>
      </c>
      <c r="E867" s="87">
        <f>MONTH($B867)</f>
        <v/>
      </c>
      <c r="F867" s="93">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$N867*IF($O$832=1,$O867/$F$832,1)</f>
        <v/>
      </c>
      <c r="T867" s="95">
        <f>IF($G867&lt;nr_MStartP,$S867,$T855*(1+IF($G867&lt;nr_MStartP1,$M$832,$N$832)))</f>
        <v/>
      </c>
      <c r="U867" s="95">
        <f>IF($L$832,$T867,$N867)</f>
        <v/>
      </c>
    </row>
    <row r="868">
      <c r="A868" s="90" t="n">
        <v>34</v>
      </c>
      <c r="B868" s="91">
        <f>EDATE($B867,1)</f>
        <v/>
      </c>
      <c r="C868" s="92">
        <f>EOMONTH($B868,0)</f>
        <v/>
      </c>
      <c r="D868" s="87">
        <f>$C868-$B868+1</f>
        <v/>
      </c>
      <c r="E868" s="87">
        <f>MONTH($B868)</f>
        <v/>
      </c>
      <c r="F868" s="93">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$N868*IF($O$832=1,$O868/$F$832,1)</f>
        <v/>
      </c>
      <c r="T868" s="95">
        <f>IF($G868&lt;nr_MStartP,$S868,$T856*(1+IF($G868&lt;nr_MStartP1,$M$832,$N$832)))</f>
        <v/>
      </c>
      <c r="U868" s="95">
        <f>IF($L$832,$T868,$N868)</f>
        <v/>
      </c>
    </row>
    <row r="869">
      <c r="A869" s="90" t="n">
        <v>35</v>
      </c>
      <c r="B869" s="91">
        <f>EDATE($B868,1)</f>
        <v/>
      </c>
      <c r="C869" s="92">
        <f>EOMONTH($B869,0)</f>
        <v/>
      </c>
      <c r="D869" s="87">
        <f>$C869-$B869+1</f>
        <v/>
      </c>
      <c r="E869" s="87">
        <f>MONTH($B869)</f>
        <v/>
      </c>
      <c r="F869" s="93">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$N869*IF($O$832=1,$O869/$F$832,1)</f>
        <v/>
      </c>
      <c r="T869" s="95">
        <f>IF($G869&lt;nr_MStartP,$S869,$T857*(1+IF($G869&lt;nr_MStartP1,$M$832,$N$832)))</f>
        <v/>
      </c>
      <c r="U869" s="95">
        <f>IF($L$832,$T869,$N869)</f>
        <v/>
      </c>
    </row>
    <row r="870">
      <c r="A870" s="90" t="n">
        <v>36</v>
      </c>
      <c r="B870" s="91">
        <f>EDATE($B869,1)</f>
        <v/>
      </c>
      <c r="C870" s="92">
        <f>EOMONTH($B870,0)</f>
        <v/>
      </c>
      <c r="D870" s="87">
        <f>$C870-$B870+1</f>
        <v/>
      </c>
      <c r="E870" s="87">
        <f>MONTH($B870)</f>
        <v/>
      </c>
      <c r="F870" s="93">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$N870*IF($O$832=1,$O870/$F$832,1)</f>
        <v/>
      </c>
      <c r="T870" s="95">
        <f>IF($G870&lt;nr_MStartP,$S870,$T858*(1+IF($G870&lt;nr_MStartP1,$M$832,$N$832)))</f>
        <v/>
      </c>
      <c r="U870" s="95">
        <f>IF($L$832,$T870,$N870)</f>
        <v/>
      </c>
    </row>
    <row r="871">
      <c r="A871" s="90" t="n">
        <v>37</v>
      </c>
      <c r="B871" s="91">
        <f>EDATE($B870,1)</f>
        <v/>
      </c>
      <c r="C871" s="92">
        <f>EOMONTH($B871,0)</f>
        <v/>
      </c>
      <c r="D871" s="87">
        <f>$C871-$B871+1</f>
        <v/>
      </c>
      <c r="E871" s="87">
        <f>MONTH($B871)</f>
        <v/>
      </c>
      <c r="F871" s="93">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$N871*IF($O$832=1,$O871/$F$832,1)</f>
        <v/>
      </c>
      <c r="T871" s="95">
        <f>IF($G871&lt;nr_MStartP,$S871,$T859*(1+IF($G871&lt;nr_MStartP1,$M$832,$N$832)))</f>
        <v/>
      </c>
      <c r="U871" s="95">
        <f>IF($L$832,$T871,$N871)</f>
        <v/>
      </c>
    </row>
    <row r="872">
      <c r="A872" s="90" t="n">
        <v>38</v>
      </c>
      <c r="B872" s="91">
        <f>EDATE($B871,1)</f>
        <v/>
      </c>
      <c r="C872" s="92">
        <f>EOMONTH($B872,0)</f>
        <v/>
      </c>
      <c r="D872" s="87">
        <f>$C872-$B872+1</f>
        <v/>
      </c>
      <c r="E872" s="87">
        <f>MONTH($B872)</f>
        <v/>
      </c>
      <c r="F872" s="93">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$N872*IF($O$832=1,$O872/$F$832,1)</f>
        <v/>
      </c>
      <c r="T872" s="95">
        <f>IF($G872&lt;nr_MStartP,$S872,$T860*(1+IF($G872&lt;nr_MStartP1,$M$832,$N$832)))</f>
        <v/>
      </c>
      <c r="U872" s="95">
        <f>IF($L$832,$T872,$N872)</f>
        <v/>
      </c>
    </row>
    <row r="873">
      <c r="A873" s="90" t="n">
        <v>39</v>
      </c>
      <c r="B873" s="91">
        <f>EDATE($B872,1)</f>
        <v/>
      </c>
      <c r="C873" s="92">
        <f>EOMONTH($B873,0)</f>
        <v/>
      </c>
      <c r="D873" s="87">
        <f>$C873-$B873+1</f>
        <v/>
      </c>
      <c r="E873" s="87">
        <f>MONTH($B873)</f>
        <v/>
      </c>
      <c r="F873" s="93">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$N873*IF($O$832=1,$O873/$F$832,1)</f>
        <v/>
      </c>
      <c r="T873" s="95">
        <f>IF($G873&lt;nr_MStartP,$S873,$T861*(1+IF($G873&lt;nr_MStartP1,$M$832,$N$832)))</f>
        <v/>
      </c>
      <c r="U873" s="95">
        <f>IF($L$832,$T873,$N873)</f>
        <v/>
      </c>
    </row>
    <row r="874">
      <c r="A874" s="90" t="n">
        <v>40</v>
      </c>
      <c r="B874" s="91">
        <f>EDATE($B873,1)</f>
        <v/>
      </c>
      <c r="C874" s="92">
        <f>EOMONTH($B874,0)</f>
        <v/>
      </c>
      <c r="D874" s="87">
        <f>$C874-$B874+1</f>
        <v/>
      </c>
      <c r="E874" s="87">
        <f>MONTH($B874)</f>
        <v/>
      </c>
      <c r="F874" s="93">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$N874*IF($O$832=1,$O874/$F$832,1)</f>
        <v/>
      </c>
      <c r="T874" s="95">
        <f>IF($G874&lt;nr_MStartP,$S874,$T862*(1+IF($G874&lt;nr_MStartP1,$M$832,$N$832)))</f>
        <v/>
      </c>
      <c r="U874" s="95">
        <f>IF($L$832,$T874,$N874)</f>
        <v/>
      </c>
    </row>
    <row r="875">
      <c r="A875" s="90" t="n">
        <v>41</v>
      </c>
      <c r="B875" s="91">
        <f>EDATE($B874,1)</f>
        <v/>
      </c>
      <c r="C875" s="92">
        <f>EOMONTH($B875,0)</f>
        <v/>
      </c>
      <c r="D875" s="87">
        <f>$C875-$B875+1</f>
        <v/>
      </c>
      <c r="E875" s="87">
        <f>MONTH($B875)</f>
        <v/>
      </c>
      <c r="F875" s="93">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$N875*IF($O$832=1,$O875/$F$832,1)</f>
        <v/>
      </c>
      <c r="T875" s="95">
        <f>IF($G875&lt;nr_MStartP,$S875,$T863*(1+IF($G875&lt;nr_MStartP1,$M$832,$N$832)))</f>
        <v/>
      </c>
      <c r="U875" s="95">
        <f>IF($L$832,$T875,$N875)</f>
        <v/>
      </c>
    </row>
    <row r="876">
      <c r="A876" s="90" t="n">
        <v>42</v>
      </c>
      <c r="B876" s="91">
        <f>EDATE($B875,1)</f>
        <v/>
      </c>
      <c r="C876" s="92">
        <f>EOMONTH($B876,0)</f>
        <v/>
      </c>
      <c r="D876" s="87">
        <f>$C876-$B876+1</f>
        <v/>
      </c>
      <c r="E876" s="87">
        <f>MONTH($B876)</f>
        <v/>
      </c>
      <c r="F876" s="93">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$N876*IF($O$832=1,$O876/$F$832,1)</f>
        <v/>
      </c>
      <c r="T876" s="95">
        <f>IF($G876&lt;nr_MStartP,$S876,$T864*(1+IF($G876&lt;nr_MStartP1,$M$832,$N$832)))</f>
        <v/>
      </c>
      <c r="U876" s="95">
        <f>IF($L$832,$T876,$N876)</f>
        <v/>
      </c>
    </row>
    <row r="877">
      <c r="A877" s="90" t="n">
        <v>43</v>
      </c>
      <c r="B877" s="91">
        <f>EDATE($B876,1)</f>
        <v/>
      </c>
      <c r="C877" s="92">
        <f>EOMONTH($B877,0)</f>
        <v/>
      </c>
      <c r="D877" s="87">
        <f>$C877-$B877+1</f>
        <v/>
      </c>
      <c r="E877" s="87">
        <f>MONTH($B877)</f>
        <v/>
      </c>
      <c r="F877" s="93">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$N877*IF($O$832=1,$O877/$F$832,1)</f>
        <v/>
      </c>
      <c r="T877" s="95">
        <f>IF($G877&lt;nr_MStartP,$S877,$T865*(1+IF($G877&lt;nr_MStartP1,$M$832,$N$832)))</f>
        <v/>
      </c>
      <c r="U877" s="95">
        <f>IF($L$832,$T877,$N877)</f>
        <v/>
      </c>
    </row>
    <row r="878">
      <c r="A878" s="90" t="n">
        <v>44</v>
      </c>
      <c r="B878" s="91">
        <f>EDATE($B877,1)</f>
        <v/>
      </c>
      <c r="C878" s="92">
        <f>EOMONTH($B878,0)</f>
        <v/>
      </c>
      <c r="D878" s="87">
        <f>$C878-$B878+1</f>
        <v/>
      </c>
      <c r="E878" s="87">
        <f>MONTH($B878)</f>
        <v/>
      </c>
      <c r="F878" s="93">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$N878*IF($O$832=1,$O878/$F$832,1)</f>
        <v/>
      </c>
      <c r="T878" s="95">
        <f>IF($G878&lt;nr_MStartP,$S878,$T866*(1+IF($G878&lt;nr_MStartP1,$M$832,$N$832)))</f>
        <v/>
      </c>
      <c r="U878" s="95">
        <f>IF($L$832,$T878,$N878)</f>
        <v/>
      </c>
    </row>
    <row r="879">
      <c r="A879" s="90" t="n">
        <v>45</v>
      </c>
      <c r="B879" s="91">
        <f>EDATE($B878,1)</f>
        <v/>
      </c>
      <c r="C879" s="92">
        <f>EOMONTH($B879,0)</f>
        <v/>
      </c>
      <c r="D879" s="87">
        <f>$C879-$B879+1</f>
        <v/>
      </c>
      <c r="E879" s="87">
        <f>MONTH($B879)</f>
        <v/>
      </c>
      <c r="F879" s="93">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$N879*IF($O$832=1,$O879/$F$832,1)</f>
        <v/>
      </c>
      <c r="T879" s="95">
        <f>IF($G879&lt;nr_MStartP,$S879,$T867*(1+IF($G879&lt;nr_MStartP1,$M$832,$N$832)))</f>
        <v/>
      </c>
      <c r="U879" s="95">
        <f>IF($L$832,$T879,$N879)</f>
        <v/>
      </c>
    </row>
    <row r="880">
      <c r="A880" s="90" t="n">
        <v>46</v>
      </c>
      <c r="B880" s="91">
        <f>EDATE($B879,1)</f>
        <v/>
      </c>
      <c r="C880" s="92">
        <f>EOMONTH($B880,0)</f>
        <v/>
      </c>
      <c r="D880" s="87">
        <f>$C880-$B880+1</f>
        <v/>
      </c>
      <c r="E880" s="87">
        <f>MONTH($B880)</f>
        <v/>
      </c>
      <c r="F880" s="93">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$N880*IF($O$832=1,$O880/$F$832,1)</f>
        <v/>
      </c>
      <c r="T880" s="95">
        <f>IF($G880&lt;nr_MStartP,$S880,$T868*(1+IF($G880&lt;nr_MStartP1,$M$832,$N$832)))</f>
        <v/>
      </c>
      <c r="U880" s="95">
        <f>IF($L$832,$T880,$N880)</f>
        <v/>
      </c>
    </row>
    <row r="881">
      <c r="A881" s="90" t="n">
        <v>47</v>
      </c>
      <c r="B881" s="91">
        <f>EDATE($B880,1)</f>
        <v/>
      </c>
      <c r="C881" s="92">
        <f>EOMONTH($B881,0)</f>
        <v/>
      </c>
      <c r="D881" s="87">
        <f>$C881-$B881+1</f>
        <v/>
      </c>
      <c r="E881" s="87">
        <f>MONTH($B881)</f>
        <v/>
      </c>
      <c r="F881" s="93">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$N881*IF($O$832=1,$O881/$F$832,1)</f>
        <v/>
      </c>
      <c r="T881" s="95">
        <f>IF($G881&lt;nr_MStartP,$S881,$T869*(1+IF($G881&lt;nr_MStartP1,$M$832,$N$832)))</f>
        <v/>
      </c>
      <c r="U881" s="95">
        <f>IF($L$832,$T881,$N881)</f>
        <v/>
      </c>
    </row>
    <row r="882">
      <c r="A882" s="90" t="n">
        <v>48</v>
      </c>
      <c r="B882" s="91">
        <f>EDATE($B881,1)</f>
        <v/>
      </c>
      <c r="C882" s="92">
        <f>EOMONTH($B882,0)</f>
        <v/>
      </c>
      <c r="D882" s="87">
        <f>$C882-$B882+1</f>
        <v/>
      </c>
      <c r="E882" s="87">
        <f>MONTH($B882)</f>
        <v/>
      </c>
      <c r="F882" s="93">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$N882*IF($O$832=1,$O882/$F$832,1)</f>
        <v/>
      </c>
      <c r="T882" s="95">
        <f>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04">
        <f>SUMPRODUCT($H$835:$H$882,$Q$835:$Q$882,$O$835:$O$882)/SUMPRODUCT($H$835:$H$882,$Q$835:$Q$882)</f>
        <v/>
      </c>
      <c r="G883" s="20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04">
        <f>IF(N(INDEX(lr_mind,16))=0,1,INDEX(lr_mind,16))</f>
        <v/>
      </c>
      <c r="G886" s="204">
        <f>IF(N(INDEX(lr_m0,16))=0,1,INDEX(lr_m0,16))</f>
        <v/>
      </c>
      <c r="H886" s="73">
        <f>IF(N(INDEX(lr_m0asof,16))=0,DATE(nr_PlanYear-1,10,1),INDEX(lr_m0asof,16))</f>
        <v/>
      </c>
      <c r="I886" s="204">
        <f>IF(N(INDEX(lr_m1,16))=0,1,INDEX(lr_m1,16))</f>
        <v/>
      </c>
      <c r="J886" s="204">
        <f>INDEX(lr_mprior,16)</f>
        <v/>
      </c>
      <c r="K886" s="20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93">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$N889*IF($O$886=1,$O889/$F$886,1)</f>
        <v/>
      </c>
      <c r="T889" s="95">
        <f>IF($G889&lt;nr_MStartP,$S889,$T877*(1+IF($G889&lt;nr_MStartP1,$M$886,$N$886)))</f>
        <v/>
      </c>
      <c r="U889" s="95">
        <f>IF($L$886,$T889,$N889)</f>
        <v/>
      </c>
    </row>
    <row r="890">
      <c r="A890" s="90" t="n">
        <v>2</v>
      </c>
      <c r="B890" s="91">
        <f>EDATE($B889,1)</f>
        <v/>
      </c>
      <c r="C890" s="92">
        <f>EOMONTH($B890,0)</f>
        <v/>
      </c>
      <c r="D890" s="87">
        <f>$C890-$B890+1</f>
        <v/>
      </c>
      <c r="E890" s="87">
        <f>MONTH($B890)</f>
        <v/>
      </c>
      <c r="F890" s="93">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$N890*IF($O$886=1,$O890/$F$886,1)</f>
        <v/>
      </c>
      <c r="T890" s="95">
        <f>IF($G890&lt;nr_MStartP,$S890,$T878*(1+IF($G890&lt;nr_MStartP1,$M$886,$N$886)))</f>
        <v/>
      </c>
      <c r="U890" s="95">
        <f>IF($L$886,$T890,$N890)</f>
        <v/>
      </c>
    </row>
    <row r="891">
      <c r="A891" s="90" t="n">
        <v>3</v>
      </c>
      <c r="B891" s="91">
        <f>EDATE($B890,1)</f>
        <v/>
      </c>
      <c r="C891" s="92">
        <f>EOMONTH($B891,0)</f>
        <v/>
      </c>
      <c r="D891" s="87">
        <f>$C891-$B891+1</f>
        <v/>
      </c>
      <c r="E891" s="87">
        <f>MONTH($B891)</f>
        <v/>
      </c>
      <c r="F891" s="93">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$N891*IF($O$886=1,$O891/$F$886,1)</f>
        <v/>
      </c>
      <c r="T891" s="95">
        <f>IF($G891&lt;nr_MStartP,$S891,$T879*(1+IF($G891&lt;nr_MStartP1,$M$886,$N$886)))</f>
        <v/>
      </c>
      <c r="U891" s="95">
        <f>IF($L$886,$T891,$N891)</f>
        <v/>
      </c>
    </row>
    <row r="892">
      <c r="A892" s="90" t="n">
        <v>4</v>
      </c>
      <c r="B892" s="91">
        <f>EDATE($B891,1)</f>
        <v/>
      </c>
      <c r="C892" s="92">
        <f>EOMONTH($B892,0)</f>
        <v/>
      </c>
      <c r="D892" s="87">
        <f>$C892-$B892+1</f>
        <v/>
      </c>
      <c r="E892" s="87">
        <f>MONTH($B892)</f>
        <v/>
      </c>
      <c r="F892" s="93">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$N892*IF($O$886=1,$O892/$F$886,1)</f>
        <v/>
      </c>
      <c r="T892" s="95">
        <f>IF($G892&lt;nr_MStartP,$S892,$T880*(1+IF($G892&lt;nr_MStartP1,$M$886,$N$886)))</f>
        <v/>
      </c>
      <c r="U892" s="95">
        <f>IF($L$886,$T892,$N892)</f>
        <v/>
      </c>
    </row>
    <row r="893">
      <c r="A893" s="90" t="n">
        <v>5</v>
      </c>
      <c r="B893" s="91">
        <f>EDATE($B892,1)</f>
        <v/>
      </c>
      <c r="C893" s="92">
        <f>EOMONTH($B893,0)</f>
        <v/>
      </c>
      <c r="D893" s="87">
        <f>$C893-$B893+1</f>
        <v/>
      </c>
      <c r="E893" s="87">
        <f>MONTH($B893)</f>
        <v/>
      </c>
      <c r="F893" s="93">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$N893*IF($O$886=1,$O893/$F$886,1)</f>
        <v/>
      </c>
      <c r="T893" s="95">
        <f>IF($G893&lt;nr_MStartP,$S893,$T881*(1+IF($G893&lt;nr_MStartP1,$M$886,$N$886)))</f>
        <v/>
      </c>
      <c r="U893" s="95">
        <f>IF($L$886,$T893,$N893)</f>
        <v/>
      </c>
    </row>
    <row r="894">
      <c r="A894" s="90" t="n">
        <v>6</v>
      </c>
      <c r="B894" s="91">
        <f>EDATE($B893,1)</f>
        <v/>
      </c>
      <c r="C894" s="92">
        <f>EOMONTH($B894,0)</f>
        <v/>
      </c>
      <c r="D894" s="87">
        <f>$C894-$B894+1</f>
        <v/>
      </c>
      <c r="E894" s="87">
        <f>MONTH($B894)</f>
        <v/>
      </c>
      <c r="F894" s="93">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$N894*IF($O$886=1,$O894/$F$886,1)</f>
        <v/>
      </c>
      <c r="T894" s="95">
        <f>IF($G894&lt;nr_MStartP,$S894,$T882*(1+IF($G894&lt;nr_MStartP1,$M$886,$N$886)))</f>
        <v/>
      </c>
      <c r="U894" s="95">
        <f>IF($L$886,$T894,$N894)</f>
        <v/>
      </c>
    </row>
    <row r="895">
      <c r="A895" s="90" t="n">
        <v>7</v>
      </c>
      <c r="B895" s="91">
        <f>EDATE($B894,1)</f>
        <v/>
      </c>
      <c r="C895" s="92">
        <f>EOMONTH($B895,0)</f>
        <v/>
      </c>
      <c r="D895" s="87">
        <f>$C895-$B895+1</f>
        <v/>
      </c>
      <c r="E895" s="87">
        <f>MONTH($B895)</f>
        <v/>
      </c>
      <c r="F895" s="93">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$N895*IF($O$886=1,$O895/$F$886,1)</f>
        <v/>
      </c>
      <c r="T895" s="95">
        <f>IF($G895&lt;nr_MStartP,$S895,$T883*(1+IF($G895&lt;nr_MStartP1,$M$886,$N$886)))</f>
        <v/>
      </c>
      <c r="U895" s="95">
        <f>IF($L$886,$T895,$N895)</f>
        <v/>
      </c>
    </row>
    <row r="896">
      <c r="A896" s="90" t="n">
        <v>8</v>
      </c>
      <c r="B896" s="91">
        <f>EDATE($B895,1)</f>
        <v/>
      </c>
      <c r="C896" s="92">
        <f>EOMONTH($B896,0)</f>
        <v/>
      </c>
      <c r="D896" s="87">
        <f>$C896-$B896+1</f>
        <v/>
      </c>
      <c r="E896" s="87">
        <f>MONTH($B896)</f>
        <v/>
      </c>
      <c r="F896" s="93">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$N896*IF($O$886=1,$O896/$F$886,1)</f>
        <v/>
      </c>
      <c r="T896" s="95">
        <f>IF($G896&lt;nr_MStartP,$S896,$T884*(1+IF($G896&lt;nr_MStartP1,$M$886,$N$886)))</f>
        <v/>
      </c>
      <c r="U896" s="95">
        <f>IF($L$886,$T896,$N896)</f>
        <v/>
      </c>
    </row>
    <row r="897">
      <c r="A897" s="90" t="n">
        <v>9</v>
      </c>
      <c r="B897" s="91">
        <f>EDATE($B896,1)</f>
        <v/>
      </c>
      <c r="C897" s="92">
        <f>EOMONTH($B897,0)</f>
        <v/>
      </c>
      <c r="D897" s="87">
        <f>$C897-$B897+1</f>
        <v/>
      </c>
      <c r="E897" s="87">
        <f>MONTH($B897)</f>
        <v/>
      </c>
      <c r="F897" s="93">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$N897*IF($O$886=1,$O897/$F$886,1)</f>
        <v/>
      </c>
      <c r="T897" s="95">
        <f>IF($G897&lt;nr_MStartP,$S897,$T885*(1+IF($G897&lt;nr_MStartP1,$M$886,$N$886)))</f>
        <v/>
      </c>
      <c r="U897" s="95">
        <f>IF($L$886,$T897,$N897)</f>
        <v/>
      </c>
    </row>
    <row r="898">
      <c r="A898" s="90" t="n">
        <v>10</v>
      </c>
      <c r="B898" s="91">
        <f>EDATE($B897,1)</f>
        <v/>
      </c>
      <c r="C898" s="92">
        <f>EOMONTH($B898,0)</f>
        <v/>
      </c>
      <c r="D898" s="87">
        <f>$C898-$B898+1</f>
        <v/>
      </c>
      <c r="E898" s="87">
        <f>MONTH($B898)</f>
        <v/>
      </c>
      <c r="F898" s="93">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$N898*IF($O$886=1,$O898/$F$886,1)</f>
        <v/>
      </c>
      <c r="T898" s="95">
        <f>IF($G898&lt;nr_MStartP,$S898,$T886*(1+IF($G898&lt;nr_MStartP1,$M$886,$N$886)))</f>
        <v/>
      </c>
      <c r="U898" s="95">
        <f>IF($L$886,$T898,$N898)</f>
        <v/>
      </c>
    </row>
    <row r="899">
      <c r="A899" s="90" t="n">
        <v>11</v>
      </c>
      <c r="B899" s="91">
        <f>EDATE($B898,1)</f>
        <v/>
      </c>
      <c r="C899" s="92">
        <f>EOMONTH($B899,0)</f>
        <v/>
      </c>
      <c r="D899" s="87">
        <f>$C899-$B899+1</f>
        <v/>
      </c>
      <c r="E899" s="87">
        <f>MONTH($B899)</f>
        <v/>
      </c>
      <c r="F899" s="93">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$N899*IF($O$886=1,$O899/$F$886,1)</f>
        <v/>
      </c>
      <c r="T899" s="95">
        <f>IF($G899&lt;nr_MStartP,$S899,$T887*(1+IF($G899&lt;nr_MStartP1,$M$886,$N$886)))</f>
        <v/>
      </c>
      <c r="U899" s="95">
        <f>IF($L$886,$T899,$N899)</f>
        <v/>
      </c>
    </row>
    <row r="900">
      <c r="A900" s="90" t="n">
        <v>12</v>
      </c>
      <c r="B900" s="91">
        <f>EDATE($B899,1)</f>
        <v/>
      </c>
      <c r="C900" s="92">
        <f>EOMONTH($B900,0)</f>
        <v/>
      </c>
      <c r="D900" s="87">
        <f>$C900-$B900+1</f>
        <v/>
      </c>
      <c r="E900" s="87">
        <f>MONTH($B900)</f>
        <v/>
      </c>
      <c r="F900" s="93">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$N900*IF($O$886=1,$O900/$F$886,1)</f>
        <v/>
      </c>
      <c r="T900" s="95">
        <f>IF($G900&lt;nr_MStartP,$S900,$T888*(1+IF($G900&lt;nr_MStartP1,$M$886,$N$886)))</f>
        <v/>
      </c>
      <c r="U900" s="95">
        <f>IF($L$886,$T900,$N900)</f>
        <v/>
      </c>
    </row>
    <row r="901">
      <c r="A901" s="90" t="n">
        <v>13</v>
      </c>
      <c r="B901" s="91">
        <f>EDATE($B900,1)</f>
        <v/>
      </c>
      <c r="C901" s="92">
        <f>EOMONTH($B901,0)</f>
        <v/>
      </c>
      <c r="D901" s="87">
        <f>$C901-$B901+1</f>
        <v/>
      </c>
      <c r="E901" s="87">
        <f>MONTH($B901)</f>
        <v/>
      </c>
      <c r="F901" s="93">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$N901*IF($O$886=1,$O901/$F$886,1)</f>
        <v/>
      </c>
      <c r="T901" s="95">
        <f>IF($G901&lt;nr_MStartP,$S901,$T889*(1+IF($G901&lt;nr_MStartP1,$M$886,$N$886)))</f>
        <v/>
      </c>
      <c r="U901" s="95">
        <f>IF($L$886,$T901,$N901)</f>
        <v/>
      </c>
    </row>
    <row r="902">
      <c r="A902" s="90" t="n">
        <v>14</v>
      </c>
      <c r="B902" s="91">
        <f>EDATE($B901,1)</f>
        <v/>
      </c>
      <c r="C902" s="92">
        <f>EOMONTH($B902,0)</f>
        <v/>
      </c>
      <c r="D902" s="87">
        <f>$C902-$B902+1</f>
        <v/>
      </c>
      <c r="E902" s="87">
        <f>MONTH($B902)</f>
        <v/>
      </c>
      <c r="F902" s="93">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$N902*IF($O$886=1,$O902/$F$886,1)</f>
        <v/>
      </c>
      <c r="T902" s="95">
        <f>IF($G902&lt;nr_MStartP,$S902,$T890*(1+IF($G902&lt;nr_MStartP1,$M$886,$N$886)))</f>
        <v/>
      </c>
      <c r="U902" s="95">
        <f>IF($L$886,$T902,$N902)</f>
        <v/>
      </c>
    </row>
    <row r="903">
      <c r="A903" s="90" t="n">
        <v>15</v>
      </c>
      <c r="B903" s="91">
        <f>EDATE($B902,1)</f>
        <v/>
      </c>
      <c r="C903" s="92">
        <f>EOMONTH($B903,0)</f>
        <v/>
      </c>
      <c r="D903" s="87">
        <f>$C903-$B903+1</f>
        <v/>
      </c>
      <c r="E903" s="87">
        <f>MONTH($B903)</f>
        <v/>
      </c>
      <c r="F903" s="93">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$N903*IF($O$886=1,$O903/$F$886,1)</f>
        <v/>
      </c>
      <c r="T903" s="95">
        <f>IF($G903&lt;nr_MStartP,$S903,$T891*(1+IF($G903&lt;nr_MStartP1,$M$886,$N$886)))</f>
        <v/>
      </c>
      <c r="U903" s="95">
        <f>IF($L$886,$T903,$N903)</f>
        <v/>
      </c>
    </row>
    <row r="904">
      <c r="A904" s="90" t="n">
        <v>16</v>
      </c>
      <c r="B904" s="91">
        <f>EDATE($B903,1)</f>
        <v/>
      </c>
      <c r="C904" s="92">
        <f>EOMONTH($B904,0)</f>
        <v/>
      </c>
      <c r="D904" s="87">
        <f>$C904-$B904+1</f>
        <v/>
      </c>
      <c r="E904" s="87">
        <f>MONTH($B904)</f>
        <v/>
      </c>
      <c r="F904" s="93">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$N904*IF($O$886=1,$O904/$F$886,1)</f>
        <v/>
      </c>
      <c r="T904" s="95">
        <f>IF($G904&lt;nr_MStartP,$S904,$T892*(1+IF($G904&lt;nr_MStartP1,$M$886,$N$886)))</f>
        <v/>
      </c>
      <c r="U904" s="95">
        <f>IF($L$886,$T904,$N904)</f>
        <v/>
      </c>
    </row>
    <row r="905">
      <c r="A905" s="90" t="n">
        <v>17</v>
      </c>
      <c r="B905" s="91">
        <f>EDATE($B904,1)</f>
        <v/>
      </c>
      <c r="C905" s="92">
        <f>EOMONTH($B905,0)</f>
        <v/>
      </c>
      <c r="D905" s="87">
        <f>$C905-$B905+1</f>
        <v/>
      </c>
      <c r="E905" s="87">
        <f>MONTH($B905)</f>
        <v/>
      </c>
      <c r="F905" s="93">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$N905*IF($O$886=1,$O905/$F$886,1)</f>
        <v/>
      </c>
      <c r="T905" s="95">
        <f>IF($G905&lt;nr_MStartP,$S905,$T893*(1+IF($G905&lt;nr_MStartP1,$M$886,$N$886)))</f>
        <v/>
      </c>
      <c r="U905" s="95">
        <f>IF($L$886,$T905,$N905)</f>
        <v/>
      </c>
    </row>
    <row r="906">
      <c r="A906" s="90" t="n">
        <v>18</v>
      </c>
      <c r="B906" s="91">
        <f>EDATE($B905,1)</f>
        <v/>
      </c>
      <c r="C906" s="92">
        <f>EOMONTH($B906,0)</f>
        <v/>
      </c>
      <c r="D906" s="87">
        <f>$C906-$B906+1</f>
        <v/>
      </c>
      <c r="E906" s="87">
        <f>MONTH($B906)</f>
        <v/>
      </c>
      <c r="F906" s="93">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$N906*IF($O$886=1,$O906/$F$886,1)</f>
        <v/>
      </c>
      <c r="T906" s="95">
        <f>IF($G906&lt;nr_MStartP,$S906,$T894*(1+IF($G906&lt;nr_MStartP1,$M$886,$N$886)))</f>
        <v/>
      </c>
      <c r="U906" s="95">
        <f>IF($L$886,$T906,$N906)</f>
        <v/>
      </c>
    </row>
    <row r="907">
      <c r="A907" s="90" t="n">
        <v>19</v>
      </c>
      <c r="B907" s="91">
        <f>EDATE($B906,1)</f>
        <v/>
      </c>
      <c r="C907" s="92">
        <f>EOMONTH($B907,0)</f>
        <v/>
      </c>
      <c r="D907" s="87">
        <f>$C907-$B907+1</f>
        <v/>
      </c>
      <c r="E907" s="87">
        <f>MONTH($B907)</f>
        <v/>
      </c>
      <c r="F907" s="93">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$N907*IF($O$886=1,$O907/$F$886,1)</f>
        <v/>
      </c>
      <c r="T907" s="95">
        <f>IF($G907&lt;nr_MStartP,$S907,$T895*(1+IF($G907&lt;nr_MStartP1,$M$886,$N$886)))</f>
        <v/>
      </c>
      <c r="U907" s="95">
        <f>IF($L$886,$T907,$N907)</f>
        <v/>
      </c>
    </row>
    <row r="908">
      <c r="A908" s="90" t="n">
        <v>20</v>
      </c>
      <c r="B908" s="91">
        <f>EDATE($B907,1)</f>
        <v/>
      </c>
      <c r="C908" s="92">
        <f>EOMONTH($B908,0)</f>
        <v/>
      </c>
      <c r="D908" s="87">
        <f>$C908-$B908+1</f>
        <v/>
      </c>
      <c r="E908" s="87">
        <f>MONTH($B908)</f>
        <v/>
      </c>
      <c r="F908" s="93">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$N908*IF($O$886=1,$O908/$F$886,1)</f>
        <v/>
      </c>
      <c r="T908" s="95">
        <f>IF($G908&lt;nr_MStartP,$S908,$T896*(1+IF($G908&lt;nr_MStartP1,$M$886,$N$886)))</f>
        <v/>
      </c>
      <c r="U908" s="95">
        <f>IF($L$886,$T908,$N908)</f>
        <v/>
      </c>
    </row>
    <row r="909">
      <c r="A909" s="90" t="n">
        <v>21</v>
      </c>
      <c r="B909" s="91">
        <f>EDATE($B908,1)</f>
        <v/>
      </c>
      <c r="C909" s="92">
        <f>EOMONTH($B909,0)</f>
        <v/>
      </c>
      <c r="D909" s="87">
        <f>$C909-$B909+1</f>
        <v/>
      </c>
      <c r="E909" s="87">
        <f>MONTH($B909)</f>
        <v/>
      </c>
      <c r="F909" s="93">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$N909*IF($O$886=1,$O909/$F$886,1)</f>
        <v/>
      </c>
      <c r="T909" s="95">
        <f>IF($G909&lt;nr_MStartP,$S909,$T897*(1+IF($G909&lt;nr_MStartP1,$M$886,$N$886)))</f>
        <v/>
      </c>
      <c r="U909" s="95">
        <f>IF($L$886,$T909,$N909)</f>
        <v/>
      </c>
    </row>
    <row r="910">
      <c r="A910" s="90" t="n">
        <v>22</v>
      </c>
      <c r="B910" s="91">
        <f>EDATE($B909,1)</f>
        <v/>
      </c>
      <c r="C910" s="92">
        <f>EOMONTH($B910,0)</f>
        <v/>
      </c>
      <c r="D910" s="87">
        <f>$C910-$B910+1</f>
        <v/>
      </c>
      <c r="E910" s="87">
        <f>MONTH($B910)</f>
        <v/>
      </c>
      <c r="F910" s="93">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$N910*IF($O$886=1,$O910/$F$886,1)</f>
        <v/>
      </c>
      <c r="T910" s="95">
        <f>IF($G910&lt;nr_MStartP,$S910,$T898*(1+IF($G910&lt;nr_MStartP1,$M$886,$N$886)))</f>
        <v/>
      </c>
      <c r="U910" s="95">
        <f>IF($L$886,$T910,$N910)</f>
        <v/>
      </c>
    </row>
    <row r="911">
      <c r="A911" s="90" t="n">
        <v>23</v>
      </c>
      <c r="B911" s="91">
        <f>EDATE($B910,1)</f>
        <v/>
      </c>
      <c r="C911" s="92">
        <f>EOMONTH($B911,0)</f>
        <v/>
      </c>
      <c r="D911" s="87">
        <f>$C911-$B911+1</f>
        <v/>
      </c>
      <c r="E911" s="87">
        <f>MONTH($B911)</f>
        <v/>
      </c>
      <c r="F911" s="93">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$N911*IF($O$886=1,$O911/$F$886,1)</f>
        <v/>
      </c>
      <c r="T911" s="95">
        <f>IF($G911&lt;nr_MStartP,$S911,$T899*(1+IF($G911&lt;nr_MStartP1,$M$886,$N$886)))</f>
        <v/>
      </c>
      <c r="U911" s="95">
        <f>IF($L$886,$T911,$N911)</f>
        <v/>
      </c>
    </row>
    <row r="912">
      <c r="A912" s="90" t="n">
        <v>24</v>
      </c>
      <c r="B912" s="91">
        <f>EDATE($B911,1)</f>
        <v/>
      </c>
      <c r="C912" s="92">
        <f>EOMONTH($B912,0)</f>
        <v/>
      </c>
      <c r="D912" s="87">
        <f>$C912-$B912+1</f>
        <v/>
      </c>
      <c r="E912" s="87">
        <f>MONTH($B912)</f>
        <v/>
      </c>
      <c r="F912" s="93">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$N912*IF($O$886=1,$O912/$F$886,1)</f>
        <v/>
      </c>
      <c r="T912" s="95">
        <f>IF($G912&lt;nr_MStartP,$S912,$T900*(1+IF($G912&lt;nr_MStartP1,$M$886,$N$886)))</f>
        <v/>
      </c>
      <c r="U912" s="95">
        <f>IF($L$886,$T912,$N912)</f>
        <v/>
      </c>
    </row>
    <row r="913">
      <c r="A913" s="90" t="n">
        <v>25</v>
      </c>
      <c r="B913" s="91">
        <f>EDATE($B912,1)</f>
        <v/>
      </c>
      <c r="C913" s="92">
        <f>EOMONTH($B913,0)</f>
        <v/>
      </c>
      <c r="D913" s="87">
        <f>$C913-$B913+1</f>
        <v/>
      </c>
      <c r="E913" s="87">
        <f>MONTH($B913)</f>
        <v/>
      </c>
      <c r="F913" s="93">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$N913*IF($O$886=1,$O913/$F$886,1)</f>
        <v/>
      </c>
      <c r="T913" s="95">
        <f>IF($G913&lt;nr_MStartP,$S913,$T901*(1+IF($G913&lt;nr_MStartP1,$M$886,$N$886)))</f>
        <v/>
      </c>
      <c r="U913" s="95">
        <f>IF($L$886,$T913,$N913)</f>
        <v/>
      </c>
    </row>
    <row r="914">
      <c r="A914" s="90" t="n">
        <v>26</v>
      </c>
      <c r="B914" s="91">
        <f>EDATE($B913,1)</f>
        <v/>
      </c>
      <c r="C914" s="92">
        <f>EOMONTH($B914,0)</f>
        <v/>
      </c>
      <c r="D914" s="87">
        <f>$C914-$B914+1</f>
        <v/>
      </c>
      <c r="E914" s="87">
        <f>MONTH($B914)</f>
        <v/>
      </c>
      <c r="F914" s="93">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$N914*IF($O$886=1,$O914/$F$886,1)</f>
        <v/>
      </c>
      <c r="T914" s="95">
        <f>IF($G914&lt;nr_MStartP,$S914,$T902*(1+IF($G914&lt;nr_MStartP1,$M$886,$N$886)))</f>
        <v/>
      </c>
      <c r="U914" s="95">
        <f>IF($L$886,$T914,$N914)</f>
        <v/>
      </c>
    </row>
    <row r="915">
      <c r="A915" s="90" t="n">
        <v>27</v>
      </c>
      <c r="B915" s="91">
        <f>EDATE($B914,1)</f>
        <v/>
      </c>
      <c r="C915" s="92">
        <f>EOMONTH($B915,0)</f>
        <v/>
      </c>
      <c r="D915" s="87">
        <f>$C915-$B915+1</f>
        <v/>
      </c>
      <c r="E915" s="87">
        <f>MONTH($B915)</f>
        <v/>
      </c>
      <c r="F915" s="93">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$N915*IF($O$886=1,$O915/$F$886,1)</f>
        <v/>
      </c>
      <c r="T915" s="95">
        <f>IF($G915&lt;nr_MStartP,$S915,$T903*(1+IF($G915&lt;nr_MStartP1,$M$886,$N$886)))</f>
        <v/>
      </c>
      <c r="U915" s="95">
        <f>IF($L$886,$T915,$N915)</f>
        <v/>
      </c>
    </row>
    <row r="916">
      <c r="A916" s="90" t="n">
        <v>28</v>
      </c>
      <c r="B916" s="91">
        <f>EDATE($B915,1)</f>
        <v/>
      </c>
      <c r="C916" s="92">
        <f>EOMONTH($B916,0)</f>
        <v/>
      </c>
      <c r="D916" s="87">
        <f>$C916-$B916+1</f>
        <v/>
      </c>
      <c r="E916" s="87">
        <f>MONTH($B916)</f>
        <v/>
      </c>
      <c r="F916" s="93">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$N916*IF($O$886=1,$O916/$F$886,1)</f>
        <v/>
      </c>
      <c r="T916" s="95">
        <f>IF($G916&lt;nr_MStartP,$S916,$T904*(1+IF($G916&lt;nr_MStartP1,$M$886,$N$886)))</f>
        <v/>
      </c>
      <c r="U916" s="95">
        <f>IF($L$886,$T916,$N916)</f>
        <v/>
      </c>
    </row>
    <row r="917">
      <c r="A917" s="90" t="n">
        <v>29</v>
      </c>
      <c r="B917" s="91">
        <f>EDATE($B916,1)</f>
        <v/>
      </c>
      <c r="C917" s="92">
        <f>EOMONTH($B917,0)</f>
        <v/>
      </c>
      <c r="D917" s="87">
        <f>$C917-$B917+1</f>
        <v/>
      </c>
      <c r="E917" s="87">
        <f>MONTH($B917)</f>
        <v/>
      </c>
      <c r="F917" s="93">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$N917*IF($O$886=1,$O917/$F$886,1)</f>
        <v/>
      </c>
      <c r="T917" s="95">
        <f>IF($G917&lt;nr_MStartP,$S917,$T905*(1+IF($G917&lt;nr_MStartP1,$M$886,$N$886)))</f>
        <v/>
      </c>
      <c r="U917" s="95">
        <f>IF($L$886,$T917,$N917)</f>
        <v/>
      </c>
    </row>
    <row r="918">
      <c r="A918" s="90" t="n">
        <v>30</v>
      </c>
      <c r="B918" s="91">
        <f>EDATE($B917,1)</f>
        <v/>
      </c>
      <c r="C918" s="92">
        <f>EOMONTH($B918,0)</f>
        <v/>
      </c>
      <c r="D918" s="87">
        <f>$C918-$B918+1</f>
        <v/>
      </c>
      <c r="E918" s="87">
        <f>MONTH($B918)</f>
        <v/>
      </c>
      <c r="F918" s="93">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$N918*IF($O$886=1,$O918/$F$886,1)</f>
        <v/>
      </c>
      <c r="T918" s="95">
        <f>IF($G918&lt;nr_MStartP,$S918,$T906*(1+IF($G918&lt;nr_MStartP1,$M$886,$N$886)))</f>
        <v/>
      </c>
      <c r="U918" s="95">
        <f>IF($L$886,$T918,$N918)</f>
        <v/>
      </c>
    </row>
    <row r="919">
      <c r="A919" s="90" t="n">
        <v>31</v>
      </c>
      <c r="B919" s="91">
        <f>EDATE($B918,1)</f>
        <v/>
      </c>
      <c r="C919" s="92">
        <f>EOMONTH($B919,0)</f>
        <v/>
      </c>
      <c r="D919" s="87">
        <f>$C919-$B919+1</f>
        <v/>
      </c>
      <c r="E919" s="87">
        <f>MONTH($B919)</f>
        <v/>
      </c>
      <c r="F919" s="93">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$N919*IF($O$886=1,$O919/$F$886,1)</f>
        <v/>
      </c>
      <c r="T919" s="95">
        <f>IF($G919&lt;nr_MStartP,$S919,$T907*(1+IF($G919&lt;nr_MStartP1,$M$886,$N$886)))</f>
        <v/>
      </c>
      <c r="U919" s="95">
        <f>IF($L$886,$T919,$N919)</f>
        <v/>
      </c>
    </row>
    <row r="920">
      <c r="A920" s="90" t="n">
        <v>32</v>
      </c>
      <c r="B920" s="91">
        <f>EDATE($B919,1)</f>
        <v/>
      </c>
      <c r="C920" s="92">
        <f>EOMONTH($B920,0)</f>
        <v/>
      </c>
      <c r="D920" s="87">
        <f>$C920-$B920+1</f>
        <v/>
      </c>
      <c r="E920" s="87">
        <f>MONTH($B920)</f>
        <v/>
      </c>
      <c r="F920" s="93">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$N920*IF($O$886=1,$O920/$F$886,1)</f>
        <v/>
      </c>
      <c r="T920" s="95">
        <f>IF($G920&lt;nr_MStartP,$S920,$T908*(1+IF($G920&lt;nr_MStartP1,$M$886,$N$886)))</f>
        <v/>
      </c>
      <c r="U920" s="95">
        <f>IF($L$886,$T920,$N920)</f>
        <v/>
      </c>
    </row>
    <row r="921">
      <c r="A921" s="90" t="n">
        <v>33</v>
      </c>
      <c r="B921" s="91">
        <f>EDATE($B920,1)</f>
        <v/>
      </c>
      <c r="C921" s="92">
        <f>EOMONTH($B921,0)</f>
        <v/>
      </c>
      <c r="D921" s="87">
        <f>$C921-$B921+1</f>
        <v/>
      </c>
      <c r="E921" s="87">
        <f>MONTH($B921)</f>
        <v/>
      </c>
      <c r="F921" s="93">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$N921*IF($O$886=1,$O921/$F$886,1)</f>
        <v/>
      </c>
      <c r="T921" s="95">
        <f>IF($G921&lt;nr_MStartP,$S921,$T909*(1+IF($G921&lt;nr_MStartP1,$M$886,$N$886)))</f>
        <v/>
      </c>
      <c r="U921" s="95">
        <f>IF($L$886,$T921,$N921)</f>
        <v/>
      </c>
    </row>
    <row r="922">
      <c r="A922" s="90" t="n">
        <v>34</v>
      </c>
      <c r="B922" s="91">
        <f>EDATE($B921,1)</f>
        <v/>
      </c>
      <c r="C922" s="92">
        <f>EOMONTH($B922,0)</f>
        <v/>
      </c>
      <c r="D922" s="87">
        <f>$C922-$B922+1</f>
        <v/>
      </c>
      <c r="E922" s="87">
        <f>MONTH($B922)</f>
        <v/>
      </c>
      <c r="F922" s="93">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$N922*IF($O$886=1,$O922/$F$886,1)</f>
        <v/>
      </c>
      <c r="T922" s="95">
        <f>IF($G922&lt;nr_MStartP,$S922,$T910*(1+IF($G922&lt;nr_MStartP1,$M$886,$N$886)))</f>
        <v/>
      </c>
      <c r="U922" s="95">
        <f>IF($L$886,$T922,$N922)</f>
        <v/>
      </c>
    </row>
    <row r="923">
      <c r="A923" s="90" t="n">
        <v>35</v>
      </c>
      <c r="B923" s="91">
        <f>EDATE($B922,1)</f>
        <v/>
      </c>
      <c r="C923" s="92">
        <f>EOMONTH($B923,0)</f>
        <v/>
      </c>
      <c r="D923" s="87">
        <f>$C923-$B923+1</f>
        <v/>
      </c>
      <c r="E923" s="87">
        <f>MONTH($B923)</f>
        <v/>
      </c>
      <c r="F923" s="93">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$N923*IF($O$886=1,$O923/$F$886,1)</f>
        <v/>
      </c>
      <c r="T923" s="95">
        <f>IF($G923&lt;nr_MStartP,$S923,$T911*(1+IF($G923&lt;nr_MStartP1,$M$886,$N$886)))</f>
        <v/>
      </c>
      <c r="U923" s="95">
        <f>IF($L$886,$T923,$N923)</f>
        <v/>
      </c>
    </row>
    <row r="924">
      <c r="A924" s="90" t="n">
        <v>36</v>
      </c>
      <c r="B924" s="91">
        <f>EDATE($B923,1)</f>
        <v/>
      </c>
      <c r="C924" s="92">
        <f>EOMONTH($B924,0)</f>
        <v/>
      </c>
      <c r="D924" s="87">
        <f>$C924-$B924+1</f>
        <v/>
      </c>
      <c r="E924" s="87">
        <f>MONTH($B924)</f>
        <v/>
      </c>
      <c r="F924" s="93">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$N924*IF($O$886=1,$O924/$F$886,1)</f>
        <v/>
      </c>
      <c r="T924" s="95">
        <f>IF($G924&lt;nr_MStartP,$S924,$T912*(1+IF($G924&lt;nr_MStartP1,$M$886,$N$886)))</f>
        <v/>
      </c>
      <c r="U924" s="95">
        <f>IF($L$886,$T924,$N924)</f>
        <v/>
      </c>
    </row>
    <row r="925">
      <c r="A925" s="90" t="n">
        <v>37</v>
      </c>
      <c r="B925" s="91">
        <f>EDATE($B924,1)</f>
        <v/>
      </c>
      <c r="C925" s="92">
        <f>EOMONTH($B925,0)</f>
        <v/>
      </c>
      <c r="D925" s="87">
        <f>$C925-$B925+1</f>
        <v/>
      </c>
      <c r="E925" s="87">
        <f>MONTH($B925)</f>
        <v/>
      </c>
      <c r="F925" s="93">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$N925*IF($O$886=1,$O925/$F$886,1)</f>
        <v/>
      </c>
      <c r="T925" s="95">
        <f>IF($G925&lt;nr_MStartP,$S925,$T913*(1+IF($G925&lt;nr_MStartP1,$M$886,$N$886)))</f>
        <v/>
      </c>
      <c r="U925" s="95">
        <f>IF($L$886,$T925,$N925)</f>
        <v/>
      </c>
    </row>
    <row r="926">
      <c r="A926" s="90" t="n">
        <v>38</v>
      </c>
      <c r="B926" s="91">
        <f>EDATE($B925,1)</f>
        <v/>
      </c>
      <c r="C926" s="92">
        <f>EOMONTH($B926,0)</f>
        <v/>
      </c>
      <c r="D926" s="87">
        <f>$C926-$B926+1</f>
        <v/>
      </c>
      <c r="E926" s="87">
        <f>MONTH($B926)</f>
        <v/>
      </c>
      <c r="F926" s="93">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$N926*IF($O$886=1,$O926/$F$886,1)</f>
        <v/>
      </c>
      <c r="T926" s="95">
        <f>IF($G926&lt;nr_MStartP,$S926,$T914*(1+IF($G926&lt;nr_MStartP1,$M$886,$N$886)))</f>
        <v/>
      </c>
      <c r="U926" s="95">
        <f>IF($L$886,$T926,$N926)</f>
        <v/>
      </c>
    </row>
    <row r="927">
      <c r="A927" s="90" t="n">
        <v>39</v>
      </c>
      <c r="B927" s="91">
        <f>EDATE($B926,1)</f>
        <v/>
      </c>
      <c r="C927" s="92">
        <f>EOMONTH($B927,0)</f>
        <v/>
      </c>
      <c r="D927" s="87">
        <f>$C927-$B927+1</f>
        <v/>
      </c>
      <c r="E927" s="87">
        <f>MONTH($B927)</f>
        <v/>
      </c>
      <c r="F927" s="93">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$N927*IF($O$886=1,$O927/$F$886,1)</f>
        <v/>
      </c>
      <c r="T927" s="95">
        <f>IF($G927&lt;nr_MStartP,$S927,$T915*(1+IF($G927&lt;nr_MStartP1,$M$886,$N$886)))</f>
        <v/>
      </c>
      <c r="U927" s="95">
        <f>IF($L$886,$T927,$N927)</f>
        <v/>
      </c>
    </row>
    <row r="928">
      <c r="A928" s="90" t="n">
        <v>40</v>
      </c>
      <c r="B928" s="91">
        <f>EDATE($B927,1)</f>
        <v/>
      </c>
      <c r="C928" s="92">
        <f>EOMONTH($B928,0)</f>
        <v/>
      </c>
      <c r="D928" s="87">
        <f>$C928-$B928+1</f>
        <v/>
      </c>
      <c r="E928" s="87">
        <f>MONTH($B928)</f>
        <v/>
      </c>
      <c r="F928" s="93">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$N928*IF($O$886=1,$O928/$F$886,1)</f>
        <v/>
      </c>
      <c r="T928" s="95">
        <f>IF($G928&lt;nr_MStartP,$S928,$T916*(1+IF($G928&lt;nr_MStartP1,$M$886,$N$886)))</f>
        <v/>
      </c>
      <c r="U928" s="95">
        <f>IF($L$886,$T928,$N928)</f>
        <v/>
      </c>
    </row>
    <row r="929">
      <c r="A929" s="90" t="n">
        <v>41</v>
      </c>
      <c r="B929" s="91">
        <f>EDATE($B928,1)</f>
        <v/>
      </c>
      <c r="C929" s="92">
        <f>EOMONTH($B929,0)</f>
        <v/>
      </c>
      <c r="D929" s="87">
        <f>$C929-$B929+1</f>
        <v/>
      </c>
      <c r="E929" s="87">
        <f>MONTH($B929)</f>
        <v/>
      </c>
      <c r="F929" s="93">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$N929*IF($O$886=1,$O929/$F$886,1)</f>
        <v/>
      </c>
      <c r="T929" s="95">
        <f>IF($G929&lt;nr_MStartP,$S929,$T917*(1+IF($G929&lt;nr_MStartP1,$M$886,$N$886)))</f>
        <v/>
      </c>
      <c r="U929" s="95">
        <f>IF($L$886,$T929,$N929)</f>
        <v/>
      </c>
    </row>
    <row r="930">
      <c r="A930" s="90" t="n">
        <v>42</v>
      </c>
      <c r="B930" s="91">
        <f>EDATE($B929,1)</f>
        <v/>
      </c>
      <c r="C930" s="92">
        <f>EOMONTH($B930,0)</f>
        <v/>
      </c>
      <c r="D930" s="87">
        <f>$C930-$B930+1</f>
        <v/>
      </c>
      <c r="E930" s="87">
        <f>MONTH($B930)</f>
        <v/>
      </c>
      <c r="F930" s="93">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$N930*IF($O$886=1,$O930/$F$886,1)</f>
        <v/>
      </c>
      <c r="T930" s="95">
        <f>IF($G930&lt;nr_MStartP,$S930,$T918*(1+IF($G930&lt;nr_MStartP1,$M$886,$N$886)))</f>
        <v/>
      </c>
      <c r="U930" s="95">
        <f>IF($L$886,$T930,$N930)</f>
        <v/>
      </c>
    </row>
    <row r="931">
      <c r="A931" s="90" t="n">
        <v>43</v>
      </c>
      <c r="B931" s="91">
        <f>EDATE($B930,1)</f>
        <v/>
      </c>
      <c r="C931" s="92">
        <f>EOMONTH($B931,0)</f>
        <v/>
      </c>
      <c r="D931" s="87">
        <f>$C931-$B931+1</f>
        <v/>
      </c>
      <c r="E931" s="87">
        <f>MONTH($B931)</f>
        <v/>
      </c>
      <c r="F931" s="93">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$N931*IF($O$886=1,$O931/$F$886,1)</f>
        <v/>
      </c>
      <c r="T931" s="95">
        <f>IF($G931&lt;nr_MStartP,$S931,$T919*(1+IF($G931&lt;nr_MStartP1,$M$886,$N$886)))</f>
        <v/>
      </c>
      <c r="U931" s="95">
        <f>IF($L$886,$T931,$N931)</f>
        <v/>
      </c>
    </row>
    <row r="932">
      <c r="A932" s="90" t="n">
        <v>44</v>
      </c>
      <c r="B932" s="91">
        <f>EDATE($B931,1)</f>
        <v/>
      </c>
      <c r="C932" s="92">
        <f>EOMONTH($B932,0)</f>
        <v/>
      </c>
      <c r="D932" s="87">
        <f>$C932-$B932+1</f>
        <v/>
      </c>
      <c r="E932" s="87">
        <f>MONTH($B932)</f>
        <v/>
      </c>
      <c r="F932" s="93">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$N932*IF($O$886=1,$O932/$F$886,1)</f>
        <v/>
      </c>
      <c r="T932" s="95">
        <f>IF($G932&lt;nr_MStartP,$S932,$T920*(1+IF($G932&lt;nr_MStartP1,$M$886,$N$886)))</f>
        <v/>
      </c>
      <c r="U932" s="95">
        <f>IF($L$886,$T932,$N932)</f>
        <v/>
      </c>
    </row>
    <row r="933">
      <c r="A933" s="90" t="n">
        <v>45</v>
      </c>
      <c r="B933" s="91">
        <f>EDATE($B932,1)</f>
        <v/>
      </c>
      <c r="C933" s="92">
        <f>EOMONTH($B933,0)</f>
        <v/>
      </c>
      <c r="D933" s="87">
        <f>$C933-$B933+1</f>
        <v/>
      </c>
      <c r="E933" s="87">
        <f>MONTH($B933)</f>
        <v/>
      </c>
      <c r="F933" s="93">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$N933*IF($O$886=1,$O933/$F$886,1)</f>
        <v/>
      </c>
      <c r="T933" s="95">
        <f>IF($G933&lt;nr_MStartP,$S933,$T921*(1+IF($G933&lt;nr_MStartP1,$M$886,$N$886)))</f>
        <v/>
      </c>
      <c r="U933" s="95">
        <f>IF($L$886,$T933,$N933)</f>
        <v/>
      </c>
    </row>
    <row r="934">
      <c r="A934" s="90" t="n">
        <v>46</v>
      </c>
      <c r="B934" s="91">
        <f>EDATE($B933,1)</f>
        <v/>
      </c>
      <c r="C934" s="92">
        <f>EOMONTH($B934,0)</f>
        <v/>
      </c>
      <c r="D934" s="87">
        <f>$C934-$B934+1</f>
        <v/>
      </c>
      <c r="E934" s="87">
        <f>MONTH($B934)</f>
        <v/>
      </c>
      <c r="F934" s="93">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$N934*IF($O$886=1,$O934/$F$886,1)</f>
        <v/>
      </c>
      <c r="T934" s="95">
        <f>IF($G934&lt;nr_MStartP,$S934,$T922*(1+IF($G934&lt;nr_MStartP1,$M$886,$N$886)))</f>
        <v/>
      </c>
      <c r="U934" s="95">
        <f>IF($L$886,$T934,$N934)</f>
        <v/>
      </c>
    </row>
    <row r="935">
      <c r="A935" s="90" t="n">
        <v>47</v>
      </c>
      <c r="B935" s="91">
        <f>EDATE($B934,1)</f>
        <v/>
      </c>
      <c r="C935" s="92">
        <f>EOMONTH($B935,0)</f>
        <v/>
      </c>
      <c r="D935" s="87">
        <f>$C935-$B935+1</f>
        <v/>
      </c>
      <c r="E935" s="87">
        <f>MONTH($B935)</f>
        <v/>
      </c>
      <c r="F935" s="93">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$N935*IF($O$886=1,$O935/$F$886,1)</f>
        <v/>
      </c>
      <c r="T935" s="95">
        <f>IF($G935&lt;nr_MStartP,$S935,$T923*(1+IF($G935&lt;nr_MStartP1,$M$886,$N$886)))</f>
        <v/>
      </c>
      <c r="U935" s="95">
        <f>IF($L$886,$T935,$N935)</f>
        <v/>
      </c>
    </row>
    <row r="936">
      <c r="A936" s="90" t="n">
        <v>48</v>
      </c>
      <c r="B936" s="91">
        <f>EDATE($B935,1)</f>
        <v/>
      </c>
      <c r="C936" s="92">
        <f>EOMONTH($B936,0)</f>
        <v/>
      </c>
      <c r="D936" s="87">
        <f>$C936-$B936+1</f>
        <v/>
      </c>
      <c r="E936" s="87">
        <f>MONTH($B936)</f>
        <v/>
      </c>
      <c r="F936" s="93">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$N936*IF($O$886=1,$O936/$F$886,1)</f>
        <v/>
      </c>
      <c r="T936" s="95">
        <f>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04">
        <f>SUMPRODUCT($H$889:$H$936,$Q$889:$Q$936,$O$889:$O$936)/SUMPRODUCT($H$889:$H$936,$Q$889:$Q$936)</f>
        <v/>
      </c>
      <c r="G937" s="20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04">
        <f>IF(N(INDEX(lr_mind,17))=0,1,INDEX(lr_mind,17))</f>
        <v/>
      </c>
      <c r="G940" s="204">
        <f>IF(N(INDEX(lr_m0,17))=0,1,INDEX(lr_m0,17))</f>
        <v/>
      </c>
      <c r="H940" s="73">
        <f>IF(N(INDEX(lr_m0asof,17))=0,DATE(nr_PlanYear-1,10,1),INDEX(lr_m0asof,17))</f>
        <v/>
      </c>
      <c r="I940" s="204">
        <f>IF(N(INDEX(lr_m1,17))=0,1,INDEX(lr_m1,17))</f>
        <v/>
      </c>
      <c r="J940" s="204">
        <f>INDEX(lr_mprior,17)</f>
        <v/>
      </c>
      <c r="K940" s="20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93">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$N943*IF($O$940=1,$O943/$F$940,1)</f>
        <v/>
      </c>
      <c r="T943" s="95">
        <f>IF($G943&lt;nr_MStartP,$S943,$T931*(1+IF($G943&lt;nr_MStartP1,$M$940,$N$940)))</f>
        <v/>
      </c>
      <c r="U943" s="95">
        <f>IF($L$940,$T943,$N943)</f>
        <v/>
      </c>
    </row>
    <row r="944">
      <c r="A944" s="90" t="n">
        <v>2</v>
      </c>
      <c r="B944" s="91">
        <f>EDATE($B943,1)</f>
        <v/>
      </c>
      <c r="C944" s="92">
        <f>EOMONTH($B944,0)</f>
        <v/>
      </c>
      <c r="D944" s="87">
        <f>$C944-$B944+1</f>
        <v/>
      </c>
      <c r="E944" s="87">
        <f>MONTH($B944)</f>
        <v/>
      </c>
      <c r="F944" s="93">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$N944*IF($O$940=1,$O944/$F$940,1)</f>
        <v/>
      </c>
      <c r="T944" s="95">
        <f>IF($G944&lt;nr_MStartP,$S944,$T932*(1+IF($G944&lt;nr_MStartP1,$M$940,$N$940)))</f>
        <v/>
      </c>
      <c r="U944" s="95">
        <f>IF($L$940,$T944,$N944)</f>
        <v/>
      </c>
    </row>
    <row r="945">
      <c r="A945" s="90" t="n">
        <v>3</v>
      </c>
      <c r="B945" s="91">
        <f>EDATE($B944,1)</f>
        <v/>
      </c>
      <c r="C945" s="92">
        <f>EOMONTH($B945,0)</f>
        <v/>
      </c>
      <c r="D945" s="87">
        <f>$C945-$B945+1</f>
        <v/>
      </c>
      <c r="E945" s="87">
        <f>MONTH($B945)</f>
        <v/>
      </c>
      <c r="F945" s="93">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$N945*IF($O$940=1,$O945/$F$940,1)</f>
        <v/>
      </c>
      <c r="T945" s="95">
        <f>IF($G945&lt;nr_MStartP,$S945,$T933*(1+IF($G945&lt;nr_MStartP1,$M$940,$N$940)))</f>
        <v/>
      </c>
      <c r="U945" s="95">
        <f>IF($L$940,$T945,$N945)</f>
        <v/>
      </c>
    </row>
    <row r="946">
      <c r="A946" s="90" t="n">
        <v>4</v>
      </c>
      <c r="B946" s="91">
        <f>EDATE($B945,1)</f>
        <v/>
      </c>
      <c r="C946" s="92">
        <f>EOMONTH($B946,0)</f>
        <v/>
      </c>
      <c r="D946" s="87">
        <f>$C946-$B946+1</f>
        <v/>
      </c>
      <c r="E946" s="87">
        <f>MONTH($B946)</f>
        <v/>
      </c>
      <c r="F946" s="93">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$N946*IF($O$940=1,$O946/$F$940,1)</f>
        <v/>
      </c>
      <c r="T946" s="95">
        <f>IF($G946&lt;nr_MStartP,$S946,$T934*(1+IF($G946&lt;nr_MStartP1,$M$940,$N$940)))</f>
        <v/>
      </c>
      <c r="U946" s="95">
        <f>IF($L$940,$T946,$N946)</f>
        <v/>
      </c>
    </row>
    <row r="947">
      <c r="A947" s="90" t="n">
        <v>5</v>
      </c>
      <c r="B947" s="91">
        <f>EDATE($B946,1)</f>
        <v/>
      </c>
      <c r="C947" s="92">
        <f>EOMONTH($B947,0)</f>
        <v/>
      </c>
      <c r="D947" s="87">
        <f>$C947-$B947+1</f>
        <v/>
      </c>
      <c r="E947" s="87">
        <f>MONTH($B947)</f>
        <v/>
      </c>
      <c r="F947" s="93">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$N947*IF($O$940=1,$O947/$F$940,1)</f>
        <v/>
      </c>
      <c r="T947" s="95">
        <f>IF($G947&lt;nr_MStartP,$S947,$T935*(1+IF($G947&lt;nr_MStartP1,$M$940,$N$940)))</f>
        <v/>
      </c>
      <c r="U947" s="95">
        <f>IF($L$940,$T947,$N947)</f>
        <v/>
      </c>
    </row>
    <row r="948">
      <c r="A948" s="90" t="n">
        <v>6</v>
      </c>
      <c r="B948" s="91">
        <f>EDATE($B947,1)</f>
        <v/>
      </c>
      <c r="C948" s="92">
        <f>EOMONTH($B948,0)</f>
        <v/>
      </c>
      <c r="D948" s="87">
        <f>$C948-$B948+1</f>
        <v/>
      </c>
      <c r="E948" s="87">
        <f>MONTH($B948)</f>
        <v/>
      </c>
      <c r="F948" s="93">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$N948*IF($O$940=1,$O948/$F$940,1)</f>
        <v/>
      </c>
      <c r="T948" s="95">
        <f>IF($G948&lt;nr_MStartP,$S948,$T936*(1+IF($G948&lt;nr_MStartP1,$M$940,$N$940)))</f>
        <v/>
      </c>
      <c r="U948" s="95">
        <f>IF($L$940,$T948,$N948)</f>
        <v/>
      </c>
    </row>
    <row r="949">
      <c r="A949" s="90" t="n">
        <v>7</v>
      </c>
      <c r="B949" s="91">
        <f>EDATE($B948,1)</f>
        <v/>
      </c>
      <c r="C949" s="92">
        <f>EOMONTH($B949,0)</f>
        <v/>
      </c>
      <c r="D949" s="87">
        <f>$C949-$B949+1</f>
        <v/>
      </c>
      <c r="E949" s="87">
        <f>MONTH($B949)</f>
        <v/>
      </c>
      <c r="F949" s="93">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$N949*IF($O$940=1,$O949/$F$940,1)</f>
        <v/>
      </c>
      <c r="T949" s="95">
        <f>IF($G949&lt;nr_MStartP,$S949,$T937*(1+IF($G949&lt;nr_MStartP1,$M$940,$N$940)))</f>
        <v/>
      </c>
      <c r="U949" s="95">
        <f>IF($L$940,$T949,$N949)</f>
        <v/>
      </c>
    </row>
    <row r="950">
      <c r="A950" s="90" t="n">
        <v>8</v>
      </c>
      <c r="B950" s="91">
        <f>EDATE($B949,1)</f>
        <v/>
      </c>
      <c r="C950" s="92">
        <f>EOMONTH($B950,0)</f>
        <v/>
      </c>
      <c r="D950" s="87">
        <f>$C950-$B950+1</f>
        <v/>
      </c>
      <c r="E950" s="87">
        <f>MONTH($B950)</f>
        <v/>
      </c>
      <c r="F950" s="93">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$N950*IF($O$940=1,$O950/$F$940,1)</f>
        <v/>
      </c>
      <c r="T950" s="95">
        <f>IF($G950&lt;nr_MStartP,$S950,$T938*(1+IF($G950&lt;nr_MStartP1,$M$940,$N$940)))</f>
        <v/>
      </c>
      <c r="U950" s="95">
        <f>IF($L$940,$T950,$N950)</f>
        <v/>
      </c>
    </row>
    <row r="951">
      <c r="A951" s="90" t="n">
        <v>9</v>
      </c>
      <c r="B951" s="91">
        <f>EDATE($B950,1)</f>
        <v/>
      </c>
      <c r="C951" s="92">
        <f>EOMONTH($B951,0)</f>
        <v/>
      </c>
      <c r="D951" s="87">
        <f>$C951-$B951+1</f>
        <v/>
      </c>
      <c r="E951" s="87">
        <f>MONTH($B951)</f>
        <v/>
      </c>
      <c r="F951" s="93">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$N951*IF($O$940=1,$O951/$F$940,1)</f>
        <v/>
      </c>
      <c r="T951" s="95">
        <f>IF($G951&lt;nr_MStartP,$S951,$T939*(1+IF($G951&lt;nr_MStartP1,$M$940,$N$940)))</f>
        <v/>
      </c>
      <c r="U951" s="95">
        <f>IF($L$940,$T951,$N951)</f>
        <v/>
      </c>
    </row>
    <row r="952">
      <c r="A952" s="90" t="n">
        <v>10</v>
      </c>
      <c r="B952" s="91">
        <f>EDATE($B951,1)</f>
        <v/>
      </c>
      <c r="C952" s="92">
        <f>EOMONTH($B952,0)</f>
        <v/>
      </c>
      <c r="D952" s="87">
        <f>$C952-$B952+1</f>
        <v/>
      </c>
      <c r="E952" s="87">
        <f>MONTH($B952)</f>
        <v/>
      </c>
      <c r="F952" s="93">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$N952*IF($O$940=1,$O952/$F$940,1)</f>
        <v/>
      </c>
      <c r="T952" s="95">
        <f>IF($G952&lt;nr_MStartP,$S952,$T940*(1+IF($G952&lt;nr_MStartP1,$M$940,$N$940)))</f>
        <v/>
      </c>
      <c r="U952" s="95">
        <f>IF($L$940,$T952,$N952)</f>
        <v/>
      </c>
    </row>
    <row r="953">
      <c r="A953" s="90" t="n">
        <v>11</v>
      </c>
      <c r="B953" s="91">
        <f>EDATE($B952,1)</f>
        <v/>
      </c>
      <c r="C953" s="92">
        <f>EOMONTH($B953,0)</f>
        <v/>
      </c>
      <c r="D953" s="87">
        <f>$C953-$B953+1</f>
        <v/>
      </c>
      <c r="E953" s="87">
        <f>MONTH($B953)</f>
        <v/>
      </c>
      <c r="F953" s="93">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$N953*IF($O$940=1,$O953/$F$940,1)</f>
        <v/>
      </c>
      <c r="T953" s="95">
        <f>IF($G953&lt;nr_MStartP,$S953,$T941*(1+IF($G953&lt;nr_MStartP1,$M$940,$N$940)))</f>
        <v/>
      </c>
      <c r="U953" s="95">
        <f>IF($L$940,$T953,$N953)</f>
        <v/>
      </c>
    </row>
    <row r="954">
      <c r="A954" s="90" t="n">
        <v>12</v>
      </c>
      <c r="B954" s="91">
        <f>EDATE($B953,1)</f>
        <v/>
      </c>
      <c r="C954" s="92">
        <f>EOMONTH($B954,0)</f>
        <v/>
      </c>
      <c r="D954" s="87">
        <f>$C954-$B954+1</f>
        <v/>
      </c>
      <c r="E954" s="87">
        <f>MONTH($B954)</f>
        <v/>
      </c>
      <c r="F954" s="93">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$N954*IF($O$940=1,$O954/$F$940,1)</f>
        <v/>
      </c>
      <c r="T954" s="95">
        <f>IF($G954&lt;nr_MStartP,$S954,$T942*(1+IF($G954&lt;nr_MStartP1,$M$940,$N$940)))</f>
        <v/>
      </c>
      <c r="U954" s="95">
        <f>IF($L$940,$T954,$N954)</f>
        <v/>
      </c>
    </row>
    <row r="955">
      <c r="A955" s="90" t="n">
        <v>13</v>
      </c>
      <c r="B955" s="91">
        <f>EDATE($B954,1)</f>
        <v/>
      </c>
      <c r="C955" s="92">
        <f>EOMONTH($B955,0)</f>
        <v/>
      </c>
      <c r="D955" s="87">
        <f>$C955-$B955+1</f>
        <v/>
      </c>
      <c r="E955" s="87">
        <f>MONTH($B955)</f>
        <v/>
      </c>
      <c r="F955" s="93">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$N955*IF($O$940=1,$O955/$F$940,1)</f>
        <v/>
      </c>
      <c r="T955" s="95">
        <f>IF($G955&lt;nr_MStartP,$S955,$T943*(1+IF($G955&lt;nr_MStartP1,$M$940,$N$940)))</f>
        <v/>
      </c>
      <c r="U955" s="95">
        <f>IF($L$940,$T955,$N955)</f>
        <v/>
      </c>
    </row>
    <row r="956">
      <c r="A956" s="90" t="n">
        <v>14</v>
      </c>
      <c r="B956" s="91">
        <f>EDATE($B955,1)</f>
        <v/>
      </c>
      <c r="C956" s="92">
        <f>EOMONTH($B956,0)</f>
        <v/>
      </c>
      <c r="D956" s="87">
        <f>$C956-$B956+1</f>
        <v/>
      </c>
      <c r="E956" s="87">
        <f>MONTH($B956)</f>
        <v/>
      </c>
      <c r="F956" s="93">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$N956*IF($O$940=1,$O956/$F$940,1)</f>
        <v/>
      </c>
      <c r="T956" s="95">
        <f>IF($G956&lt;nr_MStartP,$S956,$T944*(1+IF($G956&lt;nr_MStartP1,$M$940,$N$940)))</f>
        <v/>
      </c>
      <c r="U956" s="95">
        <f>IF($L$940,$T956,$N956)</f>
        <v/>
      </c>
    </row>
    <row r="957">
      <c r="A957" s="90" t="n">
        <v>15</v>
      </c>
      <c r="B957" s="91">
        <f>EDATE($B956,1)</f>
        <v/>
      </c>
      <c r="C957" s="92">
        <f>EOMONTH($B957,0)</f>
        <v/>
      </c>
      <c r="D957" s="87">
        <f>$C957-$B957+1</f>
        <v/>
      </c>
      <c r="E957" s="87">
        <f>MONTH($B957)</f>
        <v/>
      </c>
      <c r="F957" s="93">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$N957*IF($O$940=1,$O957/$F$940,1)</f>
        <v/>
      </c>
      <c r="T957" s="95">
        <f>IF($G957&lt;nr_MStartP,$S957,$T945*(1+IF($G957&lt;nr_MStartP1,$M$940,$N$940)))</f>
        <v/>
      </c>
      <c r="U957" s="95">
        <f>IF($L$940,$T957,$N957)</f>
        <v/>
      </c>
    </row>
    <row r="958">
      <c r="A958" s="90" t="n">
        <v>16</v>
      </c>
      <c r="B958" s="91">
        <f>EDATE($B957,1)</f>
        <v/>
      </c>
      <c r="C958" s="92">
        <f>EOMONTH($B958,0)</f>
        <v/>
      </c>
      <c r="D958" s="87">
        <f>$C958-$B958+1</f>
        <v/>
      </c>
      <c r="E958" s="87">
        <f>MONTH($B958)</f>
        <v/>
      </c>
      <c r="F958" s="93">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$N958*IF($O$940=1,$O958/$F$940,1)</f>
        <v/>
      </c>
      <c r="T958" s="95">
        <f>IF($G958&lt;nr_MStartP,$S958,$T946*(1+IF($G958&lt;nr_MStartP1,$M$940,$N$940)))</f>
        <v/>
      </c>
      <c r="U958" s="95">
        <f>IF($L$940,$T958,$N958)</f>
        <v/>
      </c>
    </row>
    <row r="959">
      <c r="A959" s="90" t="n">
        <v>17</v>
      </c>
      <c r="B959" s="91">
        <f>EDATE($B958,1)</f>
        <v/>
      </c>
      <c r="C959" s="92">
        <f>EOMONTH($B959,0)</f>
        <v/>
      </c>
      <c r="D959" s="87">
        <f>$C959-$B959+1</f>
        <v/>
      </c>
      <c r="E959" s="87">
        <f>MONTH($B959)</f>
        <v/>
      </c>
      <c r="F959" s="93">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$N959*IF($O$940=1,$O959/$F$940,1)</f>
        <v/>
      </c>
      <c r="T959" s="95">
        <f>IF($G959&lt;nr_MStartP,$S959,$T947*(1+IF($G959&lt;nr_MStartP1,$M$940,$N$940)))</f>
        <v/>
      </c>
      <c r="U959" s="95">
        <f>IF($L$940,$T959,$N959)</f>
        <v/>
      </c>
    </row>
    <row r="960">
      <c r="A960" s="90" t="n">
        <v>18</v>
      </c>
      <c r="B960" s="91">
        <f>EDATE($B959,1)</f>
        <v/>
      </c>
      <c r="C960" s="92">
        <f>EOMONTH($B960,0)</f>
        <v/>
      </c>
      <c r="D960" s="87">
        <f>$C960-$B960+1</f>
        <v/>
      </c>
      <c r="E960" s="87">
        <f>MONTH($B960)</f>
        <v/>
      </c>
      <c r="F960" s="93">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$N960*IF($O$940=1,$O960/$F$940,1)</f>
        <v/>
      </c>
      <c r="T960" s="95">
        <f>IF($G960&lt;nr_MStartP,$S960,$T948*(1+IF($G960&lt;nr_MStartP1,$M$940,$N$940)))</f>
        <v/>
      </c>
      <c r="U960" s="95">
        <f>IF($L$940,$T960,$N960)</f>
        <v/>
      </c>
    </row>
    <row r="961">
      <c r="A961" s="90" t="n">
        <v>19</v>
      </c>
      <c r="B961" s="91">
        <f>EDATE($B960,1)</f>
        <v/>
      </c>
      <c r="C961" s="92">
        <f>EOMONTH($B961,0)</f>
        <v/>
      </c>
      <c r="D961" s="87">
        <f>$C961-$B961+1</f>
        <v/>
      </c>
      <c r="E961" s="87">
        <f>MONTH($B961)</f>
        <v/>
      </c>
      <c r="F961" s="93">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$N961*IF($O$940=1,$O961/$F$940,1)</f>
        <v/>
      </c>
      <c r="T961" s="95">
        <f>IF($G961&lt;nr_MStartP,$S961,$T949*(1+IF($G961&lt;nr_MStartP1,$M$940,$N$940)))</f>
        <v/>
      </c>
      <c r="U961" s="95">
        <f>IF($L$940,$T961,$N961)</f>
        <v/>
      </c>
    </row>
    <row r="962">
      <c r="A962" s="90" t="n">
        <v>20</v>
      </c>
      <c r="B962" s="91">
        <f>EDATE($B961,1)</f>
        <v/>
      </c>
      <c r="C962" s="92">
        <f>EOMONTH($B962,0)</f>
        <v/>
      </c>
      <c r="D962" s="87">
        <f>$C962-$B962+1</f>
        <v/>
      </c>
      <c r="E962" s="87">
        <f>MONTH($B962)</f>
        <v/>
      </c>
      <c r="F962" s="93">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$N962*IF($O$940=1,$O962/$F$940,1)</f>
        <v/>
      </c>
      <c r="T962" s="95">
        <f>IF($G962&lt;nr_MStartP,$S962,$T950*(1+IF($G962&lt;nr_MStartP1,$M$940,$N$940)))</f>
        <v/>
      </c>
      <c r="U962" s="95">
        <f>IF($L$940,$T962,$N962)</f>
        <v/>
      </c>
    </row>
    <row r="963">
      <c r="A963" s="90" t="n">
        <v>21</v>
      </c>
      <c r="B963" s="91">
        <f>EDATE($B962,1)</f>
        <v/>
      </c>
      <c r="C963" s="92">
        <f>EOMONTH($B963,0)</f>
        <v/>
      </c>
      <c r="D963" s="87">
        <f>$C963-$B963+1</f>
        <v/>
      </c>
      <c r="E963" s="87">
        <f>MONTH($B963)</f>
        <v/>
      </c>
      <c r="F963" s="93">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$N963*IF($O$940=1,$O963/$F$940,1)</f>
        <v/>
      </c>
      <c r="T963" s="95">
        <f>IF($G963&lt;nr_MStartP,$S963,$T951*(1+IF($G963&lt;nr_MStartP1,$M$940,$N$940)))</f>
        <v/>
      </c>
      <c r="U963" s="95">
        <f>IF($L$940,$T963,$N963)</f>
        <v/>
      </c>
    </row>
    <row r="964">
      <c r="A964" s="90" t="n">
        <v>22</v>
      </c>
      <c r="B964" s="91">
        <f>EDATE($B963,1)</f>
        <v/>
      </c>
      <c r="C964" s="92">
        <f>EOMONTH($B964,0)</f>
        <v/>
      </c>
      <c r="D964" s="87">
        <f>$C964-$B964+1</f>
        <v/>
      </c>
      <c r="E964" s="87">
        <f>MONTH($B964)</f>
        <v/>
      </c>
      <c r="F964" s="93">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$N964*IF($O$940=1,$O964/$F$940,1)</f>
        <v/>
      </c>
      <c r="T964" s="95">
        <f>IF($G964&lt;nr_MStartP,$S964,$T952*(1+IF($G964&lt;nr_MStartP1,$M$940,$N$940)))</f>
        <v/>
      </c>
      <c r="U964" s="95">
        <f>IF($L$940,$T964,$N964)</f>
        <v/>
      </c>
    </row>
    <row r="965">
      <c r="A965" s="90" t="n">
        <v>23</v>
      </c>
      <c r="B965" s="91">
        <f>EDATE($B964,1)</f>
        <v/>
      </c>
      <c r="C965" s="92">
        <f>EOMONTH($B965,0)</f>
        <v/>
      </c>
      <c r="D965" s="87">
        <f>$C965-$B965+1</f>
        <v/>
      </c>
      <c r="E965" s="87">
        <f>MONTH($B965)</f>
        <v/>
      </c>
      <c r="F965" s="93">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$N965*IF($O$940=1,$O965/$F$940,1)</f>
        <v/>
      </c>
      <c r="T965" s="95">
        <f>IF($G965&lt;nr_MStartP,$S965,$T953*(1+IF($G965&lt;nr_MStartP1,$M$940,$N$940)))</f>
        <v/>
      </c>
      <c r="U965" s="95">
        <f>IF($L$940,$T965,$N965)</f>
        <v/>
      </c>
    </row>
    <row r="966">
      <c r="A966" s="90" t="n">
        <v>24</v>
      </c>
      <c r="B966" s="91">
        <f>EDATE($B965,1)</f>
        <v/>
      </c>
      <c r="C966" s="92">
        <f>EOMONTH($B966,0)</f>
        <v/>
      </c>
      <c r="D966" s="87">
        <f>$C966-$B966+1</f>
        <v/>
      </c>
      <c r="E966" s="87">
        <f>MONTH($B966)</f>
        <v/>
      </c>
      <c r="F966" s="93">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$N966*IF($O$940=1,$O966/$F$940,1)</f>
        <v/>
      </c>
      <c r="T966" s="95">
        <f>IF($G966&lt;nr_MStartP,$S966,$T954*(1+IF($G966&lt;nr_MStartP1,$M$940,$N$940)))</f>
        <v/>
      </c>
      <c r="U966" s="95">
        <f>IF($L$940,$T966,$N966)</f>
        <v/>
      </c>
    </row>
    <row r="967">
      <c r="A967" s="90" t="n">
        <v>25</v>
      </c>
      <c r="B967" s="91">
        <f>EDATE($B966,1)</f>
        <v/>
      </c>
      <c r="C967" s="92">
        <f>EOMONTH($B967,0)</f>
        <v/>
      </c>
      <c r="D967" s="87">
        <f>$C967-$B967+1</f>
        <v/>
      </c>
      <c r="E967" s="87">
        <f>MONTH($B967)</f>
        <v/>
      </c>
      <c r="F967" s="93">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$N967*IF($O$940=1,$O967/$F$940,1)</f>
        <v/>
      </c>
      <c r="T967" s="95">
        <f>IF($G967&lt;nr_MStartP,$S967,$T955*(1+IF($G967&lt;nr_MStartP1,$M$940,$N$940)))</f>
        <v/>
      </c>
      <c r="U967" s="95">
        <f>IF($L$940,$T967,$N967)</f>
        <v/>
      </c>
    </row>
    <row r="968">
      <c r="A968" s="90" t="n">
        <v>26</v>
      </c>
      <c r="B968" s="91">
        <f>EDATE($B967,1)</f>
        <v/>
      </c>
      <c r="C968" s="92">
        <f>EOMONTH($B968,0)</f>
        <v/>
      </c>
      <c r="D968" s="87">
        <f>$C968-$B968+1</f>
        <v/>
      </c>
      <c r="E968" s="87">
        <f>MONTH($B968)</f>
        <v/>
      </c>
      <c r="F968" s="93">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$N968*IF($O$940=1,$O968/$F$940,1)</f>
        <v/>
      </c>
      <c r="T968" s="95">
        <f>IF($G968&lt;nr_MStartP,$S968,$T956*(1+IF($G968&lt;nr_MStartP1,$M$940,$N$940)))</f>
        <v/>
      </c>
      <c r="U968" s="95">
        <f>IF($L$940,$T968,$N968)</f>
        <v/>
      </c>
    </row>
    <row r="969">
      <c r="A969" s="90" t="n">
        <v>27</v>
      </c>
      <c r="B969" s="91">
        <f>EDATE($B968,1)</f>
        <v/>
      </c>
      <c r="C969" s="92">
        <f>EOMONTH($B969,0)</f>
        <v/>
      </c>
      <c r="D969" s="87">
        <f>$C969-$B969+1</f>
        <v/>
      </c>
      <c r="E969" s="87">
        <f>MONTH($B969)</f>
        <v/>
      </c>
      <c r="F969" s="93">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$N969*IF($O$940=1,$O969/$F$940,1)</f>
        <v/>
      </c>
      <c r="T969" s="95">
        <f>IF($G969&lt;nr_MStartP,$S969,$T957*(1+IF($G969&lt;nr_MStartP1,$M$940,$N$940)))</f>
        <v/>
      </c>
      <c r="U969" s="95">
        <f>IF($L$940,$T969,$N969)</f>
        <v/>
      </c>
    </row>
    <row r="970">
      <c r="A970" s="90" t="n">
        <v>28</v>
      </c>
      <c r="B970" s="91">
        <f>EDATE($B969,1)</f>
        <v/>
      </c>
      <c r="C970" s="92">
        <f>EOMONTH($B970,0)</f>
        <v/>
      </c>
      <c r="D970" s="87">
        <f>$C970-$B970+1</f>
        <v/>
      </c>
      <c r="E970" s="87">
        <f>MONTH($B970)</f>
        <v/>
      </c>
      <c r="F970" s="93">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$N970*IF($O$940=1,$O970/$F$940,1)</f>
        <v/>
      </c>
      <c r="T970" s="95">
        <f>IF($G970&lt;nr_MStartP,$S970,$T958*(1+IF($G970&lt;nr_MStartP1,$M$940,$N$940)))</f>
        <v/>
      </c>
      <c r="U970" s="95">
        <f>IF($L$940,$T970,$N970)</f>
        <v/>
      </c>
    </row>
    <row r="971">
      <c r="A971" s="90" t="n">
        <v>29</v>
      </c>
      <c r="B971" s="91">
        <f>EDATE($B970,1)</f>
        <v/>
      </c>
      <c r="C971" s="92">
        <f>EOMONTH($B971,0)</f>
        <v/>
      </c>
      <c r="D971" s="87">
        <f>$C971-$B971+1</f>
        <v/>
      </c>
      <c r="E971" s="87">
        <f>MONTH($B971)</f>
        <v/>
      </c>
      <c r="F971" s="93">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$N971*IF($O$940=1,$O971/$F$940,1)</f>
        <v/>
      </c>
      <c r="T971" s="95">
        <f>IF($G971&lt;nr_MStartP,$S971,$T959*(1+IF($G971&lt;nr_MStartP1,$M$940,$N$940)))</f>
        <v/>
      </c>
      <c r="U971" s="95">
        <f>IF($L$940,$T971,$N971)</f>
        <v/>
      </c>
    </row>
    <row r="972">
      <c r="A972" s="90" t="n">
        <v>30</v>
      </c>
      <c r="B972" s="91">
        <f>EDATE($B971,1)</f>
        <v/>
      </c>
      <c r="C972" s="92">
        <f>EOMONTH($B972,0)</f>
        <v/>
      </c>
      <c r="D972" s="87">
        <f>$C972-$B972+1</f>
        <v/>
      </c>
      <c r="E972" s="87">
        <f>MONTH($B972)</f>
        <v/>
      </c>
      <c r="F972" s="93">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$N972*IF($O$940=1,$O972/$F$940,1)</f>
        <v/>
      </c>
      <c r="T972" s="95">
        <f>IF($G972&lt;nr_MStartP,$S972,$T960*(1+IF($G972&lt;nr_MStartP1,$M$940,$N$940)))</f>
        <v/>
      </c>
      <c r="U972" s="95">
        <f>IF($L$940,$T972,$N972)</f>
        <v/>
      </c>
    </row>
    <row r="973">
      <c r="A973" s="90" t="n">
        <v>31</v>
      </c>
      <c r="B973" s="91">
        <f>EDATE($B972,1)</f>
        <v/>
      </c>
      <c r="C973" s="92">
        <f>EOMONTH($B973,0)</f>
        <v/>
      </c>
      <c r="D973" s="87">
        <f>$C973-$B973+1</f>
        <v/>
      </c>
      <c r="E973" s="87">
        <f>MONTH($B973)</f>
        <v/>
      </c>
      <c r="F973" s="93">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$N973*IF($O$940=1,$O973/$F$940,1)</f>
        <v/>
      </c>
      <c r="T973" s="95">
        <f>IF($G973&lt;nr_MStartP,$S973,$T961*(1+IF($G973&lt;nr_MStartP1,$M$940,$N$940)))</f>
        <v/>
      </c>
      <c r="U973" s="95">
        <f>IF($L$940,$T973,$N973)</f>
        <v/>
      </c>
    </row>
    <row r="974">
      <c r="A974" s="90" t="n">
        <v>32</v>
      </c>
      <c r="B974" s="91">
        <f>EDATE($B973,1)</f>
        <v/>
      </c>
      <c r="C974" s="92">
        <f>EOMONTH($B974,0)</f>
        <v/>
      </c>
      <c r="D974" s="87">
        <f>$C974-$B974+1</f>
        <v/>
      </c>
      <c r="E974" s="87">
        <f>MONTH($B974)</f>
        <v/>
      </c>
      <c r="F974" s="93">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$N974*IF($O$940=1,$O974/$F$940,1)</f>
        <v/>
      </c>
      <c r="T974" s="95">
        <f>IF($G974&lt;nr_MStartP,$S974,$T962*(1+IF($G974&lt;nr_MStartP1,$M$940,$N$940)))</f>
        <v/>
      </c>
      <c r="U974" s="95">
        <f>IF($L$940,$T974,$N974)</f>
        <v/>
      </c>
    </row>
    <row r="975">
      <c r="A975" s="90" t="n">
        <v>33</v>
      </c>
      <c r="B975" s="91">
        <f>EDATE($B974,1)</f>
        <v/>
      </c>
      <c r="C975" s="92">
        <f>EOMONTH($B975,0)</f>
        <v/>
      </c>
      <c r="D975" s="87">
        <f>$C975-$B975+1</f>
        <v/>
      </c>
      <c r="E975" s="87">
        <f>MONTH($B975)</f>
        <v/>
      </c>
      <c r="F975" s="93">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$N975*IF($O$940=1,$O975/$F$940,1)</f>
        <v/>
      </c>
      <c r="T975" s="95">
        <f>IF($G975&lt;nr_MStartP,$S975,$T963*(1+IF($G975&lt;nr_MStartP1,$M$940,$N$940)))</f>
        <v/>
      </c>
      <c r="U975" s="95">
        <f>IF($L$940,$T975,$N975)</f>
        <v/>
      </c>
    </row>
    <row r="976">
      <c r="A976" s="90" t="n">
        <v>34</v>
      </c>
      <c r="B976" s="91">
        <f>EDATE($B975,1)</f>
        <v/>
      </c>
      <c r="C976" s="92">
        <f>EOMONTH($B976,0)</f>
        <v/>
      </c>
      <c r="D976" s="87">
        <f>$C976-$B976+1</f>
        <v/>
      </c>
      <c r="E976" s="87">
        <f>MONTH($B976)</f>
        <v/>
      </c>
      <c r="F976" s="93">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$N976*IF($O$940=1,$O976/$F$940,1)</f>
        <v/>
      </c>
      <c r="T976" s="95">
        <f>IF($G976&lt;nr_MStartP,$S976,$T964*(1+IF($G976&lt;nr_MStartP1,$M$940,$N$940)))</f>
        <v/>
      </c>
      <c r="U976" s="95">
        <f>IF($L$940,$T976,$N976)</f>
        <v/>
      </c>
    </row>
    <row r="977">
      <c r="A977" s="90" t="n">
        <v>35</v>
      </c>
      <c r="B977" s="91">
        <f>EDATE($B976,1)</f>
        <v/>
      </c>
      <c r="C977" s="92">
        <f>EOMONTH($B977,0)</f>
        <v/>
      </c>
      <c r="D977" s="87">
        <f>$C977-$B977+1</f>
        <v/>
      </c>
      <c r="E977" s="87">
        <f>MONTH($B977)</f>
        <v/>
      </c>
      <c r="F977" s="93">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$N977*IF($O$940=1,$O977/$F$940,1)</f>
        <v/>
      </c>
      <c r="T977" s="95">
        <f>IF($G977&lt;nr_MStartP,$S977,$T965*(1+IF($G977&lt;nr_MStartP1,$M$940,$N$940)))</f>
        <v/>
      </c>
      <c r="U977" s="95">
        <f>IF($L$940,$T977,$N977)</f>
        <v/>
      </c>
    </row>
    <row r="978">
      <c r="A978" s="90" t="n">
        <v>36</v>
      </c>
      <c r="B978" s="91">
        <f>EDATE($B977,1)</f>
        <v/>
      </c>
      <c r="C978" s="92">
        <f>EOMONTH($B978,0)</f>
        <v/>
      </c>
      <c r="D978" s="87">
        <f>$C978-$B978+1</f>
        <v/>
      </c>
      <c r="E978" s="87">
        <f>MONTH($B978)</f>
        <v/>
      </c>
      <c r="F978" s="93">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$N978*IF($O$940=1,$O978/$F$940,1)</f>
        <v/>
      </c>
      <c r="T978" s="95">
        <f>IF($G978&lt;nr_MStartP,$S978,$T966*(1+IF($G978&lt;nr_MStartP1,$M$940,$N$940)))</f>
        <v/>
      </c>
      <c r="U978" s="95">
        <f>IF($L$940,$T978,$N978)</f>
        <v/>
      </c>
    </row>
    <row r="979">
      <c r="A979" s="90" t="n">
        <v>37</v>
      </c>
      <c r="B979" s="91">
        <f>EDATE($B978,1)</f>
        <v/>
      </c>
      <c r="C979" s="92">
        <f>EOMONTH($B979,0)</f>
        <v/>
      </c>
      <c r="D979" s="87">
        <f>$C979-$B979+1</f>
        <v/>
      </c>
      <c r="E979" s="87">
        <f>MONTH($B979)</f>
        <v/>
      </c>
      <c r="F979" s="93">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$N979*IF($O$940=1,$O979/$F$940,1)</f>
        <v/>
      </c>
      <c r="T979" s="95">
        <f>IF($G979&lt;nr_MStartP,$S979,$T967*(1+IF($G979&lt;nr_MStartP1,$M$940,$N$940)))</f>
        <v/>
      </c>
      <c r="U979" s="95">
        <f>IF($L$940,$T979,$N979)</f>
        <v/>
      </c>
    </row>
    <row r="980">
      <c r="A980" s="90" t="n">
        <v>38</v>
      </c>
      <c r="B980" s="91">
        <f>EDATE($B979,1)</f>
        <v/>
      </c>
      <c r="C980" s="92">
        <f>EOMONTH($B980,0)</f>
        <v/>
      </c>
      <c r="D980" s="87">
        <f>$C980-$B980+1</f>
        <v/>
      </c>
      <c r="E980" s="87">
        <f>MONTH($B980)</f>
        <v/>
      </c>
      <c r="F980" s="93">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$N980*IF($O$940=1,$O980/$F$940,1)</f>
        <v/>
      </c>
      <c r="T980" s="95">
        <f>IF($G980&lt;nr_MStartP,$S980,$T968*(1+IF($G980&lt;nr_MStartP1,$M$940,$N$940)))</f>
        <v/>
      </c>
      <c r="U980" s="95">
        <f>IF($L$940,$T980,$N980)</f>
        <v/>
      </c>
    </row>
    <row r="981">
      <c r="A981" s="90" t="n">
        <v>39</v>
      </c>
      <c r="B981" s="91">
        <f>EDATE($B980,1)</f>
        <v/>
      </c>
      <c r="C981" s="92">
        <f>EOMONTH($B981,0)</f>
        <v/>
      </c>
      <c r="D981" s="87">
        <f>$C981-$B981+1</f>
        <v/>
      </c>
      <c r="E981" s="87">
        <f>MONTH($B981)</f>
        <v/>
      </c>
      <c r="F981" s="93">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$N981*IF($O$940=1,$O981/$F$940,1)</f>
        <v/>
      </c>
      <c r="T981" s="95">
        <f>IF($G981&lt;nr_MStartP,$S981,$T969*(1+IF($G981&lt;nr_MStartP1,$M$940,$N$940)))</f>
        <v/>
      </c>
      <c r="U981" s="95">
        <f>IF($L$940,$T981,$N981)</f>
        <v/>
      </c>
    </row>
    <row r="982">
      <c r="A982" s="90" t="n">
        <v>40</v>
      </c>
      <c r="B982" s="91">
        <f>EDATE($B981,1)</f>
        <v/>
      </c>
      <c r="C982" s="92">
        <f>EOMONTH($B982,0)</f>
        <v/>
      </c>
      <c r="D982" s="87">
        <f>$C982-$B982+1</f>
        <v/>
      </c>
      <c r="E982" s="87">
        <f>MONTH($B982)</f>
        <v/>
      </c>
      <c r="F982" s="93">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$N982*IF($O$940=1,$O982/$F$940,1)</f>
        <v/>
      </c>
      <c r="T982" s="95">
        <f>IF($G982&lt;nr_MStartP,$S982,$T970*(1+IF($G982&lt;nr_MStartP1,$M$940,$N$940)))</f>
        <v/>
      </c>
      <c r="U982" s="95">
        <f>IF($L$940,$T982,$N982)</f>
        <v/>
      </c>
    </row>
    <row r="983">
      <c r="A983" s="90" t="n">
        <v>41</v>
      </c>
      <c r="B983" s="91">
        <f>EDATE($B982,1)</f>
        <v/>
      </c>
      <c r="C983" s="92">
        <f>EOMONTH($B983,0)</f>
        <v/>
      </c>
      <c r="D983" s="87">
        <f>$C983-$B983+1</f>
        <v/>
      </c>
      <c r="E983" s="87">
        <f>MONTH($B983)</f>
        <v/>
      </c>
      <c r="F983" s="93">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$N983*IF($O$940=1,$O983/$F$940,1)</f>
        <v/>
      </c>
      <c r="T983" s="95">
        <f>IF($G983&lt;nr_MStartP,$S983,$T971*(1+IF($G983&lt;nr_MStartP1,$M$940,$N$940)))</f>
        <v/>
      </c>
      <c r="U983" s="95">
        <f>IF($L$940,$T983,$N983)</f>
        <v/>
      </c>
    </row>
    <row r="984">
      <c r="A984" s="90" t="n">
        <v>42</v>
      </c>
      <c r="B984" s="91">
        <f>EDATE($B983,1)</f>
        <v/>
      </c>
      <c r="C984" s="92">
        <f>EOMONTH($B984,0)</f>
        <v/>
      </c>
      <c r="D984" s="87">
        <f>$C984-$B984+1</f>
        <v/>
      </c>
      <c r="E984" s="87">
        <f>MONTH($B984)</f>
        <v/>
      </c>
      <c r="F984" s="93">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$N984*IF($O$940=1,$O984/$F$940,1)</f>
        <v/>
      </c>
      <c r="T984" s="95">
        <f>IF($G984&lt;nr_MStartP,$S984,$T972*(1+IF($G984&lt;nr_MStartP1,$M$940,$N$940)))</f>
        <v/>
      </c>
      <c r="U984" s="95">
        <f>IF($L$940,$T984,$N984)</f>
        <v/>
      </c>
    </row>
    <row r="985">
      <c r="A985" s="90" t="n">
        <v>43</v>
      </c>
      <c r="B985" s="91">
        <f>EDATE($B984,1)</f>
        <v/>
      </c>
      <c r="C985" s="92">
        <f>EOMONTH($B985,0)</f>
        <v/>
      </c>
      <c r="D985" s="87">
        <f>$C985-$B985+1</f>
        <v/>
      </c>
      <c r="E985" s="87">
        <f>MONTH($B985)</f>
        <v/>
      </c>
      <c r="F985" s="93">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$N985*IF($O$940=1,$O985/$F$940,1)</f>
        <v/>
      </c>
      <c r="T985" s="95">
        <f>IF($G985&lt;nr_MStartP,$S985,$T973*(1+IF($G985&lt;nr_MStartP1,$M$940,$N$940)))</f>
        <v/>
      </c>
      <c r="U985" s="95">
        <f>IF($L$940,$T985,$N985)</f>
        <v/>
      </c>
    </row>
    <row r="986">
      <c r="A986" s="90" t="n">
        <v>44</v>
      </c>
      <c r="B986" s="91">
        <f>EDATE($B985,1)</f>
        <v/>
      </c>
      <c r="C986" s="92">
        <f>EOMONTH($B986,0)</f>
        <v/>
      </c>
      <c r="D986" s="87">
        <f>$C986-$B986+1</f>
        <v/>
      </c>
      <c r="E986" s="87">
        <f>MONTH($B986)</f>
        <v/>
      </c>
      <c r="F986" s="93">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$N986*IF($O$940=1,$O986/$F$940,1)</f>
        <v/>
      </c>
      <c r="T986" s="95">
        <f>IF($G986&lt;nr_MStartP,$S986,$T974*(1+IF($G986&lt;nr_MStartP1,$M$940,$N$940)))</f>
        <v/>
      </c>
      <c r="U986" s="95">
        <f>IF($L$940,$T986,$N986)</f>
        <v/>
      </c>
    </row>
    <row r="987">
      <c r="A987" s="90" t="n">
        <v>45</v>
      </c>
      <c r="B987" s="91">
        <f>EDATE($B986,1)</f>
        <v/>
      </c>
      <c r="C987" s="92">
        <f>EOMONTH($B987,0)</f>
        <v/>
      </c>
      <c r="D987" s="87">
        <f>$C987-$B987+1</f>
        <v/>
      </c>
      <c r="E987" s="87">
        <f>MONTH($B987)</f>
        <v/>
      </c>
      <c r="F987" s="93">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$N987*IF($O$940=1,$O987/$F$940,1)</f>
        <v/>
      </c>
      <c r="T987" s="95">
        <f>IF($G987&lt;nr_MStartP,$S987,$T975*(1+IF($G987&lt;nr_MStartP1,$M$940,$N$940)))</f>
        <v/>
      </c>
      <c r="U987" s="95">
        <f>IF($L$940,$T987,$N987)</f>
        <v/>
      </c>
    </row>
    <row r="988">
      <c r="A988" s="90" t="n">
        <v>46</v>
      </c>
      <c r="B988" s="91">
        <f>EDATE($B987,1)</f>
        <v/>
      </c>
      <c r="C988" s="92">
        <f>EOMONTH($B988,0)</f>
        <v/>
      </c>
      <c r="D988" s="87">
        <f>$C988-$B988+1</f>
        <v/>
      </c>
      <c r="E988" s="87">
        <f>MONTH($B988)</f>
        <v/>
      </c>
      <c r="F988" s="93">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$N988*IF($O$940=1,$O988/$F$940,1)</f>
        <v/>
      </c>
      <c r="T988" s="95">
        <f>IF($G988&lt;nr_MStartP,$S988,$T976*(1+IF($G988&lt;nr_MStartP1,$M$940,$N$940)))</f>
        <v/>
      </c>
      <c r="U988" s="95">
        <f>IF($L$940,$T988,$N988)</f>
        <v/>
      </c>
    </row>
    <row r="989">
      <c r="A989" s="90" t="n">
        <v>47</v>
      </c>
      <c r="B989" s="91">
        <f>EDATE($B988,1)</f>
        <v/>
      </c>
      <c r="C989" s="92">
        <f>EOMONTH($B989,0)</f>
        <v/>
      </c>
      <c r="D989" s="87">
        <f>$C989-$B989+1</f>
        <v/>
      </c>
      <c r="E989" s="87">
        <f>MONTH($B989)</f>
        <v/>
      </c>
      <c r="F989" s="93">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$N989*IF($O$940=1,$O989/$F$940,1)</f>
        <v/>
      </c>
      <c r="T989" s="95">
        <f>IF($G989&lt;nr_MStartP,$S989,$T977*(1+IF($G989&lt;nr_MStartP1,$M$940,$N$940)))</f>
        <v/>
      </c>
      <c r="U989" s="95">
        <f>IF($L$940,$T989,$N989)</f>
        <v/>
      </c>
    </row>
    <row r="990">
      <c r="A990" s="90" t="n">
        <v>48</v>
      </c>
      <c r="B990" s="91">
        <f>EDATE($B989,1)</f>
        <v/>
      </c>
      <c r="C990" s="92">
        <f>EOMONTH($B990,0)</f>
        <v/>
      </c>
      <c r="D990" s="87">
        <f>$C990-$B990+1</f>
        <v/>
      </c>
      <c r="E990" s="87">
        <f>MONTH($B990)</f>
        <v/>
      </c>
      <c r="F990" s="93">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$N990*IF($O$940=1,$O990/$F$940,1)</f>
        <v/>
      </c>
      <c r="T990" s="95">
        <f>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04">
        <f>SUMPRODUCT($H$943:$H$990,$Q$943:$Q$990,$O$943:$O$990)/SUMPRODUCT($H$943:$H$990,$Q$943:$Q$990)</f>
        <v/>
      </c>
      <c r="G991" s="20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04">
        <f>IF(N(INDEX(lr_mind,18))=0,1,INDEX(lr_mind,18))</f>
        <v/>
      </c>
      <c r="G994" s="204">
        <f>IF(N(INDEX(lr_m0,18))=0,1,INDEX(lr_m0,18))</f>
        <v/>
      </c>
      <c r="H994" s="73">
        <f>IF(N(INDEX(lr_m0asof,18))=0,DATE(nr_PlanYear-1,10,1),INDEX(lr_m0asof,18))</f>
        <v/>
      </c>
      <c r="I994" s="204">
        <f>IF(N(INDEX(lr_m1,18))=0,1,INDEX(lr_m1,18))</f>
        <v/>
      </c>
      <c r="J994" s="204">
        <f>INDEX(lr_mprior,18)</f>
        <v/>
      </c>
      <c r="K994" s="20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93">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$N997*IF($O$994=1,$O997/$F$994,1)</f>
        <v/>
      </c>
      <c r="T997" s="95">
        <f>IF($G997&lt;nr_MStartP,$S997,$T985*(1+IF($G997&lt;nr_MStartP1,$M$994,$N$994)))</f>
        <v/>
      </c>
      <c r="U997" s="95">
        <f>IF($L$994,$T997,$N997)</f>
        <v/>
      </c>
    </row>
    <row r="998">
      <c r="A998" s="90" t="n">
        <v>2</v>
      </c>
      <c r="B998" s="91">
        <f>EDATE($B997,1)</f>
        <v/>
      </c>
      <c r="C998" s="92">
        <f>EOMONTH($B998,0)</f>
        <v/>
      </c>
      <c r="D998" s="87">
        <f>$C998-$B998+1</f>
        <v/>
      </c>
      <c r="E998" s="87">
        <f>MONTH($B998)</f>
        <v/>
      </c>
      <c r="F998" s="93">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$N998*IF($O$994=1,$O998/$F$994,1)</f>
        <v/>
      </c>
      <c r="T998" s="95">
        <f>IF($G998&lt;nr_MStartP,$S998,$T986*(1+IF($G998&lt;nr_MStartP1,$M$994,$N$994)))</f>
        <v/>
      </c>
      <c r="U998" s="95">
        <f>IF($L$994,$T998,$N998)</f>
        <v/>
      </c>
    </row>
    <row r="999">
      <c r="A999" s="90" t="n">
        <v>3</v>
      </c>
      <c r="B999" s="91">
        <f>EDATE($B998,1)</f>
        <v/>
      </c>
      <c r="C999" s="92">
        <f>EOMONTH($B999,0)</f>
        <v/>
      </c>
      <c r="D999" s="87">
        <f>$C999-$B999+1</f>
        <v/>
      </c>
      <c r="E999" s="87">
        <f>MONTH($B999)</f>
        <v/>
      </c>
      <c r="F999" s="93">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$N999*IF($O$994=1,$O999/$F$994,1)</f>
        <v/>
      </c>
      <c r="T999" s="95">
        <f>IF($G999&lt;nr_MStartP,$S999,$T987*(1+IF($G999&lt;nr_MStartP1,$M$994,$N$994)))</f>
        <v/>
      </c>
      <c r="U999" s="95">
        <f>IF($L$994,$T999,$N999)</f>
        <v/>
      </c>
    </row>
    <row r="1000">
      <c r="A1000" s="90" t="n">
        <v>4</v>
      </c>
      <c r="B1000" s="91">
        <f>EDATE($B999,1)</f>
        <v/>
      </c>
      <c r="C1000" s="92">
        <f>EOMONTH($B1000,0)</f>
        <v/>
      </c>
      <c r="D1000" s="87">
        <f>$C1000-$B1000+1</f>
        <v/>
      </c>
      <c r="E1000" s="87">
        <f>MONTH($B1000)</f>
        <v/>
      </c>
      <c r="F1000" s="93">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$N1000*IF($O$994=1,$O1000/$F$994,1)</f>
        <v/>
      </c>
      <c r="T1000" s="95">
        <f>IF($G1000&lt;nr_MStartP,$S1000,$T988*(1+IF($G1000&lt;nr_MStartP1,$M$994,$N$994)))</f>
        <v/>
      </c>
      <c r="U1000" s="95">
        <f>IF($L$994,$T1000,$N1000)</f>
        <v/>
      </c>
    </row>
    <row r="1001">
      <c r="A1001" s="90" t="n">
        <v>5</v>
      </c>
      <c r="B1001" s="91">
        <f>EDATE($B1000,1)</f>
        <v/>
      </c>
      <c r="C1001" s="92">
        <f>EOMONTH($B1001,0)</f>
        <v/>
      </c>
      <c r="D1001" s="87">
        <f>$C1001-$B1001+1</f>
        <v/>
      </c>
      <c r="E1001" s="87">
        <f>MONTH($B1001)</f>
        <v/>
      </c>
      <c r="F1001" s="93">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$N1001*IF($O$994=1,$O1001/$F$994,1)</f>
        <v/>
      </c>
      <c r="T1001" s="95">
        <f>IF($G1001&lt;nr_MStartP,$S1001,$T989*(1+IF($G1001&lt;nr_MStartP1,$M$994,$N$994)))</f>
        <v/>
      </c>
      <c r="U1001" s="95">
        <f>IF($L$994,$T1001,$N1001)</f>
        <v/>
      </c>
    </row>
    <row r="1002">
      <c r="A1002" s="90" t="n">
        <v>6</v>
      </c>
      <c r="B1002" s="91">
        <f>EDATE($B1001,1)</f>
        <v/>
      </c>
      <c r="C1002" s="92">
        <f>EOMONTH($B1002,0)</f>
        <v/>
      </c>
      <c r="D1002" s="87">
        <f>$C1002-$B1002+1</f>
        <v/>
      </c>
      <c r="E1002" s="87">
        <f>MONTH($B1002)</f>
        <v/>
      </c>
      <c r="F1002" s="93">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$N1002*IF($O$994=1,$O1002/$F$994,1)</f>
        <v/>
      </c>
      <c r="T1002" s="95">
        <f>IF($G1002&lt;nr_MStartP,$S1002,$T990*(1+IF($G1002&lt;nr_MStartP1,$M$994,$N$994)))</f>
        <v/>
      </c>
      <c r="U1002" s="95">
        <f>IF($L$994,$T1002,$N1002)</f>
        <v/>
      </c>
    </row>
    <row r="1003">
      <c r="A1003" s="90" t="n">
        <v>7</v>
      </c>
      <c r="B1003" s="91">
        <f>EDATE($B1002,1)</f>
        <v/>
      </c>
      <c r="C1003" s="92">
        <f>EOMONTH($B1003,0)</f>
        <v/>
      </c>
      <c r="D1003" s="87">
        <f>$C1003-$B1003+1</f>
        <v/>
      </c>
      <c r="E1003" s="87">
        <f>MONTH($B1003)</f>
        <v/>
      </c>
      <c r="F1003" s="93">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$N1003*IF($O$994=1,$O1003/$F$994,1)</f>
        <v/>
      </c>
      <c r="T1003" s="95">
        <f>IF($G1003&lt;nr_MStartP,$S1003,$T991*(1+IF($G1003&lt;nr_MStartP1,$M$994,$N$994)))</f>
        <v/>
      </c>
      <c r="U1003" s="95">
        <f>IF($L$994,$T1003,$N1003)</f>
        <v/>
      </c>
    </row>
    <row r="1004">
      <c r="A1004" s="90" t="n">
        <v>8</v>
      </c>
      <c r="B1004" s="91">
        <f>EDATE($B1003,1)</f>
        <v/>
      </c>
      <c r="C1004" s="92">
        <f>EOMONTH($B1004,0)</f>
        <v/>
      </c>
      <c r="D1004" s="87">
        <f>$C1004-$B1004+1</f>
        <v/>
      </c>
      <c r="E1004" s="87">
        <f>MONTH($B1004)</f>
        <v/>
      </c>
      <c r="F1004" s="93">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$N1004*IF($O$994=1,$O1004/$F$994,1)</f>
        <v/>
      </c>
      <c r="T1004" s="95">
        <f>IF($G1004&lt;nr_MStartP,$S1004,$T992*(1+IF($G1004&lt;nr_MStartP1,$M$994,$N$994)))</f>
        <v/>
      </c>
      <c r="U1004" s="95">
        <f>IF($L$994,$T1004,$N1004)</f>
        <v/>
      </c>
    </row>
    <row r="1005">
      <c r="A1005" s="90" t="n">
        <v>9</v>
      </c>
      <c r="B1005" s="91">
        <f>EDATE($B1004,1)</f>
        <v/>
      </c>
      <c r="C1005" s="92">
        <f>EOMONTH($B1005,0)</f>
        <v/>
      </c>
      <c r="D1005" s="87">
        <f>$C1005-$B1005+1</f>
        <v/>
      </c>
      <c r="E1005" s="87">
        <f>MONTH($B1005)</f>
        <v/>
      </c>
      <c r="F1005" s="93">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$N1005*IF($O$994=1,$O1005/$F$994,1)</f>
        <v/>
      </c>
      <c r="T1005" s="95">
        <f>IF($G1005&lt;nr_MStartP,$S1005,$T993*(1+IF($G1005&lt;nr_MStartP1,$M$994,$N$994)))</f>
        <v/>
      </c>
      <c r="U1005" s="95">
        <f>IF($L$994,$T1005,$N1005)</f>
        <v/>
      </c>
    </row>
    <row r="1006">
      <c r="A1006" s="90" t="n">
        <v>10</v>
      </c>
      <c r="B1006" s="91">
        <f>EDATE($B1005,1)</f>
        <v/>
      </c>
      <c r="C1006" s="92">
        <f>EOMONTH($B1006,0)</f>
        <v/>
      </c>
      <c r="D1006" s="87">
        <f>$C1006-$B1006+1</f>
        <v/>
      </c>
      <c r="E1006" s="87">
        <f>MONTH($B1006)</f>
        <v/>
      </c>
      <c r="F1006" s="93">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$N1006*IF($O$994=1,$O1006/$F$994,1)</f>
        <v/>
      </c>
      <c r="T1006" s="95">
        <f>IF($G1006&lt;nr_MStartP,$S1006,$T994*(1+IF($G1006&lt;nr_MStartP1,$M$994,$N$994)))</f>
        <v/>
      </c>
      <c r="U1006" s="95">
        <f>IF($L$994,$T1006,$N1006)</f>
        <v/>
      </c>
    </row>
    <row r="1007">
      <c r="A1007" s="90" t="n">
        <v>11</v>
      </c>
      <c r="B1007" s="91">
        <f>EDATE($B1006,1)</f>
        <v/>
      </c>
      <c r="C1007" s="92">
        <f>EOMONTH($B1007,0)</f>
        <v/>
      </c>
      <c r="D1007" s="87">
        <f>$C1007-$B1007+1</f>
        <v/>
      </c>
      <c r="E1007" s="87">
        <f>MONTH($B1007)</f>
        <v/>
      </c>
      <c r="F1007" s="93">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$N1007*IF($O$994=1,$O1007/$F$994,1)</f>
        <v/>
      </c>
      <c r="T1007" s="95">
        <f>IF($G1007&lt;nr_MStartP,$S1007,$T995*(1+IF($G1007&lt;nr_MStartP1,$M$994,$N$994)))</f>
        <v/>
      </c>
      <c r="U1007" s="95">
        <f>IF($L$994,$T1007,$N1007)</f>
        <v/>
      </c>
    </row>
    <row r="1008">
      <c r="A1008" s="90" t="n">
        <v>12</v>
      </c>
      <c r="B1008" s="91">
        <f>EDATE($B1007,1)</f>
        <v/>
      </c>
      <c r="C1008" s="92">
        <f>EOMONTH($B1008,0)</f>
        <v/>
      </c>
      <c r="D1008" s="87">
        <f>$C1008-$B1008+1</f>
        <v/>
      </c>
      <c r="E1008" s="87">
        <f>MONTH($B1008)</f>
        <v/>
      </c>
      <c r="F1008" s="93">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$N1008*IF($O$994=1,$O1008/$F$994,1)</f>
        <v/>
      </c>
      <c r="T1008" s="95">
        <f>IF($G1008&lt;nr_MStartP,$S1008,$T996*(1+IF($G1008&lt;nr_MStartP1,$M$994,$N$994)))</f>
        <v/>
      </c>
      <c r="U1008" s="95">
        <f>IF($L$994,$T1008,$N1008)</f>
        <v/>
      </c>
    </row>
    <row r="1009">
      <c r="A1009" s="90" t="n">
        <v>13</v>
      </c>
      <c r="B1009" s="91">
        <f>EDATE($B1008,1)</f>
        <v/>
      </c>
      <c r="C1009" s="92">
        <f>EOMONTH($B1009,0)</f>
        <v/>
      </c>
      <c r="D1009" s="87">
        <f>$C1009-$B1009+1</f>
        <v/>
      </c>
      <c r="E1009" s="87">
        <f>MONTH($B1009)</f>
        <v/>
      </c>
      <c r="F1009" s="93">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$N1009*IF($O$994=1,$O1009/$F$994,1)</f>
        <v/>
      </c>
      <c r="T1009" s="95">
        <f>IF($G1009&lt;nr_MStartP,$S1009,$T997*(1+IF($G1009&lt;nr_MStartP1,$M$994,$N$994)))</f>
        <v/>
      </c>
      <c r="U1009" s="95">
        <f>IF($L$994,$T1009,$N1009)</f>
        <v/>
      </c>
    </row>
    <row r="1010">
      <c r="A1010" s="90" t="n">
        <v>14</v>
      </c>
      <c r="B1010" s="91">
        <f>EDATE($B1009,1)</f>
        <v/>
      </c>
      <c r="C1010" s="92">
        <f>EOMONTH($B1010,0)</f>
        <v/>
      </c>
      <c r="D1010" s="87">
        <f>$C1010-$B1010+1</f>
        <v/>
      </c>
      <c r="E1010" s="87">
        <f>MONTH($B1010)</f>
        <v/>
      </c>
      <c r="F1010" s="93">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$N1010*IF($O$994=1,$O1010/$F$994,1)</f>
        <v/>
      </c>
      <c r="T1010" s="95">
        <f>IF($G1010&lt;nr_MStartP,$S1010,$T998*(1+IF($G1010&lt;nr_MStartP1,$M$994,$N$994)))</f>
        <v/>
      </c>
      <c r="U1010" s="95">
        <f>IF($L$994,$T1010,$N1010)</f>
        <v/>
      </c>
    </row>
    <row r="1011">
      <c r="A1011" s="90" t="n">
        <v>15</v>
      </c>
      <c r="B1011" s="91">
        <f>EDATE($B1010,1)</f>
        <v/>
      </c>
      <c r="C1011" s="92">
        <f>EOMONTH($B1011,0)</f>
        <v/>
      </c>
      <c r="D1011" s="87">
        <f>$C1011-$B1011+1</f>
        <v/>
      </c>
      <c r="E1011" s="87">
        <f>MONTH($B1011)</f>
        <v/>
      </c>
      <c r="F1011" s="93">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$N1011*IF($O$994=1,$O1011/$F$994,1)</f>
        <v/>
      </c>
      <c r="T1011" s="95">
        <f>IF($G1011&lt;nr_MStartP,$S1011,$T999*(1+IF($G1011&lt;nr_MStartP1,$M$994,$N$994)))</f>
        <v/>
      </c>
      <c r="U1011" s="95">
        <f>IF($L$994,$T1011,$N1011)</f>
        <v/>
      </c>
    </row>
    <row r="1012">
      <c r="A1012" s="90" t="n">
        <v>16</v>
      </c>
      <c r="B1012" s="91">
        <f>EDATE($B1011,1)</f>
        <v/>
      </c>
      <c r="C1012" s="92">
        <f>EOMONTH($B1012,0)</f>
        <v/>
      </c>
      <c r="D1012" s="87">
        <f>$C1012-$B1012+1</f>
        <v/>
      </c>
      <c r="E1012" s="87">
        <f>MONTH($B1012)</f>
        <v/>
      </c>
      <c r="F1012" s="93">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$N1012*IF($O$994=1,$O1012/$F$994,1)</f>
        <v/>
      </c>
      <c r="T1012" s="95">
        <f>IF($G1012&lt;nr_MStartP,$S1012,$T1000*(1+IF($G1012&lt;nr_MStartP1,$M$994,$N$994)))</f>
        <v/>
      </c>
      <c r="U1012" s="95">
        <f>IF($L$994,$T1012,$N1012)</f>
        <v/>
      </c>
    </row>
    <row r="1013">
      <c r="A1013" s="90" t="n">
        <v>17</v>
      </c>
      <c r="B1013" s="91">
        <f>EDATE($B1012,1)</f>
        <v/>
      </c>
      <c r="C1013" s="92">
        <f>EOMONTH($B1013,0)</f>
        <v/>
      </c>
      <c r="D1013" s="87">
        <f>$C1013-$B1013+1</f>
        <v/>
      </c>
      <c r="E1013" s="87">
        <f>MONTH($B1013)</f>
        <v/>
      </c>
      <c r="F1013" s="93">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$N1013*IF($O$994=1,$O1013/$F$994,1)</f>
        <v/>
      </c>
      <c r="T1013" s="95">
        <f>IF($G1013&lt;nr_MStartP,$S1013,$T1001*(1+IF($G1013&lt;nr_MStartP1,$M$994,$N$994)))</f>
        <v/>
      </c>
      <c r="U1013" s="95">
        <f>IF($L$994,$T1013,$N1013)</f>
        <v/>
      </c>
    </row>
    <row r="1014">
      <c r="A1014" s="90" t="n">
        <v>18</v>
      </c>
      <c r="B1014" s="91">
        <f>EDATE($B1013,1)</f>
        <v/>
      </c>
      <c r="C1014" s="92">
        <f>EOMONTH($B1014,0)</f>
        <v/>
      </c>
      <c r="D1014" s="87">
        <f>$C1014-$B1014+1</f>
        <v/>
      </c>
      <c r="E1014" s="87">
        <f>MONTH($B1014)</f>
        <v/>
      </c>
      <c r="F1014" s="93">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$N1014*IF($O$994=1,$O1014/$F$994,1)</f>
        <v/>
      </c>
      <c r="T1014" s="95">
        <f>IF($G1014&lt;nr_MStartP,$S1014,$T1002*(1+IF($G1014&lt;nr_MStartP1,$M$994,$N$994)))</f>
        <v/>
      </c>
      <c r="U1014" s="95">
        <f>IF($L$994,$T1014,$N1014)</f>
        <v/>
      </c>
    </row>
    <row r="1015">
      <c r="A1015" s="90" t="n">
        <v>19</v>
      </c>
      <c r="B1015" s="91">
        <f>EDATE($B1014,1)</f>
        <v/>
      </c>
      <c r="C1015" s="92">
        <f>EOMONTH($B1015,0)</f>
        <v/>
      </c>
      <c r="D1015" s="87">
        <f>$C1015-$B1015+1</f>
        <v/>
      </c>
      <c r="E1015" s="87">
        <f>MONTH($B1015)</f>
        <v/>
      </c>
      <c r="F1015" s="93">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$N1015*IF($O$994=1,$O1015/$F$994,1)</f>
        <v/>
      </c>
      <c r="T1015" s="95">
        <f>IF($G1015&lt;nr_MStartP,$S1015,$T1003*(1+IF($G1015&lt;nr_MStartP1,$M$994,$N$994)))</f>
        <v/>
      </c>
      <c r="U1015" s="95">
        <f>IF($L$994,$T1015,$N1015)</f>
        <v/>
      </c>
    </row>
    <row r="1016">
      <c r="A1016" s="90" t="n">
        <v>20</v>
      </c>
      <c r="B1016" s="91">
        <f>EDATE($B1015,1)</f>
        <v/>
      </c>
      <c r="C1016" s="92">
        <f>EOMONTH($B1016,0)</f>
        <v/>
      </c>
      <c r="D1016" s="87">
        <f>$C1016-$B1016+1</f>
        <v/>
      </c>
      <c r="E1016" s="87">
        <f>MONTH($B1016)</f>
        <v/>
      </c>
      <c r="F1016" s="93">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$N1016*IF($O$994=1,$O1016/$F$994,1)</f>
        <v/>
      </c>
      <c r="T1016" s="95">
        <f>IF($G1016&lt;nr_MStartP,$S1016,$T1004*(1+IF($G1016&lt;nr_MStartP1,$M$994,$N$994)))</f>
        <v/>
      </c>
      <c r="U1016" s="95">
        <f>IF($L$994,$T1016,$N1016)</f>
        <v/>
      </c>
    </row>
    <row r="1017">
      <c r="A1017" s="90" t="n">
        <v>21</v>
      </c>
      <c r="B1017" s="91">
        <f>EDATE($B1016,1)</f>
        <v/>
      </c>
      <c r="C1017" s="92">
        <f>EOMONTH($B1017,0)</f>
        <v/>
      </c>
      <c r="D1017" s="87">
        <f>$C1017-$B1017+1</f>
        <v/>
      </c>
      <c r="E1017" s="87">
        <f>MONTH($B1017)</f>
        <v/>
      </c>
      <c r="F1017" s="93">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$N1017*IF($O$994=1,$O1017/$F$994,1)</f>
        <v/>
      </c>
      <c r="T1017" s="95">
        <f>IF($G1017&lt;nr_MStartP,$S1017,$T1005*(1+IF($G1017&lt;nr_MStartP1,$M$994,$N$994)))</f>
        <v/>
      </c>
      <c r="U1017" s="95">
        <f>IF($L$994,$T1017,$N1017)</f>
        <v/>
      </c>
    </row>
    <row r="1018">
      <c r="A1018" s="90" t="n">
        <v>22</v>
      </c>
      <c r="B1018" s="91">
        <f>EDATE($B1017,1)</f>
        <v/>
      </c>
      <c r="C1018" s="92">
        <f>EOMONTH($B1018,0)</f>
        <v/>
      </c>
      <c r="D1018" s="87">
        <f>$C1018-$B1018+1</f>
        <v/>
      </c>
      <c r="E1018" s="87">
        <f>MONTH($B1018)</f>
        <v/>
      </c>
      <c r="F1018" s="93">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$N1018*IF($O$994=1,$O1018/$F$994,1)</f>
        <v/>
      </c>
      <c r="T1018" s="95">
        <f>IF($G1018&lt;nr_MStartP,$S1018,$T1006*(1+IF($G1018&lt;nr_MStartP1,$M$994,$N$994)))</f>
        <v/>
      </c>
      <c r="U1018" s="95">
        <f>IF($L$994,$T1018,$N1018)</f>
        <v/>
      </c>
    </row>
    <row r="1019">
      <c r="A1019" s="90" t="n">
        <v>23</v>
      </c>
      <c r="B1019" s="91">
        <f>EDATE($B1018,1)</f>
        <v/>
      </c>
      <c r="C1019" s="92">
        <f>EOMONTH($B1019,0)</f>
        <v/>
      </c>
      <c r="D1019" s="87">
        <f>$C1019-$B1019+1</f>
        <v/>
      </c>
      <c r="E1019" s="87">
        <f>MONTH($B1019)</f>
        <v/>
      </c>
      <c r="F1019" s="93">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$N1019*IF($O$994=1,$O1019/$F$994,1)</f>
        <v/>
      </c>
      <c r="T1019" s="95">
        <f>IF($G1019&lt;nr_MStartP,$S1019,$T1007*(1+IF($G1019&lt;nr_MStartP1,$M$994,$N$994)))</f>
        <v/>
      </c>
      <c r="U1019" s="95">
        <f>IF($L$994,$T1019,$N1019)</f>
        <v/>
      </c>
    </row>
    <row r="1020">
      <c r="A1020" s="90" t="n">
        <v>24</v>
      </c>
      <c r="B1020" s="91">
        <f>EDATE($B1019,1)</f>
        <v/>
      </c>
      <c r="C1020" s="92">
        <f>EOMONTH($B1020,0)</f>
        <v/>
      </c>
      <c r="D1020" s="87">
        <f>$C1020-$B1020+1</f>
        <v/>
      </c>
      <c r="E1020" s="87">
        <f>MONTH($B1020)</f>
        <v/>
      </c>
      <c r="F1020" s="93">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$N1020*IF($O$994=1,$O1020/$F$994,1)</f>
        <v/>
      </c>
      <c r="T1020" s="95">
        <f>IF($G1020&lt;nr_MStartP,$S1020,$T1008*(1+IF($G1020&lt;nr_MStartP1,$M$994,$N$994)))</f>
        <v/>
      </c>
      <c r="U1020" s="95">
        <f>IF($L$994,$T1020,$N1020)</f>
        <v/>
      </c>
    </row>
    <row r="1021">
      <c r="A1021" s="90" t="n">
        <v>25</v>
      </c>
      <c r="B1021" s="91">
        <f>EDATE($B1020,1)</f>
        <v/>
      </c>
      <c r="C1021" s="92">
        <f>EOMONTH($B1021,0)</f>
        <v/>
      </c>
      <c r="D1021" s="87">
        <f>$C1021-$B1021+1</f>
        <v/>
      </c>
      <c r="E1021" s="87">
        <f>MONTH($B1021)</f>
        <v/>
      </c>
      <c r="F1021" s="93">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$N1021*IF($O$994=1,$O1021/$F$994,1)</f>
        <v/>
      </c>
      <c r="T1021" s="95">
        <f>IF($G1021&lt;nr_MStartP,$S1021,$T1009*(1+IF($G1021&lt;nr_MStartP1,$M$994,$N$994)))</f>
        <v/>
      </c>
      <c r="U1021" s="95">
        <f>IF($L$994,$T1021,$N1021)</f>
        <v/>
      </c>
    </row>
    <row r="1022">
      <c r="A1022" s="90" t="n">
        <v>26</v>
      </c>
      <c r="B1022" s="91">
        <f>EDATE($B1021,1)</f>
        <v/>
      </c>
      <c r="C1022" s="92">
        <f>EOMONTH($B1022,0)</f>
        <v/>
      </c>
      <c r="D1022" s="87">
        <f>$C1022-$B1022+1</f>
        <v/>
      </c>
      <c r="E1022" s="87">
        <f>MONTH($B1022)</f>
        <v/>
      </c>
      <c r="F1022" s="93">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$N1022*IF($O$994=1,$O1022/$F$994,1)</f>
        <v/>
      </c>
      <c r="T1022" s="95">
        <f>IF($G1022&lt;nr_MStartP,$S1022,$T1010*(1+IF($G1022&lt;nr_MStartP1,$M$994,$N$994)))</f>
        <v/>
      </c>
      <c r="U1022" s="95">
        <f>IF($L$994,$T1022,$N1022)</f>
        <v/>
      </c>
    </row>
    <row r="1023">
      <c r="A1023" s="90" t="n">
        <v>27</v>
      </c>
      <c r="B1023" s="91">
        <f>EDATE($B1022,1)</f>
        <v/>
      </c>
      <c r="C1023" s="92">
        <f>EOMONTH($B1023,0)</f>
        <v/>
      </c>
      <c r="D1023" s="87">
        <f>$C1023-$B1023+1</f>
        <v/>
      </c>
      <c r="E1023" s="87">
        <f>MONTH($B1023)</f>
        <v/>
      </c>
      <c r="F1023" s="93">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$N1023*IF($O$994=1,$O1023/$F$994,1)</f>
        <v/>
      </c>
      <c r="T1023" s="95">
        <f>IF($G1023&lt;nr_MStartP,$S1023,$T1011*(1+IF($G1023&lt;nr_MStartP1,$M$994,$N$994)))</f>
        <v/>
      </c>
      <c r="U1023" s="95">
        <f>IF($L$994,$T1023,$N1023)</f>
        <v/>
      </c>
    </row>
    <row r="1024">
      <c r="A1024" s="90" t="n">
        <v>28</v>
      </c>
      <c r="B1024" s="91">
        <f>EDATE($B1023,1)</f>
        <v/>
      </c>
      <c r="C1024" s="92">
        <f>EOMONTH($B1024,0)</f>
        <v/>
      </c>
      <c r="D1024" s="87">
        <f>$C1024-$B1024+1</f>
        <v/>
      </c>
      <c r="E1024" s="87">
        <f>MONTH($B1024)</f>
        <v/>
      </c>
      <c r="F1024" s="93">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$N1024*IF($O$994=1,$O1024/$F$994,1)</f>
        <v/>
      </c>
      <c r="T1024" s="95">
        <f>IF($G1024&lt;nr_MStartP,$S1024,$T1012*(1+IF($G1024&lt;nr_MStartP1,$M$994,$N$994)))</f>
        <v/>
      </c>
      <c r="U1024" s="95">
        <f>IF($L$994,$T1024,$N1024)</f>
        <v/>
      </c>
    </row>
    <row r="1025">
      <c r="A1025" s="90" t="n">
        <v>29</v>
      </c>
      <c r="B1025" s="91">
        <f>EDATE($B1024,1)</f>
        <v/>
      </c>
      <c r="C1025" s="92">
        <f>EOMONTH($B1025,0)</f>
        <v/>
      </c>
      <c r="D1025" s="87">
        <f>$C1025-$B1025+1</f>
        <v/>
      </c>
      <c r="E1025" s="87">
        <f>MONTH($B1025)</f>
        <v/>
      </c>
      <c r="F1025" s="93">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$N1025*IF($O$994=1,$O1025/$F$994,1)</f>
        <v/>
      </c>
      <c r="T1025" s="95">
        <f>IF($G1025&lt;nr_MStartP,$S1025,$T1013*(1+IF($G1025&lt;nr_MStartP1,$M$994,$N$994)))</f>
        <v/>
      </c>
      <c r="U1025" s="95">
        <f>IF($L$994,$T1025,$N1025)</f>
        <v/>
      </c>
    </row>
    <row r="1026">
      <c r="A1026" s="90" t="n">
        <v>30</v>
      </c>
      <c r="B1026" s="91">
        <f>EDATE($B1025,1)</f>
        <v/>
      </c>
      <c r="C1026" s="92">
        <f>EOMONTH($B1026,0)</f>
        <v/>
      </c>
      <c r="D1026" s="87">
        <f>$C1026-$B1026+1</f>
        <v/>
      </c>
      <c r="E1026" s="87">
        <f>MONTH($B1026)</f>
        <v/>
      </c>
      <c r="F1026" s="93">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$N1026*IF($O$994=1,$O1026/$F$994,1)</f>
        <v/>
      </c>
      <c r="T1026" s="95">
        <f>IF($G1026&lt;nr_MStartP,$S1026,$T1014*(1+IF($G1026&lt;nr_MStartP1,$M$994,$N$994)))</f>
        <v/>
      </c>
      <c r="U1026" s="95">
        <f>IF($L$994,$T1026,$N1026)</f>
        <v/>
      </c>
    </row>
    <row r="1027">
      <c r="A1027" s="90" t="n">
        <v>31</v>
      </c>
      <c r="B1027" s="91">
        <f>EDATE($B1026,1)</f>
        <v/>
      </c>
      <c r="C1027" s="92">
        <f>EOMONTH($B1027,0)</f>
        <v/>
      </c>
      <c r="D1027" s="87">
        <f>$C1027-$B1027+1</f>
        <v/>
      </c>
      <c r="E1027" s="87">
        <f>MONTH($B1027)</f>
        <v/>
      </c>
      <c r="F1027" s="93">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$N1027*IF($O$994=1,$O1027/$F$994,1)</f>
        <v/>
      </c>
      <c r="T1027" s="95">
        <f>IF($G1027&lt;nr_MStartP,$S1027,$T1015*(1+IF($G1027&lt;nr_MStartP1,$M$994,$N$994)))</f>
        <v/>
      </c>
      <c r="U1027" s="95">
        <f>IF($L$994,$T1027,$N1027)</f>
        <v/>
      </c>
    </row>
    <row r="1028">
      <c r="A1028" s="90" t="n">
        <v>32</v>
      </c>
      <c r="B1028" s="91">
        <f>EDATE($B1027,1)</f>
        <v/>
      </c>
      <c r="C1028" s="92">
        <f>EOMONTH($B1028,0)</f>
        <v/>
      </c>
      <c r="D1028" s="87">
        <f>$C1028-$B1028+1</f>
        <v/>
      </c>
      <c r="E1028" s="87">
        <f>MONTH($B1028)</f>
        <v/>
      </c>
      <c r="F1028" s="93">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$N1028*IF($O$994=1,$O1028/$F$994,1)</f>
        <v/>
      </c>
      <c r="T1028" s="95">
        <f>IF($G1028&lt;nr_MStartP,$S1028,$T1016*(1+IF($G1028&lt;nr_MStartP1,$M$994,$N$994)))</f>
        <v/>
      </c>
      <c r="U1028" s="95">
        <f>IF($L$994,$T1028,$N1028)</f>
        <v/>
      </c>
    </row>
    <row r="1029">
      <c r="A1029" s="90" t="n">
        <v>33</v>
      </c>
      <c r="B1029" s="91">
        <f>EDATE($B1028,1)</f>
        <v/>
      </c>
      <c r="C1029" s="92">
        <f>EOMONTH($B1029,0)</f>
        <v/>
      </c>
      <c r="D1029" s="87">
        <f>$C1029-$B1029+1</f>
        <v/>
      </c>
      <c r="E1029" s="87">
        <f>MONTH($B1029)</f>
        <v/>
      </c>
      <c r="F1029" s="93">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$N1029*IF($O$994=1,$O1029/$F$994,1)</f>
        <v/>
      </c>
      <c r="T1029" s="95">
        <f>IF($G1029&lt;nr_MStartP,$S1029,$T1017*(1+IF($G1029&lt;nr_MStartP1,$M$994,$N$994)))</f>
        <v/>
      </c>
      <c r="U1029" s="95">
        <f>IF($L$994,$T1029,$N1029)</f>
        <v/>
      </c>
    </row>
    <row r="1030">
      <c r="A1030" s="90" t="n">
        <v>34</v>
      </c>
      <c r="B1030" s="91">
        <f>EDATE($B1029,1)</f>
        <v/>
      </c>
      <c r="C1030" s="92">
        <f>EOMONTH($B1030,0)</f>
        <v/>
      </c>
      <c r="D1030" s="87">
        <f>$C1030-$B1030+1</f>
        <v/>
      </c>
      <c r="E1030" s="87">
        <f>MONTH($B1030)</f>
        <v/>
      </c>
      <c r="F1030" s="93">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$N1030*IF($O$994=1,$O1030/$F$994,1)</f>
        <v/>
      </c>
      <c r="T1030" s="95">
        <f>IF($G1030&lt;nr_MStartP,$S1030,$T1018*(1+IF($G1030&lt;nr_MStartP1,$M$994,$N$994)))</f>
        <v/>
      </c>
      <c r="U1030" s="95">
        <f>IF($L$994,$T1030,$N1030)</f>
        <v/>
      </c>
    </row>
    <row r="1031">
      <c r="A1031" s="90" t="n">
        <v>35</v>
      </c>
      <c r="B1031" s="91">
        <f>EDATE($B1030,1)</f>
        <v/>
      </c>
      <c r="C1031" s="92">
        <f>EOMONTH($B1031,0)</f>
        <v/>
      </c>
      <c r="D1031" s="87">
        <f>$C1031-$B1031+1</f>
        <v/>
      </c>
      <c r="E1031" s="87">
        <f>MONTH($B1031)</f>
        <v/>
      </c>
      <c r="F1031" s="93">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$N1031*IF($O$994=1,$O1031/$F$994,1)</f>
        <v/>
      </c>
      <c r="T1031" s="95">
        <f>IF($G1031&lt;nr_MStartP,$S1031,$T1019*(1+IF($G1031&lt;nr_MStartP1,$M$994,$N$994)))</f>
        <v/>
      </c>
      <c r="U1031" s="95">
        <f>IF($L$994,$T1031,$N1031)</f>
        <v/>
      </c>
    </row>
    <row r="1032">
      <c r="A1032" s="90" t="n">
        <v>36</v>
      </c>
      <c r="B1032" s="91">
        <f>EDATE($B1031,1)</f>
        <v/>
      </c>
      <c r="C1032" s="92">
        <f>EOMONTH($B1032,0)</f>
        <v/>
      </c>
      <c r="D1032" s="87">
        <f>$C1032-$B1032+1</f>
        <v/>
      </c>
      <c r="E1032" s="87">
        <f>MONTH($B1032)</f>
        <v/>
      </c>
      <c r="F1032" s="93">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$N1032*IF($O$994=1,$O1032/$F$994,1)</f>
        <v/>
      </c>
      <c r="T1032" s="95">
        <f>IF($G1032&lt;nr_MStartP,$S1032,$T1020*(1+IF($G1032&lt;nr_MStartP1,$M$994,$N$994)))</f>
        <v/>
      </c>
      <c r="U1032" s="95">
        <f>IF($L$994,$T1032,$N1032)</f>
        <v/>
      </c>
    </row>
    <row r="1033">
      <c r="A1033" s="90" t="n">
        <v>37</v>
      </c>
      <c r="B1033" s="91">
        <f>EDATE($B1032,1)</f>
        <v/>
      </c>
      <c r="C1033" s="92">
        <f>EOMONTH($B1033,0)</f>
        <v/>
      </c>
      <c r="D1033" s="87">
        <f>$C1033-$B1033+1</f>
        <v/>
      </c>
      <c r="E1033" s="87">
        <f>MONTH($B1033)</f>
        <v/>
      </c>
      <c r="F1033" s="93">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$N1033*IF($O$994=1,$O1033/$F$994,1)</f>
        <v/>
      </c>
      <c r="T1033" s="95">
        <f>IF($G1033&lt;nr_MStartP,$S1033,$T1021*(1+IF($G1033&lt;nr_MStartP1,$M$994,$N$994)))</f>
        <v/>
      </c>
      <c r="U1033" s="95">
        <f>IF($L$994,$T1033,$N1033)</f>
        <v/>
      </c>
    </row>
    <row r="1034">
      <c r="A1034" s="90" t="n">
        <v>38</v>
      </c>
      <c r="B1034" s="91">
        <f>EDATE($B1033,1)</f>
        <v/>
      </c>
      <c r="C1034" s="92">
        <f>EOMONTH($B1034,0)</f>
        <v/>
      </c>
      <c r="D1034" s="87">
        <f>$C1034-$B1034+1</f>
        <v/>
      </c>
      <c r="E1034" s="87">
        <f>MONTH($B1034)</f>
        <v/>
      </c>
      <c r="F1034" s="93">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$N1034*IF($O$994=1,$O1034/$F$994,1)</f>
        <v/>
      </c>
      <c r="T1034" s="95">
        <f>IF($G1034&lt;nr_MStartP,$S1034,$T1022*(1+IF($G1034&lt;nr_MStartP1,$M$994,$N$994)))</f>
        <v/>
      </c>
      <c r="U1034" s="95">
        <f>IF($L$994,$T1034,$N1034)</f>
        <v/>
      </c>
    </row>
    <row r="1035">
      <c r="A1035" s="90" t="n">
        <v>39</v>
      </c>
      <c r="B1035" s="91">
        <f>EDATE($B1034,1)</f>
        <v/>
      </c>
      <c r="C1035" s="92">
        <f>EOMONTH($B1035,0)</f>
        <v/>
      </c>
      <c r="D1035" s="87">
        <f>$C1035-$B1035+1</f>
        <v/>
      </c>
      <c r="E1035" s="87">
        <f>MONTH($B1035)</f>
        <v/>
      </c>
      <c r="F1035" s="93">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$N1035*IF($O$994=1,$O1035/$F$994,1)</f>
        <v/>
      </c>
      <c r="T1035" s="95">
        <f>IF($G1035&lt;nr_MStartP,$S1035,$T1023*(1+IF($G1035&lt;nr_MStartP1,$M$994,$N$994)))</f>
        <v/>
      </c>
      <c r="U1035" s="95">
        <f>IF($L$994,$T1035,$N1035)</f>
        <v/>
      </c>
    </row>
    <row r="1036">
      <c r="A1036" s="90" t="n">
        <v>40</v>
      </c>
      <c r="B1036" s="91">
        <f>EDATE($B1035,1)</f>
        <v/>
      </c>
      <c r="C1036" s="92">
        <f>EOMONTH($B1036,0)</f>
        <v/>
      </c>
      <c r="D1036" s="87">
        <f>$C1036-$B1036+1</f>
        <v/>
      </c>
      <c r="E1036" s="87">
        <f>MONTH($B1036)</f>
        <v/>
      </c>
      <c r="F1036" s="93">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$N1036*IF($O$994=1,$O1036/$F$994,1)</f>
        <v/>
      </c>
      <c r="T1036" s="95">
        <f>IF($G1036&lt;nr_MStartP,$S1036,$T1024*(1+IF($G1036&lt;nr_MStartP1,$M$994,$N$994)))</f>
        <v/>
      </c>
      <c r="U1036" s="95">
        <f>IF($L$994,$T1036,$N1036)</f>
        <v/>
      </c>
    </row>
    <row r="1037">
      <c r="A1037" s="90" t="n">
        <v>41</v>
      </c>
      <c r="B1037" s="91">
        <f>EDATE($B1036,1)</f>
        <v/>
      </c>
      <c r="C1037" s="92">
        <f>EOMONTH($B1037,0)</f>
        <v/>
      </c>
      <c r="D1037" s="87">
        <f>$C1037-$B1037+1</f>
        <v/>
      </c>
      <c r="E1037" s="87">
        <f>MONTH($B1037)</f>
        <v/>
      </c>
      <c r="F1037" s="93">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$N1037*IF($O$994=1,$O1037/$F$994,1)</f>
        <v/>
      </c>
      <c r="T1037" s="95">
        <f>IF($G1037&lt;nr_MStartP,$S1037,$T1025*(1+IF($G1037&lt;nr_MStartP1,$M$994,$N$994)))</f>
        <v/>
      </c>
      <c r="U1037" s="95">
        <f>IF($L$994,$T1037,$N1037)</f>
        <v/>
      </c>
    </row>
    <row r="1038">
      <c r="A1038" s="90" t="n">
        <v>42</v>
      </c>
      <c r="B1038" s="91">
        <f>EDATE($B1037,1)</f>
        <v/>
      </c>
      <c r="C1038" s="92">
        <f>EOMONTH($B1038,0)</f>
        <v/>
      </c>
      <c r="D1038" s="87">
        <f>$C1038-$B1038+1</f>
        <v/>
      </c>
      <c r="E1038" s="87">
        <f>MONTH($B1038)</f>
        <v/>
      </c>
      <c r="F1038" s="93">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$N1038*IF($O$994=1,$O1038/$F$994,1)</f>
        <v/>
      </c>
      <c r="T1038" s="95">
        <f>IF($G1038&lt;nr_MStartP,$S1038,$T1026*(1+IF($G1038&lt;nr_MStartP1,$M$994,$N$994)))</f>
        <v/>
      </c>
      <c r="U1038" s="95">
        <f>IF($L$994,$T1038,$N1038)</f>
        <v/>
      </c>
    </row>
    <row r="1039">
      <c r="A1039" s="90" t="n">
        <v>43</v>
      </c>
      <c r="B1039" s="91">
        <f>EDATE($B1038,1)</f>
        <v/>
      </c>
      <c r="C1039" s="92">
        <f>EOMONTH($B1039,0)</f>
        <v/>
      </c>
      <c r="D1039" s="87">
        <f>$C1039-$B1039+1</f>
        <v/>
      </c>
      <c r="E1039" s="87">
        <f>MONTH($B1039)</f>
        <v/>
      </c>
      <c r="F1039" s="93">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$N1039*IF($O$994=1,$O1039/$F$994,1)</f>
        <v/>
      </c>
      <c r="T1039" s="95">
        <f>IF($G1039&lt;nr_MStartP,$S1039,$T1027*(1+IF($G1039&lt;nr_MStartP1,$M$994,$N$994)))</f>
        <v/>
      </c>
      <c r="U1039" s="95">
        <f>IF($L$994,$T1039,$N1039)</f>
        <v/>
      </c>
    </row>
    <row r="1040">
      <c r="A1040" s="90" t="n">
        <v>44</v>
      </c>
      <c r="B1040" s="91">
        <f>EDATE($B1039,1)</f>
        <v/>
      </c>
      <c r="C1040" s="92">
        <f>EOMONTH($B1040,0)</f>
        <v/>
      </c>
      <c r="D1040" s="87">
        <f>$C1040-$B1040+1</f>
        <v/>
      </c>
      <c r="E1040" s="87">
        <f>MONTH($B1040)</f>
        <v/>
      </c>
      <c r="F1040" s="93">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$N1040*IF($O$994=1,$O1040/$F$994,1)</f>
        <v/>
      </c>
      <c r="T1040" s="95">
        <f>IF($G1040&lt;nr_MStartP,$S1040,$T1028*(1+IF($G1040&lt;nr_MStartP1,$M$994,$N$994)))</f>
        <v/>
      </c>
      <c r="U1040" s="95">
        <f>IF($L$994,$T1040,$N1040)</f>
        <v/>
      </c>
    </row>
    <row r="1041">
      <c r="A1041" s="90" t="n">
        <v>45</v>
      </c>
      <c r="B1041" s="91">
        <f>EDATE($B1040,1)</f>
        <v/>
      </c>
      <c r="C1041" s="92">
        <f>EOMONTH($B1041,0)</f>
        <v/>
      </c>
      <c r="D1041" s="87">
        <f>$C1041-$B1041+1</f>
        <v/>
      </c>
      <c r="E1041" s="87">
        <f>MONTH($B1041)</f>
        <v/>
      </c>
      <c r="F1041" s="93">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$N1041*IF($O$994=1,$O1041/$F$994,1)</f>
        <v/>
      </c>
      <c r="T1041" s="95">
        <f>IF($G1041&lt;nr_MStartP,$S1041,$T1029*(1+IF($G1041&lt;nr_MStartP1,$M$994,$N$994)))</f>
        <v/>
      </c>
      <c r="U1041" s="95">
        <f>IF($L$994,$T1041,$N1041)</f>
        <v/>
      </c>
    </row>
    <row r="1042">
      <c r="A1042" s="90" t="n">
        <v>46</v>
      </c>
      <c r="B1042" s="91">
        <f>EDATE($B1041,1)</f>
        <v/>
      </c>
      <c r="C1042" s="92">
        <f>EOMONTH($B1042,0)</f>
        <v/>
      </c>
      <c r="D1042" s="87">
        <f>$C1042-$B1042+1</f>
        <v/>
      </c>
      <c r="E1042" s="87">
        <f>MONTH($B1042)</f>
        <v/>
      </c>
      <c r="F1042" s="93">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$N1042*IF($O$994=1,$O1042/$F$994,1)</f>
        <v/>
      </c>
      <c r="T1042" s="95">
        <f>IF($G1042&lt;nr_MStartP,$S1042,$T1030*(1+IF($G1042&lt;nr_MStartP1,$M$994,$N$994)))</f>
        <v/>
      </c>
      <c r="U1042" s="95">
        <f>IF($L$994,$T1042,$N1042)</f>
        <v/>
      </c>
    </row>
    <row r="1043">
      <c r="A1043" s="90" t="n">
        <v>47</v>
      </c>
      <c r="B1043" s="91">
        <f>EDATE($B1042,1)</f>
        <v/>
      </c>
      <c r="C1043" s="92">
        <f>EOMONTH($B1043,0)</f>
        <v/>
      </c>
      <c r="D1043" s="87">
        <f>$C1043-$B1043+1</f>
        <v/>
      </c>
      <c r="E1043" s="87">
        <f>MONTH($B1043)</f>
        <v/>
      </c>
      <c r="F1043" s="93">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$N1043*IF($O$994=1,$O1043/$F$994,1)</f>
        <v/>
      </c>
      <c r="T1043" s="95">
        <f>IF($G1043&lt;nr_MStartP,$S1043,$T1031*(1+IF($G1043&lt;nr_MStartP1,$M$994,$N$994)))</f>
        <v/>
      </c>
      <c r="U1043" s="95">
        <f>IF($L$994,$T1043,$N1043)</f>
        <v/>
      </c>
    </row>
    <row r="1044">
      <c r="A1044" s="90" t="n">
        <v>48</v>
      </c>
      <c r="B1044" s="91">
        <f>EDATE($B1043,1)</f>
        <v/>
      </c>
      <c r="C1044" s="92">
        <f>EOMONTH($B1044,0)</f>
        <v/>
      </c>
      <c r="D1044" s="87">
        <f>$C1044-$B1044+1</f>
        <v/>
      </c>
      <c r="E1044" s="87">
        <f>MONTH($B1044)</f>
        <v/>
      </c>
      <c r="F1044" s="93">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$N1044*IF($O$994=1,$O1044/$F$994,1)</f>
        <v/>
      </c>
      <c r="T1044" s="95">
        <f>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04">
        <f>SUMPRODUCT($H$997:$H$1044,$Q$997:$Q$1044,$O$997:$O$1044)/SUMPRODUCT($H$997:$H$1044,$Q$997:$Q$1044)</f>
        <v/>
      </c>
      <c r="G1045" s="20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04">
        <f>IF(N(INDEX(lr_mind,19))=0,1,INDEX(lr_mind,19))</f>
        <v/>
      </c>
      <c r="G1048" s="204">
        <f>IF(N(INDEX(lr_m0,19))=0,1,INDEX(lr_m0,19))</f>
        <v/>
      </c>
      <c r="H1048" s="73">
        <f>IF(N(INDEX(lr_m0asof,19))=0,DATE(nr_PlanYear-1,10,1),INDEX(lr_m0asof,19))</f>
        <v/>
      </c>
      <c r="I1048" s="204">
        <f>IF(N(INDEX(lr_m1,19))=0,1,INDEX(lr_m1,19))</f>
        <v/>
      </c>
      <c r="J1048" s="204">
        <f>INDEX(lr_mprior,19)</f>
        <v/>
      </c>
      <c r="K1048" s="20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93">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$N1051*IF($O$1048=1,$O1051/$F$1048,1)</f>
        <v/>
      </c>
      <c r="T1051" s="95">
        <f>IF($G1051&lt;nr_MStartP,$S1051,$T1039*(1+IF($G1051&lt;nr_MStartP1,$M$1048,$N$1048)))</f>
        <v/>
      </c>
      <c r="U1051" s="95">
        <f>IF($L$1048,$T1051,$N1051)</f>
        <v/>
      </c>
    </row>
    <row r="1052">
      <c r="A1052" s="90" t="n">
        <v>2</v>
      </c>
      <c r="B1052" s="91">
        <f>EDATE($B1051,1)</f>
        <v/>
      </c>
      <c r="C1052" s="92">
        <f>EOMONTH($B1052,0)</f>
        <v/>
      </c>
      <c r="D1052" s="87">
        <f>$C1052-$B1052+1</f>
        <v/>
      </c>
      <c r="E1052" s="87">
        <f>MONTH($B1052)</f>
        <v/>
      </c>
      <c r="F1052" s="93">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$N1052*IF($O$1048=1,$O1052/$F$1048,1)</f>
        <v/>
      </c>
      <c r="T1052" s="95">
        <f>IF($G1052&lt;nr_MStartP,$S1052,$T1040*(1+IF($G1052&lt;nr_MStartP1,$M$1048,$N$1048)))</f>
        <v/>
      </c>
      <c r="U1052" s="95">
        <f>IF($L$1048,$T1052,$N1052)</f>
        <v/>
      </c>
    </row>
    <row r="1053">
      <c r="A1053" s="90" t="n">
        <v>3</v>
      </c>
      <c r="B1053" s="91">
        <f>EDATE($B1052,1)</f>
        <v/>
      </c>
      <c r="C1053" s="92">
        <f>EOMONTH($B1053,0)</f>
        <v/>
      </c>
      <c r="D1053" s="87">
        <f>$C1053-$B1053+1</f>
        <v/>
      </c>
      <c r="E1053" s="87">
        <f>MONTH($B1053)</f>
        <v/>
      </c>
      <c r="F1053" s="93">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$N1053*IF($O$1048=1,$O1053/$F$1048,1)</f>
        <v/>
      </c>
      <c r="T1053" s="95">
        <f>IF($G1053&lt;nr_MStartP,$S1053,$T1041*(1+IF($G1053&lt;nr_MStartP1,$M$1048,$N$1048)))</f>
        <v/>
      </c>
      <c r="U1053" s="95">
        <f>IF($L$1048,$T1053,$N1053)</f>
        <v/>
      </c>
    </row>
    <row r="1054">
      <c r="A1054" s="90" t="n">
        <v>4</v>
      </c>
      <c r="B1054" s="91">
        <f>EDATE($B1053,1)</f>
        <v/>
      </c>
      <c r="C1054" s="92">
        <f>EOMONTH($B1054,0)</f>
        <v/>
      </c>
      <c r="D1054" s="87">
        <f>$C1054-$B1054+1</f>
        <v/>
      </c>
      <c r="E1054" s="87">
        <f>MONTH($B1054)</f>
        <v/>
      </c>
      <c r="F1054" s="93">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$N1054*IF($O$1048=1,$O1054/$F$1048,1)</f>
        <v/>
      </c>
      <c r="T1054" s="95">
        <f>IF($G1054&lt;nr_MStartP,$S1054,$T1042*(1+IF($G1054&lt;nr_MStartP1,$M$1048,$N$1048)))</f>
        <v/>
      </c>
      <c r="U1054" s="95">
        <f>IF($L$1048,$T1054,$N1054)</f>
        <v/>
      </c>
    </row>
    <row r="1055">
      <c r="A1055" s="90" t="n">
        <v>5</v>
      </c>
      <c r="B1055" s="91">
        <f>EDATE($B1054,1)</f>
        <v/>
      </c>
      <c r="C1055" s="92">
        <f>EOMONTH($B1055,0)</f>
        <v/>
      </c>
      <c r="D1055" s="87">
        <f>$C1055-$B1055+1</f>
        <v/>
      </c>
      <c r="E1055" s="87">
        <f>MONTH($B1055)</f>
        <v/>
      </c>
      <c r="F1055" s="93">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$N1055*IF($O$1048=1,$O1055/$F$1048,1)</f>
        <v/>
      </c>
      <c r="T1055" s="95">
        <f>IF($G1055&lt;nr_MStartP,$S1055,$T1043*(1+IF($G1055&lt;nr_MStartP1,$M$1048,$N$1048)))</f>
        <v/>
      </c>
      <c r="U1055" s="95">
        <f>IF($L$1048,$T1055,$N1055)</f>
        <v/>
      </c>
    </row>
    <row r="1056">
      <c r="A1056" s="90" t="n">
        <v>6</v>
      </c>
      <c r="B1056" s="91">
        <f>EDATE($B1055,1)</f>
        <v/>
      </c>
      <c r="C1056" s="92">
        <f>EOMONTH($B1056,0)</f>
        <v/>
      </c>
      <c r="D1056" s="87">
        <f>$C1056-$B1056+1</f>
        <v/>
      </c>
      <c r="E1056" s="87">
        <f>MONTH($B1056)</f>
        <v/>
      </c>
      <c r="F1056" s="93">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$N1056*IF($O$1048=1,$O1056/$F$1048,1)</f>
        <v/>
      </c>
      <c r="T1056" s="95">
        <f>IF($G1056&lt;nr_MStartP,$S1056,$T1044*(1+IF($G1056&lt;nr_MStartP1,$M$1048,$N$1048)))</f>
        <v/>
      </c>
      <c r="U1056" s="95">
        <f>IF($L$1048,$T1056,$N1056)</f>
        <v/>
      </c>
    </row>
    <row r="1057">
      <c r="A1057" s="90" t="n">
        <v>7</v>
      </c>
      <c r="B1057" s="91">
        <f>EDATE($B1056,1)</f>
        <v/>
      </c>
      <c r="C1057" s="92">
        <f>EOMONTH($B1057,0)</f>
        <v/>
      </c>
      <c r="D1057" s="87">
        <f>$C1057-$B1057+1</f>
        <v/>
      </c>
      <c r="E1057" s="87">
        <f>MONTH($B1057)</f>
        <v/>
      </c>
      <c r="F1057" s="93">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$N1057*IF($O$1048=1,$O1057/$F$1048,1)</f>
        <v/>
      </c>
      <c r="T1057" s="95">
        <f>IF($G1057&lt;nr_MStartP,$S1057,$T1045*(1+IF($G1057&lt;nr_MStartP1,$M$1048,$N$1048)))</f>
        <v/>
      </c>
      <c r="U1057" s="95">
        <f>IF($L$1048,$T1057,$N1057)</f>
        <v/>
      </c>
    </row>
    <row r="1058">
      <c r="A1058" s="90" t="n">
        <v>8</v>
      </c>
      <c r="B1058" s="91">
        <f>EDATE($B1057,1)</f>
        <v/>
      </c>
      <c r="C1058" s="92">
        <f>EOMONTH($B1058,0)</f>
        <v/>
      </c>
      <c r="D1058" s="87">
        <f>$C1058-$B1058+1</f>
        <v/>
      </c>
      <c r="E1058" s="87">
        <f>MONTH($B1058)</f>
        <v/>
      </c>
      <c r="F1058" s="93">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$N1058*IF($O$1048=1,$O1058/$F$1048,1)</f>
        <v/>
      </c>
      <c r="T1058" s="95">
        <f>IF($G1058&lt;nr_MStartP,$S1058,$T1046*(1+IF($G1058&lt;nr_MStartP1,$M$1048,$N$1048)))</f>
        <v/>
      </c>
      <c r="U1058" s="95">
        <f>IF($L$1048,$T1058,$N1058)</f>
        <v/>
      </c>
    </row>
    <row r="1059">
      <c r="A1059" s="90" t="n">
        <v>9</v>
      </c>
      <c r="B1059" s="91">
        <f>EDATE($B1058,1)</f>
        <v/>
      </c>
      <c r="C1059" s="92">
        <f>EOMONTH($B1059,0)</f>
        <v/>
      </c>
      <c r="D1059" s="87">
        <f>$C1059-$B1059+1</f>
        <v/>
      </c>
      <c r="E1059" s="87">
        <f>MONTH($B1059)</f>
        <v/>
      </c>
      <c r="F1059" s="93">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$N1059*IF($O$1048=1,$O1059/$F$1048,1)</f>
        <v/>
      </c>
      <c r="T1059" s="95">
        <f>IF($G1059&lt;nr_MStartP,$S1059,$T1047*(1+IF($G1059&lt;nr_MStartP1,$M$1048,$N$1048)))</f>
        <v/>
      </c>
      <c r="U1059" s="95">
        <f>IF($L$1048,$T1059,$N1059)</f>
        <v/>
      </c>
    </row>
    <row r="1060">
      <c r="A1060" s="90" t="n">
        <v>10</v>
      </c>
      <c r="B1060" s="91">
        <f>EDATE($B1059,1)</f>
        <v/>
      </c>
      <c r="C1060" s="92">
        <f>EOMONTH($B1060,0)</f>
        <v/>
      </c>
      <c r="D1060" s="87">
        <f>$C1060-$B1060+1</f>
        <v/>
      </c>
      <c r="E1060" s="87">
        <f>MONTH($B1060)</f>
        <v/>
      </c>
      <c r="F1060" s="93">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$N1060*IF($O$1048=1,$O1060/$F$1048,1)</f>
        <v/>
      </c>
      <c r="T1060" s="95">
        <f>IF($G1060&lt;nr_MStartP,$S1060,$T1048*(1+IF($G1060&lt;nr_MStartP1,$M$1048,$N$1048)))</f>
        <v/>
      </c>
      <c r="U1060" s="95">
        <f>IF($L$1048,$T1060,$N1060)</f>
        <v/>
      </c>
    </row>
    <row r="1061">
      <c r="A1061" s="90" t="n">
        <v>11</v>
      </c>
      <c r="B1061" s="91">
        <f>EDATE($B1060,1)</f>
        <v/>
      </c>
      <c r="C1061" s="92">
        <f>EOMONTH($B1061,0)</f>
        <v/>
      </c>
      <c r="D1061" s="87">
        <f>$C1061-$B1061+1</f>
        <v/>
      </c>
      <c r="E1061" s="87">
        <f>MONTH($B1061)</f>
        <v/>
      </c>
      <c r="F1061" s="93">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$N1061*IF($O$1048=1,$O1061/$F$1048,1)</f>
        <v/>
      </c>
      <c r="T1061" s="95">
        <f>IF($G1061&lt;nr_MStartP,$S1061,$T1049*(1+IF($G1061&lt;nr_MStartP1,$M$1048,$N$1048)))</f>
        <v/>
      </c>
      <c r="U1061" s="95">
        <f>IF($L$1048,$T1061,$N1061)</f>
        <v/>
      </c>
    </row>
    <row r="1062">
      <c r="A1062" s="90" t="n">
        <v>12</v>
      </c>
      <c r="B1062" s="91">
        <f>EDATE($B1061,1)</f>
        <v/>
      </c>
      <c r="C1062" s="92">
        <f>EOMONTH($B1062,0)</f>
        <v/>
      </c>
      <c r="D1062" s="87">
        <f>$C1062-$B1062+1</f>
        <v/>
      </c>
      <c r="E1062" s="87">
        <f>MONTH($B1062)</f>
        <v/>
      </c>
      <c r="F1062" s="93">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$N1062*IF($O$1048=1,$O1062/$F$1048,1)</f>
        <v/>
      </c>
      <c r="T1062" s="95">
        <f>IF($G1062&lt;nr_MStartP,$S1062,$T1050*(1+IF($G1062&lt;nr_MStartP1,$M$1048,$N$1048)))</f>
        <v/>
      </c>
      <c r="U1062" s="95">
        <f>IF($L$1048,$T1062,$N1062)</f>
        <v/>
      </c>
    </row>
    <row r="1063">
      <c r="A1063" s="90" t="n">
        <v>13</v>
      </c>
      <c r="B1063" s="91">
        <f>EDATE($B1062,1)</f>
        <v/>
      </c>
      <c r="C1063" s="92">
        <f>EOMONTH($B1063,0)</f>
        <v/>
      </c>
      <c r="D1063" s="87">
        <f>$C1063-$B1063+1</f>
        <v/>
      </c>
      <c r="E1063" s="87">
        <f>MONTH($B1063)</f>
        <v/>
      </c>
      <c r="F1063" s="93">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$N1063*IF($O$1048=1,$O1063/$F$1048,1)</f>
        <v/>
      </c>
      <c r="T1063" s="95">
        <f>IF($G1063&lt;nr_MStartP,$S1063,$T1051*(1+IF($G1063&lt;nr_MStartP1,$M$1048,$N$1048)))</f>
        <v/>
      </c>
      <c r="U1063" s="95">
        <f>IF($L$1048,$T1063,$N1063)</f>
        <v/>
      </c>
    </row>
    <row r="1064">
      <c r="A1064" s="90" t="n">
        <v>14</v>
      </c>
      <c r="B1064" s="91">
        <f>EDATE($B1063,1)</f>
        <v/>
      </c>
      <c r="C1064" s="92">
        <f>EOMONTH($B1064,0)</f>
        <v/>
      </c>
      <c r="D1064" s="87">
        <f>$C1064-$B1064+1</f>
        <v/>
      </c>
      <c r="E1064" s="87">
        <f>MONTH($B1064)</f>
        <v/>
      </c>
      <c r="F1064" s="93">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$N1064*IF($O$1048=1,$O1064/$F$1048,1)</f>
        <v/>
      </c>
      <c r="T1064" s="95">
        <f>IF($G1064&lt;nr_MStartP,$S1064,$T1052*(1+IF($G1064&lt;nr_MStartP1,$M$1048,$N$1048)))</f>
        <v/>
      </c>
      <c r="U1064" s="95">
        <f>IF($L$1048,$T1064,$N1064)</f>
        <v/>
      </c>
    </row>
    <row r="1065">
      <c r="A1065" s="90" t="n">
        <v>15</v>
      </c>
      <c r="B1065" s="91">
        <f>EDATE($B1064,1)</f>
        <v/>
      </c>
      <c r="C1065" s="92">
        <f>EOMONTH($B1065,0)</f>
        <v/>
      </c>
      <c r="D1065" s="87">
        <f>$C1065-$B1065+1</f>
        <v/>
      </c>
      <c r="E1065" s="87">
        <f>MONTH($B1065)</f>
        <v/>
      </c>
      <c r="F1065" s="93">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$N1065*IF($O$1048=1,$O1065/$F$1048,1)</f>
        <v/>
      </c>
      <c r="T1065" s="95">
        <f>IF($G1065&lt;nr_MStartP,$S1065,$T1053*(1+IF($G1065&lt;nr_MStartP1,$M$1048,$N$1048)))</f>
        <v/>
      </c>
      <c r="U1065" s="95">
        <f>IF($L$1048,$T1065,$N1065)</f>
        <v/>
      </c>
    </row>
    <row r="1066">
      <c r="A1066" s="90" t="n">
        <v>16</v>
      </c>
      <c r="B1066" s="91">
        <f>EDATE($B1065,1)</f>
        <v/>
      </c>
      <c r="C1066" s="92">
        <f>EOMONTH($B1066,0)</f>
        <v/>
      </c>
      <c r="D1066" s="87">
        <f>$C1066-$B1066+1</f>
        <v/>
      </c>
      <c r="E1066" s="87">
        <f>MONTH($B1066)</f>
        <v/>
      </c>
      <c r="F1066" s="93">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$N1066*IF($O$1048=1,$O1066/$F$1048,1)</f>
        <v/>
      </c>
      <c r="T1066" s="95">
        <f>IF($G1066&lt;nr_MStartP,$S1066,$T1054*(1+IF($G1066&lt;nr_MStartP1,$M$1048,$N$1048)))</f>
        <v/>
      </c>
      <c r="U1066" s="95">
        <f>IF($L$1048,$T1066,$N1066)</f>
        <v/>
      </c>
    </row>
    <row r="1067">
      <c r="A1067" s="90" t="n">
        <v>17</v>
      </c>
      <c r="B1067" s="91">
        <f>EDATE($B1066,1)</f>
        <v/>
      </c>
      <c r="C1067" s="92">
        <f>EOMONTH($B1067,0)</f>
        <v/>
      </c>
      <c r="D1067" s="87">
        <f>$C1067-$B1067+1</f>
        <v/>
      </c>
      <c r="E1067" s="87">
        <f>MONTH($B1067)</f>
        <v/>
      </c>
      <c r="F1067" s="93">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$N1067*IF($O$1048=1,$O1067/$F$1048,1)</f>
        <v/>
      </c>
      <c r="T1067" s="95">
        <f>IF($G1067&lt;nr_MStartP,$S1067,$T1055*(1+IF($G1067&lt;nr_MStartP1,$M$1048,$N$1048)))</f>
        <v/>
      </c>
      <c r="U1067" s="95">
        <f>IF($L$1048,$T1067,$N1067)</f>
        <v/>
      </c>
    </row>
    <row r="1068">
      <c r="A1068" s="90" t="n">
        <v>18</v>
      </c>
      <c r="B1068" s="91">
        <f>EDATE($B1067,1)</f>
        <v/>
      </c>
      <c r="C1068" s="92">
        <f>EOMONTH($B1068,0)</f>
        <v/>
      </c>
      <c r="D1068" s="87">
        <f>$C1068-$B1068+1</f>
        <v/>
      </c>
      <c r="E1068" s="87">
        <f>MONTH($B1068)</f>
        <v/>
      </c>
      <c r="F1068" s="93">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$N1068*IF($O$1048=1,$O1068/$F$1048,1)</f>
        <v/>
      </c>
      <c r="T1068" s="95">
        <f>IF($G1068&lt;nr_MStartP,$S1068,$T1056*(1+IF($G1068&lt;nr_MStartP1,$M$1048,$N$1048)))</f>
        <v/>
      </c>
      <c r="U1068" s="95">
        <f>IF($L$1048,$T1068,$N1068)</f>
        <v/>
      </c>
    </row>
    <row r="1069">
      <c r="A1069" s="90" t="n">
        <v>19</v>
      </c>
      <c r="B1069" s="91">
        <f>EDATE($B1068,1)</f>
        <v/>
      </c>
      <c r="C1069" s="92">
        <f>EOMONTH($B1069,0)</f>
        <v/>
      </c>
      <c r="D1069" s="87">
        <f>$C1069-$B1069+1</f>
        <v/>
      </c>
      <c r="E1069" s="87">
        <f>MONTH($B1069)</f>
        <v/>
      </c>
      <c r="F1069" s="93">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$N1069*IF($O$1048=1,$O1069/$F$1048,1)</f>
        <v/>
      </c>
      <c r="T1069" s="95">
        <f>IF($G1069&lt;nr_MStartP,$S1069,$T1057*(1+IF($G1069&lt;nr_MStartP1,$M$1048,$N$1048)))</f>
        <v/>
      </c>
      <c r="U1069" s="95">
        <f>IF($L$1048,$T1069,$N1069)</f>
        <v/>
      </c>
    </row>
    <row r="1070">
      <c r="A1070" s="90" t="n">
        <v>20</v>
      </c>
      <c r="B1070" s="91">
        <f>EDATE($B1069,1)</f>
        <v/>
      </c>
      <c r="C1070" s="92">
        <f>EOMONTH($B1070,0)</f>
        <v/>
      </c>
      <c r="D1070" s="87">
        <f>$C1070-$B1070+1</f>
        <v/>
      </c>
      <c r="E1070" s="87">
        <f>MONTH($B1070)</f>
        <v/>
      </c>
      <c r="F1070" s="93">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$N1070*IF($O$1048=1,$O1070/$F$1048,1)</f>
        <v/>
      </c>
      <c r="T1070" s="95">
        <f>IF($G1070&lt;nr_MStartP,$S1070,$T1058*(1+IF($G1070&lt;nr_MStartP1,$M$1048,$N$1048)))</f>
        <v/>
      </c>
      <c r="U1070" s="95">
        <f>IF($L$1048,$T1070,$N1070)</f>
        <v/>
      </c>
    </row>
    <row r="1071">
      <c r="A1071" s="90" t="n">
        <v>21</v>
      </c>
      <c r="B1071" s="91">
        <f>EDATE($B1070,1)</f>
        <v/>
      </c>
      <c r="C1071" s="92">
        <f>EOMONTH($B1071,0)</f>
        <v/>
      </c>
      <c r="D1071" s="87">
        <f>$C1071-$B1071+1</f>
        <v/>
      </c>
      <c r="E1071" s="87">
        <f>MONTH($B1071)</f>
        <v/>
      </c>
      <c r="F1071" s="93">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$N1071*IF($O$1048=1,$O1071/$F$1048,1)</f>
        <v/>
      </c>
      <c r="T1071" s="95">
        <f>IF($G1071&lt;nr_MStartP,$S1071,$T1059*(1+IF($G1071&lt;nr_MStartP1,$M$1048,$N$1048)))</f>
        <v/>
      </c>
      <c r="U1071" s="95">
        <f>IF($L$1048,$T1071,$N1071)</f>
        <v/>
      </c>
    </row>
    <row r="1072">
      <c r="A1072" s="90" t="n">
        <v>22</v>
      </c>
      <c r="B1072" s="91">
        <f>EDATE($B1071,1)</f>
        <v/>
      </c>
      <c r="C1072" s="92">
        <f>EOMONTH($B1072,0)</f>
        <v/>
      </c>
      <c r="D1072" s="87">
        <f>$C1072-$B1072+1</f>
        <v/>
      </c>
      <c r="E1072" s="87">
        <f>MONTH($B1072)</f>
        <v/>
      </c>
      <c r="F1072" s="93">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$N1072*IF($O$1048=1,$O1072/$F$1048,1)</f>
        <v/>
      </c>
      <c r="T1072" s="95">
        <f>IF($G1072&lt;nr_MStartP,$S1072,$T1060*(1+IF($G1072&lt;nr_MStartP1,$M$1048,$N$1048)))</f>
        <v/>
      </c>
      <c r="U1072" s="95">
        <f>IF($L$1048,$T1072,$N1072)</f>
        <v/>
      </c>
    </row>
    <row r="1073">
      <c r="A1073" s="90" t="n">
        <v>23</v>
      </c>
      <c r="B1073" s="91">
        <f>EDATE($B1072,1)</f>
        <v/>
      </c>
      <c r="C1073" s="92">
        <f>EOMONTH($B1073,0)</f>
        <v/>
      </c>
      <c r="D1073" s="87">
        <f>$C1073-$B1073+1</f>
        <v/>
      </c>
      <c r="E1073" s="87">
        <f>MONTH($B1073)</f>
        <v/>
      </c>
      <c r="F1073" s="93">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$N1073*IF($O$1048=1,$O1073/$F$1048,1)</f>
        <v/>
      </c>
      <c r="T1073" s="95">
        <f>IF($G1073&lt;nr_MStartP,$S1073,$T1061*(1+IF($G1073&lt;nr_MStartP1,$M$1048,$N$1048)))</f>
        <v/>
      </c>
      <c r="U1073" s="95">
        <f>IF($L$1048,$T1073,$N1073)</f>
        <v/>
      </c>
    </row>
    <row r="1074">
      <c r="A1074" s="90" t="n">
        <v>24</v>
      </c>
      <c r="B1074" s="91">
        <f>EDATE($B1073,1)</f>
        <v/>
      </c>
      <c r="C1074" s="92">
        <f>EOMONTH($B1074,0)</f>
        <v/>
      </c>
      <c r="D1074" s="87">
        <f>$C1074-$B1074+1</f>
        <v/>
      </c>
      <c r="E1074" s="87">
        <f>MONTH($B1074)</f>
        <v/>
      </c>
      <c r="F1074" s="93">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$N1074*IF($O$1048=1,$O1074/$F$1048,1)</f>
        <v/>
      </c>
      <c r="T1074" s="95">
        <f>IF($G1074&lt;nr_MStartP,$S1074,$T1062*(1+IF($G1074&lt;nr_MStartP1,$M$1048,$N$1048)))</f>
        <v/>
      </c>
      <c r="U1074" s="95">
        <f>IF($L$1048,$T1074,$N1074)</f>
        <v/>
      </c>
    </row>
    <row r="1075">
      <c r="A1075" s="90" t="n">
        <v>25</v>
      </c>
      <c r="B1075" s="91">
        <f>EDATE($B1074,1)</f>
        <v/>
      </c>
      <c r="C1075" s="92">
        <f>EOMONTH($B1075,0)</f>
        <v/>
      </c>
      <c r="D1075" s="87">
        <f>$C1075-$B1075+1</f>
        <v/>
      </c>
      <c r="E1075" s="87">
        <f>MONTH($B1075)</f>
        <v/>
      </c>
      <c r="F1075" s="93">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$N1075*IF($O$1048=1,$O1075/$F$1048,1)</f>
        <v/>
      </c>
      <c r="T1075" s="95">
        <f>IF($G1075&lt;nr_MStartP,$S1075,$T1063*(1+IF($G1075&lt;nr_MStartP1,$M$1048,$N$1048)))</f>
        <v/>
      </c>
      <c r="U1075" s="95">
        <f>IF($L$1048,$T1075,$N1075)</f>
        <v/>
      </c>
    </row>
    <row r="1076">
      <c r="A1076" s="90" t="n">
        <v>26</v>
      </c>
      <c r="B1076" s="91">
        <f>EDATE($B1075,1)</f>
        <v/>
      </c>
      <c r="C1076" s="92">
        <f>EOMONTH($B1076,0)</f>
        <v/>
      </c>
      <c r="D1076" s="87">
        <f>$C1076-$B1076+1</f>
        <v/>
      </c>
      <c r="E1076" s="87">
        <f>MONTH($B1076)</f>
        <v/>
      </c>
      <c r="F1076" s="93">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$N1076*IF($O$1048=1,$O1076/$F$1048,1)</f>
        <v/>
      </c>
      <c r="T1076" s="95">
        <f>IF($G1076&lt;nr_MStartP,$S1076,$T1064*(1+IF($G1076&lt;nr_MStartP1,$M$1048,$N$1048)))</f>
        <v/>
      </c>
      <c r="U1076" s="95">
        <f>IF($L$1048,$T1076,$N1076)</f>
        <v/>
      </c>
    </row>
    <row r="1077">
      <c r="A1077" s="90" t="n">
        <v>27</v>
      </c>
      <c r="B1077" s="91">
        <f>EDATE($B1076,1)</f>
        <v/>
      </c>
      <c r="C1077" s="92">
        <f>EOMONTH($B1077,0)</f>
        <v/>
      </c>
      <c r="D1077" s="87">
        <f>$C1077-$B1077+1</f>
        <v/>
      </c>
      <c r="E1077" s="87">
        <f>MONTH($B1077)</f>
        <v/>
      </c>
      <c r="F1077" s="93">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$N1077*IF($O$1048=1,$O1077/$F$1048,1)</f>
        <v/>
      </c>
      <c r="T1077" s="95">
        <f>IF($G1077&lt;nr_MStartP,$S1077,$T1065*(1+IF($G1077&lt;nr_MStartP1,$M$1048,$N$1048)))</f>
        <v/>
      </c>
      <c r="U1077" s="95">
        <f>IF($L$1048,$T1077,$N1077)</f>
        <v/>
      </c>
    </row>
    <row r="1078">
      <c r="A1078" s="90" t="n">
        <v>28</v>
      </c>
      <c r="B1078" s="91">
        <f>EDATE($B1077,1)</f>
        <v/>
      </c>
      <c r="C1078" s="92">
        <f>EOMONTH($B1078,0)</f>
        <v/>
      </c>
      <c r="D1078" s="87">
        <f>$C1078-$B1078+1</f>
        <v/>
      </c>
      <c r="E1078" s="87">
        <f>MONTH($B1078)</f>
        <v/>
      </c>
      <c r="F1078" s="93">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$N1078*IF($O$1048=1,$O1078/$F$1048,1)</f>
        <v/>
      </c>
      <c r="T1078" s="95">
        <f>IF($G1078&lt;nr_MStartP,$S1078,$T1066*(1+IF($G1078&lt;nr_MStartP1,$M$1048,$N$1048)))</f>
        <v/>
      </c>
      <c r="U1078" s="95">
        <f>IF($L$1048,$T1078,$N1078)</f>
        <v/>
      </c>
    </row>
    <row r="1079">
      <c r="A1079" s="90" t="n">
        <v>29</v>
      </c>
      <c r="B1079" s="91">
        <f>EDATE($B1078,1)</f>
        <v/>
      </c>
      <c r="C1079" s="92">
        <f>EOMONTH($B1079,0)</f>
        <v/>
      </c>
      <c r="D1079" s="87">
        <f>$C1079-$B1079+1</f>
        <v/>
      </c>
      <c r="E1079" s="87">
        <f>MONTH($B1079)</f>
        <v/>
      </c>
      <c r="F1079" s="93">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$N1079*IF($O$1048=1,$O1079/$F$1048,1)</f>
        <v/>
      </c>
      <c r="T1079" s="95">
        <f>IF($G1079&lt;nr_MStartP,$S1079,$T1067*(1+IF($G1079&lt;nr_MStartP1,$M$1048,$N$1048)))</f>
        <v/>
      </c>
      <c r="U1079" s="95">
        <f>IF($L$1048,$T1079,$N1079)</f>
        <v/>
      </c>
    </row>
    <row r="1080">
      <c r="A1080" s="90" t="n">
        <v>30</v>
      </c>
      <c r="B1080" s="91">
        <f>EDATE($B1079,1)</f>
        <v/>
      </c>
      <c r="C1080" s="92">
        <f>EOMONTH($B1080,0)</f>
        <v/>
      </c>
      <c r="D1080" s="87">
        <f>$C1080-$B1080+1</f>
        <v/>
      </c>
      <c r="E1080" s="87">
        <f>MONTH($B1080)</f>
        <v/>
      </c>
      <c r="F1080" s="93">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$N1080*IF($O$1048=1,$O1080/$F$1048,1)</f>
        <v/>
      </c>
      <c r="T1080" s="95">
        <f>IF($G1080&lt;nr_MStartP,$S1080,$T1068*(1+IF($G1080&lt;nr_MStartP1,$M$1048,$N$1048)))</f>
        <v/>
      </c>
      <c r="U1080" s="95">
        <f>IF($L$1048,$T1080,$N1080)</f>
        <v/>
      </c>
    </row>
    <row r="1081">
      <c r="A1081" s="90" t="n">
        <v>31</v>
      </c>
      <c r="B1081" s="91">
        <f>EDATE($B1080,1)</f>
        <v/>
      </c>
      <c r="C1081" s="92">
        <f>EOMONTH($B1081,0)</f>
        <v/>
      </c>
      <c r="D1081" s="87">
        <f>$C1081-$B1081+1</f>
        <v/>
      </c>
      <c r="E1081" s="87">
        <f>MONTH($B1081)</f>
        <v/>
      </c>
      <c r="F1081" s="93">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$N1081*IF($O$1048=1,$O1081/$F$1048,1)</f>
        <v/>
      </c>
      <c r="T1081" s="95">
        <f>IF($G1081&lt;nr_MStartP,$S1081,$T1069*(1+IF($G1081&lt;nr_MStartP1,$M$1048,$N$1048)))</f>
        <v/>
      </c>
      <c r="U1081" s="95">
        <f>IF($L$1048,$T1081,$N1081)</f>
        <v/>
      </c>
    </row>
    <row r="1082">
      <c r="A1082" s="90" t="n">
        <v>32</v>
      </c>
      <c r="B1082" s="91">
        <f>EDATE($B1081,1)</f>
        <v/>
      </c>
      <c r="C1082" s="92">
        <f>EOMONTH($B1082,0)</f>
        <v/>
      </c>
      <c r="D1082" s="87">
        <f>$C1082-$B1082+1</f>
        <v/>
      </c>
      <c r="E1082" s="87">
        <f>MONTH($B1082)</f>
        <v/>
      </c>
      <c r="F1082" s="93">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$N1082*IF($O$1048=1,$O1082/$F$1048,1)</f>
        <v/>
      </c>
      <c r="T1082" s="95">
        <f>IF($G1082&lt;nr_MStartP,$S1082,$T1070*(1+IF($G1082&lt;nr_MStartP1,$M$1048,$N$1048)))</f>
        <v/>
      </c>
      <c r="U1082" s="95">
        <f>IF($L$1048,$T1082,$N1082)</f>
        <v/>
      </c>
    </row>
    <row r="1083">
      <c r="A1083" s="90" t="n">
        <v>33</v>
      </c>
      <c r="B1083" s="91">
        <f>EDATE($B1082,1)</f>
        <v/>
      </c>
      <c r="C1083" s="92">
        <f>EOMONTH($B1083,0)</f>
        <v/>
      </c>
      <c r="D1083" s="87">
        <f>$C1083-$B1083+1</f>
        <v/>
      </c>
      <c r="E1083" s="87">
        <f>MONTH($B1083)</f>
        <v/>
      </c>
      <c r="F1083" s="93">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$N1083*IF($O$1048=1,$O1083/$F$1048,1)</f>
        <v/>
      </c>
      <c r="T1083" s="95">
        <f>IF($G1083&lt;nr_MStartP,$S1083,$T1071*(1+IF($G1083&lt;nr_MStartP1,$M$1048,$N$1048)))</f>
        <v/>
      </c>
      <c r="U1083" s="95">
        <f>IF($L$1048,$T1083,$N1083)</f>
        <v/>
      </c>
    </row>
    <row r="1084">
      <c r="A1084" s="90" t="n">
        <v>34</v>
      </c>
      <c r="B1084" s="91">
        <f>EDATE($B1083,1)</f>
        <v/>
      </c>
      <c r="C1084" s="92">
        <f>EOMONTH($B1084,0)</f>
        <v/>
      </c>
      <c r="D1084" s="87">
        <f>$C1084-$B1084+1</f>
        <v/>
      </c>
      <c r="E1084" s="87">
        <f>MONTH($B1084)</f>
        <v/>
      </c>
      <c r="F1084" s="93">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$N1084*IF($O$1048=1,$O1084/$F$1048,1)</f>
        <v/>
      </c>
      <c r="T1084" s="95">
        <f>IF($G1084&lt;nr_MStartP,$S1084,$T1072*(1+IF($G1084&lt;nr_MStartP1,$M$1048,$N$1048)))</f>
        <v/>
      </c>
      <c r="U1084" s="95">
        <f>IF($L$1048,$T1084,$N1084)</f>
        <v/>
      </c>
    </row>
    <row r="1085">
      <c r="A1085" s="90" t="n">
        <v>35</v>
      </c>
      <c r="B1085" s="91">
        <f>EDATE($B1084,1)</f>
        <v/>
      </c>
      <c r="C1085" s="92">
        <f>EOMONTH($B1085,0)</f>
        <v/>
      </c>
      <c r="D1085" s="87">
        <f>$C1085-$B1085+1</f>
        <v/>
      </c>
      <c r="E1085" s="87">
        <f>MONTH($B1085)</f>
        <v/>
      </c>
      <c r="F1085" s="93">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$N1085*IF($O$1048=1,$O1085/$F$1048,1)</f>
        <v/>
      </c>
      <c r="T1085" s="95">
        <f>IF($G1085&lt;nr_MStartP,$S1085,$T1073*(1+IF($G1085&lt;nr_MStartP1,$M$1048,$N$1048)))</f>
        <v/>
      </c>
      <c r="U1085" s="95">
        <f>IF($L$1048,$T1085,$N1085)</f>
        <v/>
      </c>
    </row>
    <row r="1086">
      <c r="A1086" s="90" t="n">
        <v>36</v>
      </c>
      <c r="B1086" s="91">
        <f>EDATE($B1085,1)</f>
        <v/>
      </c>
      <c r="C1086" s="92">
        <f>EOMONTH($B1086,0)</f>
        <v/>
      </c>
      <c r="D1086" s="87">
        <f>$C1086-$B1086+1</f>
        <v/>
      </c>
      <c r="E1086" s="87">
        <f>MONTH($B1086)</f>
        <v/>
      </c>
      <c r="F1086" s="93">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$N1086*IF($O$1048=1,$O1086/$F$1048,1)</f>
        <v/>
      </c>
      <c r="T1086" s="95">
        <f>IF($G1086&lt;nr_MStartP,$S1086,$T1074*(1+IF($G1086&lt;nr_MStartP1,$M$1048,$N$1048)))</f>
        <v/>
      </c>
      <c r="U1086" s="95">
        <f>IF($L$1048,$T1086,$N1086)</f>
        <v/>
      </c>
    </row>
    <row r="1087">
      <c r="A1087" s="90" t="n">
        <v>37</v>
      </c>
      <c r="B1087" s="91">
        <f>EDATE($B1086,1)</f>
        <v/>
      </c>
      <c r="C1087" s="92">
        <f>EOMONTH($B1087,0)</f>
        <v/>
      </c>
      <c r="D1087" s="87">
        <f>$C1087-$B1087+1</f>
        <v/>
      </c>
      <c r="E1087" s="87">
        <f>MONTH($B1087)</f>
        <v/>
      </c>
      <c r="F1087" s="93">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$N1087*IF($O$1048=1,$O1087/$F$1048,1)</f>
        <v/>
      </c>
      <c r="T1087" s="95">
        <f>IF($G1087&lt;nr_MStartP,$S1087,$T1075*(1+IF($G1087&lt;nr_MStartP1,$M$1048,$N$1048)))</f>
        <v/>
      </c>
      <c r="U1087" s="95">
        <f>IF($L$1048,$T1087,$N1087)</f>
        <v/>
      </c>
    </row>
    <row r="1088">
      <c r="A1088" s="90" t="n">
        <v>38</v>
      </c>
      <c r="B1088" s="91">
        <f>EDATE($B1087,1)</f>
        <v/>
      </c>
      <c r="C1088" s="92">
        <f>EOMONTH($B1088,0)</f>
        <v/>
      </c>
      <c r="D1088" s="87">
        <f>$C1088-$B1088+1</f>
        <v/>
      </c>
      <c r="E1088" s="87">
        <f>MONTH($B1088)</f>
        <v/>
      </c>
      <c r="F1088" s="93">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$N1088*IF($O$1048=1,$O1088/$F$1048,1)</f>
        <v/>
      </c>
      <c r="T1088" s="95">
        <f>IF($G1088&lt;nr_MStartP,$S1088,$T1076*(1+IF($G1088&lt;nr_MStartP1,$M$1048,$N$1048)))</f>
        <v/>
      </c>
      <c r="U1088" s="95">
        <f>IF($L$1048,$T1088,$N1088)</f>
        <v/>
      </c>
    </row>
    <row r="1089">
      <c r="A1089" s="90" t="n">
        <v>39</v>
      </c>
      <c r="B1089" s="91">
        <f>EDATE($B1088,1)</f>
        <v/>
      </c>
      <c r="C1089" s="92">
        <f>EOMONTH($B1089,0)</f>
        <v/>
      </c>
      <c r="D1089" s="87">
        <f>$C1089-$B1089+1</f>
        <v/>
      </c>
      <c r="E1089" s="87">
        <f>MONTH($B1089)</f>
        <v/>
      </c>
      <c r="F1089" s="93">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$N1089*IF($O$1048=1,$O1089/$F$1048,1)</f>
        <v/>
      </c>
      <c r="T1089" s="95">
        <f>IF($G1089&lt;nr_MStartP,$S1089,$T1077*(1+IF($G1089&lt;nr_MStartP1,$M$1048,$N$1048)))</f>
        <v/>
      </c>
      <c r="U1089" s="95">
        <f>IF($L$1048,$T1089,$N1089)</f>
        <v/>
      </c>
    </row>
    <row r="1090">
      <c r="A1090" s="90" t="n">
        <v>40</v>
      </c>
      <c r="B1090" s="91">
        <f>EDATE($B1089,1)</f>
        <v/>
      </c>
      <c r="C1090" s="92">
        <f>EOMONTH($B1090,0)</f>
        <v/>
      </c>
      <c r="D1090" s="87">
        <f>$C1090-$B1090+1</f>
        <v/>
      </c>
      <c r="E1090" s="87">
        <f>MONTH($B1090)</f>
        <v/>
      </c>
      <c r="F1090" s="93">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$N1090*IF($O$1048=1,$O1090/$F$1048,1)</f>
        <v/>
      </c>
      <c r="T1090" s="95">
        <f>IF($G1090&lt;nr_MStartP,$S1090,$T1078*(1+IF($G1090&lt;nr_MStartP1,$M$1048,$N$1048)))</f>
        <v/>
      </c>
      <c r="U1090" s="95">
        <f>IF($L$1048,$T1090,$N1090)</f>
        <v/>
      </c>
    </row>
    <row r="1091">
      <c r="A1091" s="90" t="n">
        <v>41</v>
      </c>
      <c r="B1091" s="91">
        <f>EDATE($B1090,1)</f>
        <v/>
      </c>
      <c r="C1091" s="92">
        <f>EOMONTH($B1091,0)</f>
        <v/>
      </c>
      <c r="D1091" s="87">
        <f>$C1091-$B1091+1</f>
        <v/>
      </c>
      <c r="E1091" s="87">
        <f>MONTH($B1091)</f>
        <v/>
      </c>
      <c r="F1091" s="93">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$N1091*IF($O$1048=1,$O1091/$F$1048,1)</f>
        <v/>
      </c>
      <c r="T1091" s="95">
        <f>IF($G1091&lt;nr_MStartP,$S1091,$T1079*(1+IF($G1091&lt;nr_MStartP1,$M$1048,$N$1048)))</f>
        <v/>
      </c>
      <c r="U1091" s="95">
        <f>IF($L$1048,$T1091,$N1091)</f>
        <v/>
      </c>
    </row>
    <row r="1092">
      <c r="A1092" s="90" t="n">
        <v>42</v>
      </c>
      <c r="B1092" s="91">
        <f>EDATE($B1091,1)</f>
        <v/>
      </c>
      <c r="C1092" s="92">
        <f>EOMONTH($B1092,0)</f>
        <v/>
      </c>
      <c r="D1092" s="87">
        <f>$C1092-$B1092+1</f>
        <v/>
      </c>
      <c r="E1092" s="87">
        <f>MONTH($B1092)</f>
        <v/>
      </c>
      <c r="F1092" s="93">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$N1092*IF($O$1048=1,$O1092/$F$1048,1)</f>
        <v/>
      </c>
      <c r="T1092" s="95">
        <f>IF($G1092&lt;nr_MStartP,$S1092,$T1080*(1+IF($G1092&lt;nr_MStartP1,$M$1048,$N$1048)))</f>
        <v/>
      </c>
      <c r="U1092" s="95">
        <f>IF($L$1048,$T1092,$N1092)</f>
        <v/>
      </c>
    </row>
    <row r="1093">
      <c r="A1093" s="90" t="n">
        <v>43</v>
      </c>
      <c r="B1093" s="91">
        <f>EDATE($B1092,1)</f>
        <v/>
      </c>
      <c r="C1093" s="92">
        <f>EOMONTH($B1093,0)</f>
        <v/>
      </c>
      <c r="D1093" s="87">
        <f>$C1093-$B1093+1</f>
        <v/>
      </c>
      <c r="E1093" s="87">
        <f>MONTH($B1093)</f>
        <v/>
      </c>
      <c r="F1093" s="93">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$N1093*IF($O$1048=1,$O1093/$F$1048,1)</f>
        <v/>
      </c>
      <c r="T1093" s="95">
        <f>IF($G1093&lt;nr_MStartP,$S1093,$T1081*(1+IF($G1093&lt;nr_MStartP1,$M$1048,$N$1048)))</f>
        <v/>
      </c>
      <c r="U1093" s="95">
        <f>IF($L$1048,$T1093,$N1093)</f>
        <v/>
      </c>
    </row>
    <row r="1094">
      <c r="A1094" s="90" t="n">
        <v>44</v>
      </c>
      <c r="B1094" s="91">
        <f>EDATE($B1093,1)</f>
        <v/>
      </c>
      <c r="C1094" s="92">
        <f>EOMONTH($B1094,0)</f>
        <v/>
      </c>
      <c r="D1094" s="87">
        <f>$C1094-$B1094+1</f>
        <v/>
      </c>
      <c r="E1094" s="87">
        <f>MONTH($B1094)</f>
        <v/>
      </c>
      <c r="F1094" s="93">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$N1094*IF($O$1048=1,$O1094/$F$1048,1)</f>
        <v/>
      </c>
      <c r="T1094" s="95">
        <f>IF($G1094&lt;nr_MStartP,$S1094,$T1082*(1+IF($G1094&lt;nr_MStartP1,$M$1048,$N$1048)))</f>
        <v/>
      </c>
      <c r="U1094" s="95">
        <f>IF($L$1048,$T1094,$N1094)</f>
        <v/>
      </c>
    </row>
    <row r="1095">
      <c r="A1095" s="90" t="n">
        <v>45</v>
      </c>
      <c r="B1095" s="91">
        <f>EDATE($B1094,1)</f>
        <v/>
      </c>
      <c r="C1095" s="92">
        <f>EOMONTH($B1095,0)</f>
        <v/>
      </c>
      <c r="D1095" s="87">
        <f>$C1095-$B1095+1</f>
        <v/>
      </c>
      <c r="E1095" s="87">
        <f>MONTH($B1095)</f>
        <v/>
      </c>
      <c r="F1095" s="93">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$N1095*IF($O$1048=1,$O1095/$F$1048,1)</f>
        <v/>
      </c>
      <c r="T1095" s="95">
        <f>IF($G1095&lt;nr_MStartP,$S1095,$T1083*(1+IF($G1095&lt;nr_MStartP1,$M$1048,$N$1048)))</f>
        <v/>
      </c>
      <c r="U1095" s="95">
        <f>IF($L$1048,$T1095,$N1095)</f>
        <v/>
      </c>
    </row>
    <row r="1096">
      <c r="A1096" s="90" t="n">
        <v>46</v>
      </c>
      <c r="B1096" s="91">
        <f>EDATE($B1095,1)</f>
        <v/>
      </c>
      <c r="C1096" s="92">
        <f>EOMONTH($B1096,0)</f>
        <v/>
      </c>
      <c r="D1096" s="87">
        <f>$C1096-$B1096+1</f>
        <v/>
      </c>
      <c r="E1096" s="87">
        <f>MONTH($B1096)</f>
        <v/>
      </c>
      <c r="F1096" s="93">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$N1096*IF($O$1048=1,$O1096/$F$1048,1)</f>
        <v/>
      </c>
      <c r="T1096" s="95">
        <f>IF($G1096&lt;nr_MStartP,$S1096,$T1084*(1+IF($G1096&lt;nr_MStartP1,$M$1048,$N$1048)))</f>
        <v/>
      </c>
      <c r="U1096" s="95">
        <f>IF($L$1048,$T1096,$N1096)</f>
        <v/>
      </c>
    </row>
    <row r="1097">
      <c r="A1097" s="90" t="n">
        <v>47</v>
      </c>
      <c r="B1097" s="91">
        <f>EDATE($B1096,1)</f>
        <v/>
      </c>
      <c r="C1097" s="92">
        <f>EOMONTH($B1097,0)</f>
        <v/>
      </c>
      <c r="D1097" s="87">
        <f>$C1097-$B1097+1</f>
        <v/>
      </c>
      <c r="E1097" s="87">
        <f>MONTH($B1097)</f>
        <v/>
      </c>
      <c r="F1097" s="93">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$N1097*IF($O$1048=1,$O1097/$F$1048,1)</f>
        <v/>
      </c>
      <c r="T1097" s="95">
        <f>IF($G1097&lt;nr_MStartP,$S1097,$T1085*(1+IF($G1097&lt;nr_MStartP1,$M$1048,$N$1048)))</f>
        <v/>
      </c>
      <c r="U1097" s="95">
        <f>IF($L$1048,$T1097,$N1097)</f>
        <v/>
      </c>
    </row>
    <row r="1098">
      <c r="A1098" s="90" t="n">
        <v>48</v>
      </c>
      <c r="B1098" s="91">
        <f>EDATE($B1097,1)</f>
        <v/>
      </c>
      <c r="C1098" s="92">
        <f>EOMONTH($B1098,0)</f>
        <v/>
      </c>
      <c r="D1098" s="87">
        <f>$C1098-$B1098+1</f>
        <v/>
      </c>
      <c r="E1098" s="87">
        <f>MONTH($B1098)</f>
        <v/>
      </c>
      <c r="F1098" s="93">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$N1098*IF($O$1048=1,$O1098/$F$1048,1)</f>
        <v/>
      </c>
      <c r="T1098" s="95">
        <f>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04">
        <f>SUMPRODUCT($H$1051:$H$1098,$Q$1051:$Q$1098,$O$1051:$O$1098)/SUMPRODUCT($H$1051:$H$1098,$Q$1051:$Q$1098)</f>
        <v/>
      </c>
      <c r="G1099" s="20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04">
        <f>IF(N(INDEX(lr_mind,20))=0,1,INDEX(lr_mind,20))</f>
        <v/>
      </c>
      <c r="G1102" s="204">
        <f>IF(N(INDEX(lr_m0,20))=0,1,INDEX(lr_m0,20))</f>
        <v/>
      </c>
      <c r="H1102" s="73">
        <f>IF(N(INDEX(lr_m0asof,20))=0,DATE(nr_PlanYear-1,10,1),INDEX(lr_m0asof,20))</f>
        <v/>
      </c>
      <c r="I1102" s="204">
        <f>IF(N(INDEX(lr_m1,20))=0,1,INDEX(lr_m1,20))</f>
        <v/>
      </c>
      <c r="J1102" s="204">
        <f>INDEX(lr_mprior,20)</f>
        <v/>
      </c>
      <c r="K1102" s="20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93">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$N1105*IF($O$1102=1,$O1105/$F$1102,1)</f>
        <v/>
      </c>
      <c r="T1105" s="95">
        <f>IF($G1105&lt;nr_MStartP,$S1105,$T1093*(1+IF($G1105&lt;nr_MStartP1,$M$1102,$N$1102)))</f>
        <v/>
      </c>
      <c r="U1105" s="95">
        <f>IF($L$1102,$T1105,$N1105)</f>
        <v/>
      </c>
    </row>
    <row r="1106">
      <c r="A1106" s="90" t="n">
        <v>2</v>
      </c>
      <c r="B1106" s="91">
        <f>EDATE($B1105,1)</f>
        <v/>
      </c>
      <c r="C1106" s="92">
        <f>EOMONTH($B1106,0)</f>
        <v/>
      </c>
      <c r="D1106" s="87">
        <f>$C1106-$B1106+1</f>
        <v/>
      </c>
      <c r="E1106" s="87">
        <f>MONTH($B1106)</f>
        <v/>
      </c>
      <c r="F1106" s="93">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$N1106*IF($O$1102=1,$O1106/$F$1102,1)</f>
        <v/>
      </c>
      <c r="T1106" s="95">
        <f>IF($G1106&lt;nr_MStartP,$S1106,$T1094*(1+IF($G1106&lt;nr_MStartP1,$M$1102,$N$1102)))</f>
        <v/>
      </c>
      <c r="U1106" s="95">
        <f>IF($L$1102,$T1106,$N1106)</f>
        <v/>
      </c>
    </row>
    <row r="1107">
      <c r="A1107" s="90" t="n">
        <v>3</v>
      </c>
      <c r="B1107" s="91">
        <f>EDATE($B1106,1)</f>
        <v/>
      </c>
      <c r="C1107" s="92">
        <f>EOMONTH($B1107,0)</f>
        <v/>
      </c>
      <c r="D1107" s="87">
        <f>$C1107-$B1107+1</f>
        <v/>
      </c>
      <c r="E1107" s="87">
        <f>MONTH($B1107)</f>
        <v/>
      </c>
      <c r="F1107" s="93">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$N1107*IF($O$1102=1,$O1107/$F$1102,1)</f>
        <v/>
      </c>
      <c r="T1107" s="95">
        <f>IF($G1107&lt;nr_MStartP,$S1107,$T1095*(1+IF($G1107&lt;nr_MStartP1,$M$1102,$N$1102)))</f>
        <v/>
      </c>
      <c r="U1107" s="95">
        <f>IF($L$1102,$T1107,$N1107)</f>
        <v/>
      </c>
    </row>
    <row r="1108">
      <c r="A1108" s="90" t="n">
        <v>4</v>
      </c>
      <c r="B1108" s="91">
        <f>EDATE($B1107,1)</f>
        <v/>
      </c>
      <c r="C1108" s="92">
        <f>EOMONTH($B1108,0)</f>
        <v/>
      </c>
      <c r="D1108" s="87">
        <f>$C1108-$B1108+1</f>
        <v/>
      </c>
      <c r="E1108" s="87">
        <f>MONTH($B1108)</f>
        <v/>
      </c>
      <c r="F1108" s="93">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$N1108*IF($O$1102=1,$O1108/$F$1102,1)</f>
        <v/>
      </c>
      <c r="T1108" s="95">
        <f>IF($G1108&lt;nr_MStartP,$S1108,$T1096*(1+IF($G1108&lt;nr_MStartP1,$M$1102,$N$1102)))</f>
        <v/>
      </c>
      <c r="U1108" s="95">
        <f>IF($L$1102,$T1108,$N1108)</f>
        <v/>
      </c>
    </row>
    <row r="1109">
      <c r="A1109" s="90" t="n">
        <v>5</v>
      </c>
      <c r="B1109" s="91">
        <f>EDATE($B1108,1)</f>
        <v/>
      </c>
      <c r="C1109" s="92">
        <f>EOMONTH($B1109,0)</f>
        <v/>
      </c>
      <c r="D1109" s="87">
        <f>$C1109-$B1109+1</f>
        <v/>
      </c>
      <c r="E1109" s="87">
        <f>MONTH($B1109)</f>
        <v/>
      </c>
      <c r="F1109" s="93">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$N1109*IF($O$1102=1,$O1109/$F$1102,1)</f>
        <v/>
      </c>
      <c r="T1109" s="95">
        <f>IF($G1109&lt;nr_MStartP,$S1109,$T1097*(1+IF($G1109&lt;nr_MStartP1,$M$1102,$N$1102)))</f>
        <v/>
      </c>
      <c r="U1109" s="95">
        <f>IF($L$1102,$T1109,$N1109)</f>
        <v/>
      </c>
    </row>
    <row r="1110">
      <c r="A1110" s="90" t="n">
        <v>6</v>
      </c>
      <c r="B1110" s="91">
        <f>EDATE($B1109,1)</f>
        <v/>
      </c>
      <c r="C1110" s="92">
        <f>EOMONTH($B1110,0)</f>
        <v/>
      </c>
      <c r="D1110" s="87">
        <f>$C1110-$B1110+1</f>
        <v/>
      </c>
      <c r="E1110" s="87">
        <f>MONTH($B1110)</f>
        <v/>
      </c>
      <c r="F1110" s="93">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$N1110*IF($O$1102=1,$O1110/$F$1102,1)</f>
        <v/>
      </c>
      <c r="T1110" s="95">
        <f>IF($G1110&lt;nr_MStartP,$S1110,$T1098*(1+IF($G1110&lt;nr_MStartP1,$M$1102,$N$1102)))</f>
        <v/>
      </c>
      <c r="U1110" s="95">
        <f>IF($L$1102,$T1110,$N1110)</f>
        <v/>
      </c>
    </row>
    <row r="1111">
      <c r="A1111" s="90" t="n">
        <v>7</v>
      </c>
      <c r="B1111" s="91">
        <f>EDATE($B1110,1)</f>
        <v/>
      </c>
      <c r="C1111" s="92">
        <f>EOMONTH($B1111,0)</f>
        <v/>
      </c>
      <c r="D1111" s="87">
        <f>$C1111-$B1111+1</f>
        <v/>
      </c>
      <c r="E1111" s="87">
        <f>MONTH($B1111)</f>
        <v/>
      </c>
      <c r="F1111" s="93">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$N1111*IF($O$1102=1,$O1111/$F$1102,1)</f>
        <v/>
      </c>
      <c r="T1111" s="95">
        <f>IF($G1111&lt;nr_MStartP,$S1111,$T1099*(1+IF($G1111&lt;nr_MStartP1,$M$1102,$N$1102)))</f>
        <v/>
      </c>
      <c r="U1111" s="95">
        <f>IF($L$1102,$T1111,$N1111)</f>
        <v/>
      </c>
    </row>
    <row r="1112">
      <c r="A1112" s="90" t="n">
        <v>8</v>
      </c>
      <c r="B1112" s="91">
        <f>EDATE($B1111,1)</f>
        <v/>
      </c>
      <c r="C1112" s="92">
        <f>EOMONTH($B1112,0)</f>
        <v/>
      </c>
      <c r="D1112" s="87">
        <f>$C1112-$B1112+1</f>
        <v/>
      </c>
      <c r="E1112" s="87">
        <f>MONTH($B1112)</f>
        <v/>
      </c>
      <c r="F1112" s="93">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$N1112*IF($O$1102=1,$O1112/$F$1102,1)</f>
        <v/>
      </c>
      <c r="T1112" s="95">
        <f>IF($G1112&lt;nr_MStartP,$S1112,$T1100*(1+IF($G1112&lt;nr_MStartP1,$M$1102,$N$1102)))</f>
        <v/>
      </c>
      <c r="U1112" s="95">
        <f>IF($L$1102,$T1112,$N1112)</f>
        <v/>
      </c>
    </row>
    <row r="1113">
      <c r="A1113" s="90" t="n">
        <v>9</v>
      </c>
      <c r="B1113" s="91">
        <f>EDATE($B1112,1)</f>
        <v/>
      </c>
      <c r="C1113" s="92">
        <f>EOMONTH($B1113,0)</f>
        <v/>
      </c>
      <c r="D1113" s="87">
        <f>$C1113-$B1113+1</f>
        <v/>
      </c>
      <c r="E1113" s="87">
        <f>MONTH($B1113)</f>
        <v/>
      </c>
      <c r="F1113" s="93">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$N1113*IF($O$1102=1,$O1113/$F$1102,1)</f>
        <v/>
      </c>
      <c r="T1113" s="95">
        <f>IF($G1113&lt;nr_MStartP,$S1113,$T1101*(1+IF($G1113&lt;nr_MStartP1,$M$1102,$N$1102)))</f>
        <v/>
      </c>
      <c r="U1113" s="95">
        <f>IF($L$1102,$T1113,$N1113)</f>
        <v/>
      </c>
    </row>
    <row r="1114">
      <c r="A1114" s="90" t="n">
        <v>10</v>
      </c>
      <c r="B1114" s="91">
        <f>EDATE($B1113,1)</f>
        <v/>
      </c>
      <c r="C1114" s="92">
        <f>EOMONTH($B1114,0)</f>
        <v/>
      </c>
      <c r="D1114" s="87">
        <f>$C1114-$B1114+1</f>
        <v/>
      </c>
      <c r="E1114" s="87">
        <f>MONTH($B1114)</f>
        <v/>
      </c>
      <c r="F1114" s="93">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$N1114*IF($O$1102=1,$O1114/$F$1102,1)</f>
        <v/>
      </c>
      <c r="T1114" s="95">
        <f>IF($G1114&lt;nr_MStartP,$S1114,$T1102*(1+IF($G1114&lt;nr_MStartP1,$M$1102,$N$1102)))</f>
        <v/>
      </c>
      <c r="U1114" s="95">
        <f>IF($L$1102,$T1114,$N1114)</f>
        <v/>
      </c>
    </row>
    <row r="1115">
      <c r="A1115" s="90" t="n">
        <v>11</v>
      </c>
      <c r="B1115" s="91">
        <f>EDATE($B1114,1)</f>
        <v/>
      </c>
      <c r="C1115" s="92">
        <f>EOMONTH($B1115,0)</f>
        <v/>
      </c>
      <c r="D1115" s="87">
        <f>$C1115-$B1115+1</f>
        <v/>
      </c>
      <c r="E1115" s="87">
        <f>MONTH($B1115)</f>
        <v/>
      </c>
      <c r="F1115" s="93">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$N1115*IF($O$1102=1,$O1115/$F$1102,1)</f>
        <v/>
      </c>
      <c r="T1115" s="95">
        <f>IF($G1115&lt;nr_MStartP,$S1115,$T1103*(1+IF($G1115&lt;nr_MStartP1,$M$1102,$N$1102)))</f>
        <v/>
      </c>
      <c r="U1115" s="95">
        <f>IF($L$1102,$T1115,$N1115)</f>
        <v/>
      </c>
    </row>
    <row r="1116">
      <c r="A1116" s="90" t="n">
        <v>12</v>
      </c>
      <c r="B1116" s="91">
        <f>EDATE($B1115,1)</f>
        <v/>
      </c>
      <c r="C1116" s="92">
        <f>EOMONTH($B1116,0)</f>
        <v/>
      </c>
      <c r="D1116" s="87">
        <f>$C1116-$B1116+1</f>
        <v/>
      </c>
      <c r="E1116" s="87">
        <f>MONTH($B1116)</f>
        <v/>
      </c>
      <c r="F1116" s="93">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$N1116*IF($O$1102=1,$O1116/$F$1102,1)</f>
        <v/>
      </c>
      <c r="T1116" s="95">
        <f>IF($G1116&lt;nr_MStartP,$S1116,$T1104*(1+IF($G1116&lt;nr_MStartP1,$M$1102,$N$1102)))</f>
        <v/>
      </c>
      <c r="U1116" s="95">
        <f>IF($L$1102,$T1116,$N1116)</f>
        <v/>
      </c>
    </row>
    <row r="1117">
      <c r="A1117" s="90" t="n">
        <v>13</v>
      </c>
      <c r="B1117" s="91">
        <f>EDATE($B1116,1)</f>
        <v/>
      </c>
      <c r="C1117" s="92">
        <f>EOMONTH($B1117,0)</f>
        <v/>
      </c>
      <c r="D1117" s="87">
        <f>$C1117-$B1117+1</f>
        <v/>
      </c>
      <c r="E1117" s="87">
        <f>MONTH($B1117)</f>
        <v/>
      </c>
      <c r="F1117" s="93">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$N1117*IF($O$1102=1,$O1117/$F$1102,1)</f>
        <v/>
      </c>
      <c r="T1117" s="95">
        <f>IF($G1117&lt;nr_MStartP,$S1117,$T1105*(1+IF($G1117&lt;nr_MStartP1,$M$1102,$N$1102)))</f>
        <v/>
      </c>
      <c r="U1117" s="95">
        <f>IF($L$1102,$T1117,$N1117)</f>
        <v/>
      </c>
    </row>
    <row r="1118">
      <c r="A1118" s="90" t="n">
        <v>14</v>
      </c>
      <c r="B1118" s="91">
        <f>EDATE($B1117,1)</f>
        <v/>
      </c>
      <c r="C1118" s="92">
        <f>EOMONTH($B1118,0)</f>
        <v/>
      </c>
      <c r="D1118" s="87">
        <f>$C1118-$B1118+1</f>
        <v/>
      </c>
      <c r="E1118" s="87">
        <f>MONTH($B1118)</f>
        <v/>
      </c>
      <c r="F1118" s="93">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$N1118*IF($O$1102=1,$O1118/$F$1102,1)</f>
        <v/>
      </c>
      <c r="T1118" s="95">
        <f>IF($G1118&lt;nr_MStartP,$S1118,$T1106*(1+IF($G1118&lt;nr_MStartP1,$M$1102,$N$1102)))</f>
        <v/>
      </c>
      <c r="U1118" s="95">
        <f>IF($L$1102,$T1118,$N1118)</f>
        <v/>
      </c>
    </row>
    <row r="1119">
      <c r="A1119" s="90" t="n">
        <v>15</v>
      </c>
      <c r="B1119" s="91">
        <f>EDATE($B1118,1)</f>
        <v/>
      </c>
      <c r="C1119" s="92">
        <f>EOMONTH($B1119,0)</f>
        <v/>
      </c>
      <c r="D1119" s="87">
        <f>$C1119-$B1119+1</f>
        <v/>
      </c>
      <c r="E1119" s="87">
        <f>MONTH($B1119)</f>
        <v/>
      </c>
      <c r="F1119" s="93">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$N1119*IF($O$1102=1,$O1119/$F$1102,1)</f>
        <v/>
      </c>
      <c r="T1119" s="95">
        <f>IF($G1119&lt;nr_MStartP,$S1119,$T1107*(1+IF($G1119&lt;nr_MStartP1,$M$1102,$N$1102)))</f>
        <v/>
      </c>
      <c r="U1119" s="95">
        <f>IF($L$1102,$T1119,$N1119)</f>
        <v/>
      </c>
    </row>
    <row r="1120">
      <c r="A1120" s="90" t="n">
        <v>16</v>
      </c>
      <c r="B1120" s="91">
        <f>EDATE($B1119,1)</f>
        <v/>
      </c>
      <c r="C1120" s="92">
        <f>EOMONTH($B1120,0)</f>
        <v/>
      </c>
      <c r="D1120" s="87">
        <f>$C1120-$B1120+1</f>
        <v/>
      </c>
      <c r="E1120" s="87">
        <f>MONTH($B1120)</f>
        <v/>
      </c>
      <c r="F1120" s="93">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$N1120*IF($O$1102=1,$O1120/$F$1102,1)</f>
        <v/>
      </c>
      <c r="T1120" s="95">
        <f>IF($G1120&lt;nr_MStartP,$S1120,$T1108*(1+IF($G1120&lt;nr_MStartP1,$M$1102,$N$1102)))</f>
        <v/>
      </c>
      <c r="U1120" s="95">
        <f>IF($L$1102,$T1120,$N1120)</f>
        <v/>
      </c>
    </row>
    <row r="1121">
      <c r="A1121" s="90" t="n">
        <v>17</v>
      </c>
      <c r="B1121" s="91">
        <f>EDATE($B1120,1)</f>
        <v/>
      </c>
      <c r="C1121" s="92">
        <f>EOMONTH($B1121,0)</f>
        <v/>
      </c>
      <c r="D1121" s="87">
        <f>$C1121-$B1121+1</f>
        <v/>
      </c>
      <c r="E1121" s="87">
        <f>MONTH($B1121)</f>
        <v/>
      </c>
      <c r="F1121" s="93">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$N1121*IF($O$1102=1,$O1121/$F$1102,1)</f>
        <v/>
      </c>
      <c r="T1121" s="95">
        <f>IF($G1121&lt;nr_MStartP,$S1121,$T1109*(1+IF($G1121&lt;nr_MStartP1,$M$1102,$N$1102)))</f>
        <v/>
      </c>
      <c r="U1121" s="95">
        <f>IF($L$1102,$T1121,$N1121)</f>
        <v/>
      </c>
    </row>
    <row r="1122">
      <c r="A1122" s="90" t="n">
        <v>18</v>
      </c>
      <c r="B1122" s="91">
        <f>EDATE($B1121,1)</f>
        <v/>
      </c>
      <c r="C1122" s="92">
        <f>EOMONTH($B1122,0)</f>
        <v/>
      </c>
      <c r="D1122" s="87">
        <f>$C1122-$B1122+1</f>
        <v/>
      </c>
      <c r="E1122" s="87">
        <f>MONTH($B1122)</f>
        <v/>
      </c>
      <c r="F1122" s="93">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$N1122*IF($O$1102=1,$O1122/$F$1102,1)</f>
        <v/>
      </c>
      <c r="T1122" s="95">
        <f>IF($G1122&lt;nr_MStartP,$S1122,$T1110*(1+IF($G1122&lt;nr_MStartP1,$M$1102,$N$1102)))</f>
        <v/>
      </c>
      <c r="U1122" s="95">
        <f>IF($L$1102,$T1122,$N1122)</f>
        <v/>
      </c>
    </row>
    <row r="1123">
      <c r="A1123" s="90" t="n">
        <v>19</v>
      </c>
      <c r="B1123" s="91">
        <f>EDATE($B1122,1)</f>
        <v/>
      </c>
      <c r="C1123" s="92">
        <f>EOMONTH($B1123,0)</f>
        <v/>
      </c>
      <c r="D1123" s="87">
        <f>$C1123-$B1123+1</f>
        <v/>
      </c>
      <c r="E1123" s="87">
        <f>MONTH($B1123)</f>
        <v/>
      </c>
      <c r="F1123" s="93">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$N1123*IF($O$1102=1,$O1123/$F$1102,1)</f>
        <v/>
      </c>
      <c r="T1123" s="95">
        <f>IF($G1123&lt;nr_MStartP,$S1123,$T1111*(1+IF($G1123&lt;nr_MStartP1,$M$1102,$N$1102)))</f>
        <v/>
      </c>
      <c r="U1123" s="95">
        <f>IF($L$1102,$T1123,$N1123)</f>
        <v/>
      </c>
    </row>
    <row r="1124">
      <c r="A1124" s="90" t="n">
        <v>20</v>
      </c>
      <c r="B1124" s="91">
        <f>EDATE($B1123,1)</f>
        <v/>
      </c>
      <c r="C1124" s="92">
        <f>EOMONTH($B1124,0)</f>
        <v/>
      </c>
      <c r="D1124" s="87">
        <f>$C1124-$B1124+1</f>
        <v/>
      </c>
      <c r="E1124" s="87">
        <f>MONTH($B1124)</f>
        <v/>
      </c>
      <c r="F1124" s="93">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$N1124*IF($O$1102=1,$O1124/$F$1102,1)</f>
        <v/>
      </c>
      <c r="T1124" s="95">
        <f>IF($G1124&lt;nr_MStartP,$S1124,$T1112*(1+IF($G1124&lt;nr_MStartP1,$M$1102,$N$1102)))</f>
        <v/>
      </c>
      <c r="U1124" s="95">
        <f>IF($L$1102,$T1124,$N1124)</f>
        <v/>
      </c>
    </row>
    <row r="1125">
      <c r="A1125" s="90" t="n">
        <v>21</v>
      </c>
      <c r="B1125" s="91">
        <f>EDATE($B1124,1)</f>
        <v/>
      </c>
      <c r="C1125" s="92">
        <f>EOMONTH($B1125,0)</f>
        <v/>
      </c>
      <c r="D1125" s="87">
        <f>$C1125-$B1125+1</f>
        <v/>
      </c>
      <c r="E1125" s="87">
        <f>MONTH($B1125)</f>
        <v/>
      </c>
      <c r="F1125" s="93">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$N1125*IF($O$1102=1,$O1125/$F$1102,1)</f>
        <v/>
      </c>
      <c r="T1125" s="95">
        <f>IF($G1125&lt;nr_MStartP,$S1125,$T1113*(1+IF($G1125&lt;nr_MStartP1,$M$1102,$N$1102)))</f>
        <v/>
      </c>
      <c r="U1125" s="95">
        <f>IF($L$1102,$T1125,$N1125)</f>
        <v/>
      </c>
    </row>
    <row r="1126">
      <c r="A1126" s="90" t="n">
        <v>22</v>
      </c>
      <c r="B1126" s="91">
        <f>EDATE($B1125,1)</f>
        <v/>
      </c>
      <c r="C1126" s="92">
        <f>EOMONTH($B1126,0)</f>
        <v/>
      </c>
      <c r="D1126" s="87">
        <f>$C1126-$B1126+1</f>
        <v/>
      </c>
      <c r="E1126" s="87">
        <f>MONTH($B1126)</f>
        <v/>
      </c>
      <c r="F1126" s="93">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$N1126*IF($O$1102=1,$O1126/$F$1102,1)</f>
        <v/>
      </c>
      <c r="T1126" s="95">
        <f>IF($G1126&lt;nr_MStartP,$S1126,$T1114*(1+IF($G1126&lt;nr_MStartP1,$M$1102,$N$1102)))</f>
        <v/>
      </c>
      <c r="U1126" s="95">
        <f>IF($L$1102,$T1126,$N1126)</f>
        <v/>
      </c>
    </row>
    <row r="1127">
      <c r="A1127" s="90" t="n">
        <v>23</v>
      </c>
      <c r="B1127" s="91">
        <f>EDATE($B1126,1)</f>
        <v/>
      </c>
      <c r="C1127" s="92">
        <f>EOMONTH($B1127,0)</f>
        <v/>
      </c>
      <c r="D1127" s="87">
        <f>$C1127-$B1127+1</f>
        <v/>
      </c>
      <c r="E1127" s="87">
        <f>MONTH($B1127)</f>
        <v/>
      </c>
      <c r="F1127" s="93">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$N1127*IF($O$1102=1,$O1127/$F$1102,1)</f>
        <v/>
      </c>
      <c r="T1127" s="95">
        <f>IF($G1127&lt;nr_MStartP,$S1127,$T1115*(1+IF($G1127&lt;nr_MStartP1,$M$1102,$N$1102)))</f>
        <v/>
      </c>
      <c r="U1127" s="95">
        <f>IF($L$1102,$T1127,$N1127)</f>
        <v/>
      </c>
    </row>
    <row r="1128">
      <c r="A1128" s="90" t="n">
        <v>24</v>
      </c>
      <c r="B1128" s="91">
        <f>EDATE($B1127,1)</f>
        <v/>
      </c>
      <c r="C1128" s="92">
        <f>EOMONTH($B1128,0)</f>
        <v/>
      </c>
      <c r="D1128" s="87">
        <f>$C1128-$B1128+1</f>
        <v/>
      </c>
      <c r="E1128" s="87">
        <f>MONTH($B1128)</f>
        <v/>
      </c>
      <c r="F1128" s="93">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$N1128*IF($O$1102=1,$O1128/$F$1102,1)</f>
        <v/>
      </c>
      <c r="T1128" s="95">
        <f>IF($G1128&lt;nr_MStartP,$S1128,$T1116*(1+IF($G1128&lt;nr_MStartP1,$M$1102,$N$1102)))</f>
        <v/>
      </c>
      <c r="U1128" s="95">
        <f>IF($L$1102,$T1128,$N1128)</f>
        <v/>
      </c>
    </row>
    <row r="1129">
      <c r="A1129" s="90" t="n">
        <v>25</v>
      </c>
      <c r="B1129" s="91">
        <f>EDATE($B1128,1)</f>
        <v/>
      </c>
      <c r="C1129" s="92">
        <f>EOMONTH($B1129,0)</f>
        <v/>
      </c>
      <c r="D1129" s="87">
        <f>$C1129-$B1129+1</f>
        <v/>
      </c>
      <c r="E1129" s="87">
        <f>MONTH($B1129)</f>
        <v/>
      </c>
      <c r="F1129" s="93">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$N1129*IF($O$1102=1,$O1129/$F$1102,1)</f>
        <v/>
      </c>
      <c r="T1129" s="95">
        <f>IF($G1129&lt;nr_MStartP,$S1129,$T1117*(1+IF($G1129&lt;nr_MStartP1,$M$1102,$N$1102)))</f>
        <v/>
      </c>
      <c r="U1129" s="95">
        <f>IF($L$1102,$T1129,$N1129)</f>
        <v/>
      </c>
    </row>
    <row r="1130">
      <c r="A1130" s="90" t="n">
        <v>26</v>
      </c>
      <c r="B1130" s="91">
        <f>EDATE($B1129,1)</f>
        <v/>
      </c>
      <c r="C1130" s="92">
        <f>EOMONTH($B1130,0)</f>
        <v/>
      </c>
      <c r="D1130" s="87">
        <f>$C1130-$B1130+1</f>
        <v/>
      </c>
      <c r="E1130" s="87">
        <f>MONTH($B1130)</f>
        <v/>
      </c>
      <c r="F1130" s="93">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$N1130*IF($O$1102=1,$O1130/$F$1102,1)</f>
        <v/>
      </c>
      <c r="T1130" s="95">
        <f>IF($G1130&lt;nr_MStartP,$S1130,$T1118*(1+IF($G1130&lt;nr_MStartP1,$M$1102,$N$1102)))</f>
        <v/>
      </c>
      <c r="U1130" s="95">
        <f>IF($L$1102,$T1130,$N1130)</f>
        <v/>
      </c>
    </row>
    <row r="1131">
      <c r="A1131" s="90" t="n">
        <v>27</v>
      </c>
      <c r="B1131" s="91">
        <f>EDATE($B1130,1)</f>
        <v/>
      </c>
      <c r="C1131" s="92">
        <f>EOMONTH($B1131,0)</f>
        <v/>
      </c>
      <c r="D1131" s="87">
        <f>$C1131-$B1131+1</f>
        <v/>
      </c>
      <c r="E1131" s="87">
        <f>MONTH($B1131)</f>
        <v/>
      </c>
      <c r="F1131" s="93">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$N1131*IF($O$1102=1,$O1131/$F$1102,1)</f>
        <v/>
      </c>
      <c r="T1131" s="95">
        <f>IF($G1131&lt;nr_MStartP,$S1131,$T1119*(1+IF($G1131&lt;nr_MStartP1,$M$1102,$N$1102)))</f>
        <v/>
      </c>
      <c r="U1131" s="95">
        <f>IF($L$1102,$T1131,$N1131)</f>
        <v/>
      </c>
    </row>
    <row r="1132">
      <c r="A1132" s="90" t="n">
        <v>28</v>
      </c>
      <c r="B1132" s="91">
        <f>EDATE($B1131,1)</f>
        <v/>
      </c>
      <c r="C1132" s="92">
        <f>EOMONTH($B1132,0)</f>
        <v/>
      </c>
      <c r="D1132" s="87">
        <f>$C1132-$B1132+1</f>
        <v/>
      </c>
      <c r="E1132" s="87">
        <f>MONTH($B1132)</f>
        <v/>
      </c>
      <c r="F1132" s="93">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$N1132*IF($O$1102=1,$O1132/$F$1102,1)</f>
        <v/>
      </c>
      <c r="T1132" s="95">
        <f>IF($G1132&lt;nr_MStartP,$S1132,$T1120*(1+IF($G1132&lt;nr_MStartP1,$M$1102,$N$1102)))</f>
        <v/>
      </c>
      <c r="U1132" s="95">
        <f>IF($L$1102,$T1132,$N1132)</f>
        <v/>
      </c>
    </row>
    <row r="1133">
      <c r="A1133" s="90" t="n">
        <v>29</v>
      </c>
      <c r="B1133" s="91">
        <f>EDATE($B1132,1)</f>
        <v/>
      </c>
      <c r="C1133" s="92">
        <f>EOMONTH($B1133,0)</f>
        <v/>
      </c>
      <c r="D1133" s="87">
        <f>$C1133-$B1133+1</f>
        <v/>
      </c>
      <c r="E1133" s="87">
        <f>MONTH($B1133)</f>
        <v/>
      </c>
      <c r="F1133" s="93">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$N1133*IF($O$1102=1,$O1133/$F$1102,1)</f>
        <v/>
      </c>
      <c r="T1133" s="95">
        <f>IF($G1133&lt;nr_MStartP,$S1133,$T1121*(1+IF($G1133&lt;nr_MStartP1,$M$1102,$N$1102)))</f>
        <v/>
      </c>
      <c r="U1133" s="95">
        <f>IF($L$1102,$T1133,$N1133)</f>
        <v/>
      </c>
    </row>
    <row r="1134">
      <c r="A1134" s="90" t="n">
        <v>30</v>
      </c>
      <c r="B1134" s="91">
        <f>EDATE($B1133,1)</f>
        <v/>
      </c>
      <c r="C1134" s="92">
        <f>EOMONTH($B1134,0)</f>
        <v/>
      </c>
      <c r="D1134" s="87">
        <f>$C1134-$B1134+1</f>
        <v/>
      </c>
      <c r="E1134" s="87">
        <f>MONTH($B1134)</f>
        <v/>
      </c>
      <c r="F1134" s="93">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$N1134*IF($O$1102=1,$O1134/$F$1102,1)</f>
        <v/>
      </c>
      <c r="T1134" s="95">
        <f>IF($G1134&lt;nr_MStartP,$S1134,$T1122*(1+IF($G1134&lt;nr_MStartP1,$M$1102,$N$1102)))</f>
        <v/>
      </c>
      <c r="U1134" s="95">
        <f>IF($L$1102,$T1134,$N1134)</f>
        <v/>
      </c>
    </row>
    <row r="1135">
      <c r="A1135" s="90" t="n">
        <v>31</v>
      </c>
      <c r="B1135" s="91">
        <f>EDATE($B1134,1)</f>
        <v/>
      </c>
      <c r="C1135" s="92">
        <f>EOMONTH($B1135,0)</f>
        <v/>
      </c>
      <c r="D1135" s="87">
        <f>$C1135-$B1135+1</f>
        <v/>
      </c>
      <c r="E1135" s="87">
        <f>MONTH($B1135)</f>
        <v/>
      </c>
      <c r="F1135" s="93">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$N1135*IF($O$1102=1,$O1135/$F$1102,1)</f>
        <v/>
      </c>
      <c r="T1135" s="95">
        <f>IF($G1135&lt;nr_MStartP,$S1135,$T1123*(1+IF($G1135&lt;nr_MStartP1,$M$1102,$N$1102)))</f>
        <v/>
      </c>
      <c r="U1135" s="95">
        <f>IF($L$1102,$T1135,$N1135)</f>
        <v/>
      </c>
    </row>
    <row r="1136">
      <c r="A1136" s="90" t="n">
        <v>32</v>
      </c>
      <c r="B1136" s="91">
        <f>EDATE($B1135,1)</f>
        <v/>
      </c>
      <c r="C1136" s="92">
        <f>EOMONTH($B1136,0)</f>
        <v/>
      </c>
      <c r="D1136" s="87">
        <f>$C1136-$B1136+1</f>
        <v/>
      </c>
      <c r="E1136" s="87">
        <f>MONTH($B1136)</f>
        <v/>
      </c>
      <c r="F1136" s="93">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$N1136*IF($O$1102=1,$O1136/$F$1102,1)</f>
        <v/>
      </c>
      <c r="T1136" s="95">
        <f>IF($G1136&lt;nr_MStartP,$S1136,$T1124*(1+IF($G1136&lt;nr_MStartP1,$M$1102,$N$1102)))</f>
        <v/>
      </c>
      <c r="U1136" s="95">
        <f>IF($L$1102,$T1136,$N1136)</f>
        <v/>
      </c>
    </row>
    <row r="1137">
      <c r="A1137" s="90" t="n">
        <v>33</v>
      </c>
      <c r="B1137" s="91">
        <f>EDATE($B1136,1)</f>
        <v/>
      </c>
      <c r="C1137" s="92">
        <f>EOMONTH($B1137,0)</f>
        <v/>
      </c>
      <c r="D1137" s="87">
        <f>$C1137-$B1137+1</f>
        <v/>
      </c>
      <c r="E1137" s="87">
        <f>MONTH($B1137)</f>
        <v/>
      </c>
      <c r="F1137" s="93">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$N1137*IF($O$1102=1,$O1137/$F$1102,1)</f>
        <v/>
      </c>
      <c r="T1137" s="95">
        <f>IF($G1137&lt;nr_MStartP,$S1137,$T1125*(1+IF($G1137&lt;nr_MStartP1,$M$1102,$N$1102)))</f>
        <v/>
      </c>
      <c r="U1137" s="95">
        <f>IF($L$1102,$T1137,$N1137)</f>
        <v/>
      </c>
    </row>
    <row r="1138">
      <c r="A1138" s="90" t="n">
        <v>34</v>
      </c>
      <c r="B1138" s="91">
        <f>EDATE($B1137,1)</f>
        <v/>
      </c>
      <c r="C1138" s="92">
        <f>EOMONTH($B1138,0)</f>
        <v/>
      </c>
      <c r="D1138" s="87">
        <f>$C1138-$B1138+1</f>
        <v/>
      </c>
      <c r="E1138" s="87">
        <f>MONTH($B1138)</f>
        <v/>
      </c>
      <c r="F1138" s="93">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$N1138*IF($O$1102=1,$O1138/$F$1102,1)</f>
        <v/>
      </c>
      <c r="T1138" s="95">
        <f>IF($G1138&lt;nr_MStartP,$S1138,$T1126*(1+IF($G1138&lt;nr_MStartP1,$M$1102,$N$1102)))</f>
        <v/>
      </c>
      <c r="U1138" s="95">
        <f>IF($L$1102,$T1138,$N1138)</f>
        <v/>
      </c>
    </row>
    <row r="1139">
      <c r="A1139" s="90" t="n">
        <v>35</v>
      </c>
      <c r="B1139" s="91">
        <f>EDATE($B1138,1)</f>
        <v/>
      </c>
      <c r="C1139" s="92">
        <f>EOMONTH($B1139,0)</f>
        <v/>
      </c>
      <c r="D1139" s="87">
        <f>$C1139-$B1139+1</f>
        <v/>
      </c>
      <c r="E1139" s="87">
        <f>MONTH($B1139)</f>
        <v/>
      </c>
      <c r="F1139" s="93">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$N1139*IF($O$1102=1,$O1139/$F$1102,1)</f>
        <v/>
      </c>
      <c r="T1139" s="95">
        <f>IF($G1139&lt;nr_MStartP,$S1139,$T1127*(1+IF($G1139&lt;nr_MStartP1,$M$1102,$N$1102)))</f>
        <v/>
      </c>
      <c r="U1139" s="95">
        <f>IF($L$1102,$T1139,$N1139)</f>
        <v/>
      </c>
    </row>
    <row r="1140">
      <c r="A1140" s="90" t="n">
        <v>36</v>
      </c>
      <c r="B1140" s="91">
        <f>EDATE($B1139,1)</f>
        <v/>
      </c>
      <c r="C1140" s="92">
        <f>EOMONTH($B1140,0)</f>
        <v/>
      </c>
      <c r="D1140" s="87">
        <f>$C1140-$B1140+1</f>
        <v/>
      </c>
      <c r="E1140" s="87">
        <f>MONTH($B1140)</f>
        <v/>
      </c>
      <c r="F1140" s="93">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$N1140*IF($O$1102=1,$O1140/$F$1102,1)</f>
        <v/>
      </c>
      <c r="T1140" s="95">
        <f>IF($G1140&lt;nr_MStartP,$S1140,$T1128*(1+IF($G1140&lt;nr_MStartP1,$M$1102,$N$1102)))</f>
        <v/>
      </c>
      <c r="U1140" s="95">
        <f>IF($L$1102,$T1140,$N1140)</f>
        <v/>
      </c>
    </row>
    <row r="1141">
      <c r="A1141" s="90" t="n">
        <v>37</v>
      </c>
      <c r="B1141" s="91">
        <f>EDATE($B1140,1)</f>
        <v/>
      </c>
      <c r="C1141" s="92">
        <f>EOMONTH($B1141,0)</f>
        <v/>
      </c>
      <c r="D1141" s="87">
        <f>$C1141-$B1141+1</f>
        <v/>
      </c>
      <c r="E1141" s="87">
        <f>MONTH($B1141)</f>
        <v/>
      </c>
      <c r="F1141" s="93">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$N1141*IF($O$1102=1,$O1141/$F$1102,1)</f>
        <v/>
      </c>
      <c r="T1141" s="95">
        <f>IF($G1141&lt;nr_MStartP,$S1141,$T1129*(1+IF($G1141&lt;nr_MStartP1,$M$1102,$N$1102)))</f>
        <v/>
      </c>
      <c r="U1141" s="95">
        <f>IF($L$1102,$T1141,$N1141)</f>
        <v/>
      </c>
    </row>
    <row r="1142">
      <c r="A1142" s="90" t="n">
        <v>38</v>
      </c>
      <c r="B1142" s="91">
        <f>EDATE($B1141,1)</f>
        <v/>
      </c>
      <c r="C1142" s="92">
        <f>EOMONTH($B1142,0)</f>
        <v/>
      </c>
      <c r="D1142" s="87">
        <f>$C1142-$B1142+1</f>
        <v/>
      </c>
      <c r="E1142" s="87">
        <f>MONTH($B1142)</f>
        <v/>
      </c>
      <c r="F1142" s="93">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$N1142*IF($O$1102=1,$O1142/$F$1102,1)</f>
        <v/>
      </c>
      <c r="T1142" s="95">
        <f>IF($G1142&lt;nr_MStartP,$S1142,$T1130*(1+IF($G1142&lt;nr_MStartP1,$M$1102,$N$1102)))</f>
        <v/>
      </c>
      <c r="U1142" s="95">
        <f>IF($L$1102,$T1142,$N1142)</f>
        <v/>
      </c>
    </row>
    <row r="1143">
      <c r="A1143" s="90" t="n">
        <v>39</v>
      </c>
      <c r="B1143" s="91">
        <f>EDATE($B1142,1)</f>
        <v/>
      </c>
      <c r="C1143" s="92">
        <f>EOMONTH($B1143,0)</f>
        <v/>
      </c>
      <c r="D1143" s="87">
        <f>$C1143-$B1143+1</f>
        <v/>
      </c>
      <c r="E1143" s="87">
        <f>MONTH($B1143)</f>
        <v/>
      </c>
      <c r="F1143" s="93">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$N1143*IF($O$1102=1,$O1143/$F$1102,1)</f>
        <v/>
      </c>
      <c r="T1143" s="95">
        <f>IF($G1143&lt;nr_MStartP,$S1143,$T1131*(1+IF($G1143&lt;nr_MStartP1,$M$1102,$N$1102)))</f>
        <v/>
      </c>
      <c r="U1143" s="95">
        <f>IF($L$1102,$T1143,$N1143)</f>
        <v/>
      </c>
    </row>
    <row r="1144">
      <c r="A1144" s="90" t="n">
        <v>40</v>
      </c>
      <c r="B1144" s="91">
        <f>EDATE($B1143,1)</f>
        <v/>
      </c>
      <c r="C1144" s="92">
        <f>EOMONTH($B1144,0)</f>
        <v/>
      </c>
      <c r="D1144" s="87">
        <f>$C1144-$B1144+1</f>
        <v/>
      </c>
      <c r="E1144" s="87">
        <f>MONTH($B1144)</f>
        <v/>
      </c>
      <c r="F1144" s="93">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$N1144*IF($O$1102=1,$O1144/$F$1102,1)</f>
        <v/>
      </c>
      <c r="T1144" s="95">
        <f>IF($G1144&lt;nr_MStartP,$S1144,$T1132*(1+IF($G1144&lt;nr_MStartP1,$M$1102,$N$1102)))</f>
        <v/>
      </c>
      <c r="U1144" s="95">
        <f>IF($L$1102,$T1144,$N1144)</f>
        <v/>
      </c>
    </row>
    <row r="1145">
      <c r="A1145" s="90" t="n">
        <v>41</v>
      </c>
      <c r="B1145" s="91">
        <f>EDATE($B1144,1)</f>
        <v/>
      </c>
      <c r="C1145" s="92">
        <f>EOMONTH($B1145,0)</f>
        <v/>
      </c>
      <c r="D1145" s="87">
        <f>$C1145-$B1145+1</f>
        <v/>
      </c>
      <c r="E1145" s="87">
        <f>MONTH($B1145)</f>
        <v/>
      </c>
      <c r="F1145" s="93">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$N1145*IF($O$1102=1,$O1145/$F$1102,1)</f>
        <v/>
      </c>
      <c r="T1145" s="95">
        <f>IF($G1145&lt;nr_MStartP,$S1145,$T1133*(1+IF($G1145&lt;nr_MStartP1,$M$1102,$N$1102)))</f>
        <v/>
      </c>
      <c r="U1145" s="95">
        <f>IF($L$1102,$T1145,$N1145)</f>
        <v/>
      </c>
    </row>
    <row r="1146">
      <c r="A1146" s="90" t="n">
        <v>42</v>
      </c>
      <c r="B1146" s="91">
        <f>EDATE($B1145,1)</f>
        <v/>
      </c>
      <c r="C1146" s="92">
        <f>EOMONTH($B1146,0)</f>
        <v/>
      </c>
      <c r="D1146" s="87">
        <f>$C1146-$B1146+1</f>
        <v/>
      </c>
      <c r="E1146" s="87">
        <f>MONTH($B1146)</f>
        <v/>
      </c>
      <c r="F1146" s="93">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$N1146*IF($O$1102=1,$O1146/$F$1102,1)</f>
        <v/>
      </c>
      <c r="T1146" s="95">
        <f>IF($G1146&lt;nr_MStartP,$S1146,$T1134*(1+IF($G1146&lt;nr_MStartP1,$M$1102,$N$1102)))</f>
        <v/>
      </c>
      <c r="U1146" s="95">
        <f>IF($L$1102,$T1146,$N1146)</f>
        <v/>
      </c>
    </row>
    <row r="1147">
      <c r="A1147" s="90" t="n">
        <v>43</v>
      </c>
      <c r="B1147" s="91">
        <f>EDATE($B1146,1)</f>
        <v/>
      </c>
      <c r="C1147" s="92">
        <f>EOMONTH($B1147,0)</f>
        <v/>
      </c>
      <c r="D1147" s="87">
        <f>$C1147-$B1147+1</f>
        <v/>
      </c>
      <c r="E1147" s="87">
        <f>MONTH($B1147)</f>
        <v/>
      </c>
      <c r="F1147" s="93">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$N1147*IF($O$1102=1,$O1147/$F$1102,1)</f>
        <v/>
      </c>
      <c r="T1147" s="95">
        <f>IF($G1147&lt;nr_MStartP,$S1147,$T1135*(1+IF($G1147&lt;nr_MStartP1,$M$1102,$N$1102)))</f>
        <v/>
      </c>
      <c r="U1147" s="95">
        <f>IF($L$1102,$T1147,$N1147)</f>
        <v/>
      </c>
    </row>
    <row r="1148">
      <c r="A1148" s="90" t="n">
        <v>44</v>
      </c>
      <c r="B1148" s="91">
        <f>EDATE($B1147,1)</f>
        <v/>
      </c>
      <c r="C1148" s="92">
        <f>EOMONTH($B1148,0)</f>
        <v/>
      </c>
      <c r="D1148" s="87">
        <f>$C1148-$B1148+1</f>
        <v/>
      </c>
      <c r="E1148" s="87">
        <f>MONTH($B1148)</f>
        <v/>
      </c>
      <c r="F1148" s="93">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$N1148*IF($O$1102=1,$O1148/$F$1102,1)</f>
        <v/>
      </c>
      <c r="T1148" s="95">
        <f>IF($G1148&lt;nr_MStartP,$S1148,$T1136*(1+IF($G1148&lt;nr_MStartP1,$M$1102,$N$1102)))</f>
        <v/>
      </c>
      <c r="U1148" s="95">
        <f>IF($L$1102,$T1148,$N1148)</f>
        <v/>
      </c>
    </row>
    <row r="1149">
      <c r="A1149" s="90" t="n">
        <v>45</v>
      </c>
      <c r="B1149" s="91">
        <f>EDATE($B1148,1)</f>
        <v/>
      </c>
      <c r="C1149" s="92">
        <f>EOMONTH($B1149,0)</f>
        <v/>
      </c>
      <c r="D1149" s="87">
        <f>$C1149-$B1149+1</f>
        <v/>
      </c>
      <c r="E1149" s="87">
        <f>MONTH($B1149)</f>
        <v/>
      </c>
      <c r="F1149" s="93">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$N1149*IF($O$1102=1,$O1149/$F$1102,1)</f>
        <v/>
      </c>
      <c r="T1149" s="95">
        <f>IF($G1149&lt;nr_MStartP,$S1149,$T1137*(1+IF($G1149&lt;nr_MStartP1,$M$1102,$N$1102)))</f>
        <v/>
      </c>
      <c r="U1149" s="95">
        <f>IF($L$1102,$T1149,$N1149)</f>
        <v/>
      </c>
    </row>
    <row r="1150">
      <c r="A1150" s="90" t="n">
        <v>46</v>
      </c>
      <c r="B1150" s="91">
        <f>EDATE($B1149,1)</f>
        <v/>
      </c>
      <c r="C1150" s="92">
        <f>EOMONTH($B1150,0)</f>
        <v/>
      </c>
      <c r="D1150" s="87">
        <f>$C1150-$B1150+1</f>
        <v/>
      </c>
      <c r="E1150" s="87">
        <f>MONTH($B1150)</f>
        <v/>
      </c>
      <c r="F1150" s="93">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$N1150*IF($O$1102=1,$O1150/$F$1102,1)</f>
        <v/>
      </c>
      <c r="T1150" s="95">
        <f>IF($G1150&lt;nr_MStartP,$S1150,$T1138*(1+IF($G1150&lt;nr_MStartP1,$M$1102,$N$1102)))</f>
        <v/>
      </c>
      <c r="U1150" s="95">
        <f>IF($L$1102,$T1150,$N1150)</f>
        <v/>
      </c>
    </row>
    <row r="1151">
      <c r="A1151" s="90" t="n">
        <v>47</v>
      </c>
      <c r="B1151" s="91">
        <f>EDATE($B1150,1)</f>
        <v/>
      </c>
      <c r="C1151" s="92">
        <f>EOMONTH($B1151,0)</f>
        <v/>
      </c>
      <c r="D1151" s="87">
        <f>$C1151-$B1151+1</f>
        <v/>
      </c>
      <c r="E1151" s="87">
        <f>MONTH($B1151)</f>
        <v/>
      </c>
      <c r="F1151" s="93">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$N1151*IF($O$1102=1,$O1151/$F$1102,1)</f>
        <v/>
      </c>
      <c r="T1151" s="95">
        <f>IF($G1151&lt;nr_MStartP,$S1151,$T1139*(1+IF($G1151&lt;nr_MStartP1,$M$1102,$N$1102)))</f>
        <v/>
      </c>
      <c r="U1151" s="95">
        <f>IF($L$1102,$T1151,$N1151)</f>
        <v/>
      </c>
    </row>
    <row r="1152">
      <c r="A1152" s="90" t="n">
        <v>48</v>
      </c>
      <c r="B1152" s="91">
        <f>EDATE($B1151,1)</f>
        <v/>
      </c>
      <c r="C1152" s="92">
        <f>EOMONTH($B1152,0)</f>
        <v/>
      </c>
      <c r="D1152" s="87">
        <f>$C1152-$B1152+1</f>
        <v/>
      </c>
      <c r="E1152" s="87">
        <f>MONTH($B1152)</f>
        <v/>
      </c>
      <c r="F1152" s="93">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$N1152*IF($O$1102=1,$O1152/$F$1102,1)</f>
        <v/>
      </c>
      <c r="T1152" s="95">
        <f>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04">
        <f>SUMPRODUCT($H$1105:$H$1152,$Q$1105:$Q$1152,$O$1105:$O$1152)/SUMPRODUCT($H$1105:$H$1152,$Q$1105:$Q$1152)</f>
        <v/>
      </c>
      <c r="G1153" s="20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04">
        <f>IF(N(INDEX(lr_mind,21))=0,1,INDEX(lr_mind,21))</f>
        <v/>
      </c>
      <c r="G1156" s="204">
        <f>IF(N(INDEX(lr_m0,21))=0,1,INDEX(lr_m0,21))</f>
        <v/>
      </c>
      <c r="H1156" s="73">
        <f>IF(N(INDEX(lr_m0asof,21))=0,DATE(nr_PlanYear-1,10,1),INDEX(lr_m0asof,21))</f>
        <v/>
      </c>
      <c r="I1156" s="204">
        <f>IF(N(INDEX(lr_m1,21))=0,1,INDEX(lr_m1,21))</f>
        <v/>
      </c>
      <c r="J1156" s="204">
        <f>INDEX(lr_mprior,21)</f>
        <v/>
      </c>
      <c r="K1156" s="20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93">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$N1159*IF($O$1156=1,$O1159/$F$1156,1)</f>
        <v/>
      </c>
      <c r="T1159" s="95">
        <f>IF($G1159&lt;nr_MStartP,$S1159,$T1147*(1+IF($G1159&lt;nr_MStartP1,$M$1156,$N$1156)))</f>
        <v/>
      </c>
      <c r="U1159" s="95">
        <f>IF($L$1156,$T1159,$N1159)</f>
        <v/>
      </c>
    </row>
    <row r="1160">
      <c r="A1160" s="90" t="n">
        <v>2</v>
      </c>
      <c r="B1160" s="91">
        <f>EDATE($B1159,1)</f>
        <v/>
      </c>
      <c r="C1160" s="92">
        <f>EOMONTH($B1160,0)</f>
        <v/>
      </c>
      <c r="D1160" s="87">
        <f>$C1160-$B1160+1</f>
        <v/>
      </c>
      <c r="E1160" s="87">
        <f>MONTH($B1160)</f>
        <v/>
      </c>
      <c r="F1160" s="93">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$N1160*IF($O$1156=1,$O1160/$F$1156,1)</f>
        <v/>
      </c>
      <c r="T1160" s="95">
        <f>IF($G1160&lt;nr_MStartP,$S1160,$T1148*(1+IF($G1160&lt;nr_MStartP1,$M$1156,$N$1156)))</f>
        <v/>
      </c>
      <c r="U1160" s="95">
        <f>IF($L$1156,$T1160,$N1160)</f>
        <v/>
      </c>
    </row>
    <row r="1161">
      <c r="A1161" s="90" t="n">
        <v>3</v>
      </c>
      <c r="B1161" s="91">
        <f>EDATE($B1160,1)</f>
        <v/>
      </c>
      <c r="C1161" s="92">
        <f>EOMONTH($B1161,0)</f>
        <v/>
      </c>
      <c r="D1161" s="87">
        <f>$C1161-$B1161+1</f>
        <v/>
      </c>
      <c r="E1161" s="87">
        <f>MONTH($B1161)</f>
        <v/>
      </c>
      <c r="F1161" s="93">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$N1161*IF($O$1156=1,$O1161/$F$1156,1)</f>
        <v/>
      </c>
      <c r="T1161" s="95">
        <f>IF($G1161&lt;nr_MStartP,$S1161,$T1149*(1+IF($G1161&lt;nr_MStartP1,$M$1156,$N$1156)))</f>
        <v/>
      </c>
      <c r="U1161" s="95">
        <f>IF($L$1156,$T1161,$N1161)</f>
        <v/>
      </c>
    </row>
    <row r="1162">
      <c r="A1162" s="90" t="n">
        <v>4</v>
      </c>
      <c r="B1162" s="91">
        <f>EDATE($B1161,1)</f>
        <v/>
      </c>
      <c r="C1162" s="92">
        <f>EOMONTH($B1162,0)</f>
        <v/>
      </c>
      <c r="D1162" s="87">
        <f>$C1162-$B1162+1</f>
        <v/>
      </c>
      <c r="E1162" s="87">
        <f>MONTH($B1162)</f>
        <v/>
      </c>
      <c r="F1162" s="93">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$N1162*IF($O$1156=1,$O1162/$F$1156,1)</f>
        <v/>
      </c>
      <c r="T1162" s="95">
        <f>IF($G1162&lt;nr_MStartP,$S1162,$T1150*(1+IF($G1162&lt;nr_MStartP1,$M$1156,$N$1156)))</f>
        <v/>
      </c>
      <c r="U1162" s="95">
        <f>IF($L$1156,$T1162,$N1162)</f>
        <v/>
      </c>
    </row>
    <row r="1163">
      <c r="A1163" s="90" t="n">
        <v>5</v>
      </c>
      <c r="B1163" s="91">
        <f>EDATE($B1162,1)</f>
        <v/>
      </c>
      <c r="C1163" s="92">
        <f>EOMONTH($B1163,0)</f>
        <v/>
      </c>
      <c r="D1163" s="87">
        <f>$C1163-$B1163+1</f>
        <v/>
      </c>
      <c r="E1163" s="87">
        <f>MONTH($B1163)</f>
        <v/>
      </c>
      <c r="F1163" s="93">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$N1163*IF($O$1156=1,$O1163/$F$1156,1)</f>
        <v/>
      </c>
      <c r="T1163" s="95">
        <f>IF($G1163&lt;nr_MStartP,$S1163,$T1151*(1+IF($G1163&lt;nr_MStartP1,$M$1156,$N$1156)))</f>
        <v/>
      </c>
      <c r="U1163" s="95">
        <f>IF($L$1156,$T1163,$N1163)</f>
        <v/>
      </c>
    </row>
    <row r="1164">
      <c r="A1164" s="90" t="n">
        <v>6</v>
      </c>
      <c r="B1164" s="91">
        <f>EDATE($B1163,1)</f>
        <v/>
      </c>
      <c r="C1164" s="92">
        <f>EOMONTH($B1164,0)</f>
        <v/>
      </c>
      <c r="D1164" s="87">
        <f>$C1164-$B1164+1</f>
        <v/>
      </c>
      <c r="E1164" s="87">
        <f>MONTH($B1164)</f>
        <v/>
      </c>
      <c r="F1164" s="93">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$N1164*IF($O$1156=1,$O1164/$F$1156,1)</f>
        <v/>
      </c>
      <c r="T1164" s="95">
        <f>IF($G1164&lt;nr_MStartP,$S1164,$T1152*(1+IF($G1164&lt;nr_MStartP1,$M$1156,$N$1156)))</f>
        <v/>
      </c>
      <c r="U1164" s="95">
        <f>IF($L$1156,$T1164,$N1164)</f>
        <v/>
      </c>
    </row>
    <row r="1165">
      <c r="A1165" s="90" t="n">
        <v>7</v>
      </c>
      <c r="B1165" s="91">
        <f>EDATE($B1164,1)</f>
        <v/>
      </c>
      <c r="C1165" s="92">
        <f>EOMONTH($B1165,0)</f>
        <v/>
      </c>
      <c r="D1165" s="87">
        <f>$C1165-$B1165+1</f>
        <v/>
      </c>
      <c r="E1165" s="87">
        <f>MONTH($B1165)</f>
        <v/>
      </c>
      <c r="F1165" s="93">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$N1165*IF($O$1156=1,$O1165/$F$1156,1)</f>
        <v/>
      </c>
      <c r="T1165" s="95">
        <f>IF($G1165&lt;nr_MStartP,$S1165,$T1153*(1+IF($G1165&lt;nr_MStartP1,$M$1156,$N$1156)))</f>
        <v/>
      </c>
      <c r="U1165" s="95">
        <f>IF($L$1156,$T1165,$N1165)</f>
        <v/>
      </c>
    </row>
    <row r="1166">
      <c r="A1166" s="90" t="n">
        <v>8</v>
      </c>
      <c r="B1166" s="91">
        <f>EDATE($B1165,1)</f>
        <v/>
      </c>
      <c r="C1166" s="92">
        <f>EOMONTH($B1166,0)</f>
        <v/>
      </c>
      <c r="D1166" s="87">
        <f>$C1166-$B1166+1</f>
        <v/>
      </c>
      <c r="E1166" s="87">
        <f>MONTH($B1166)</f>
        <v/>
      </c>
      <c r="F1166" s="93">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$N1166*IF($O$1156=1,$O1166/$F$1156,1)</f>
        <v/>
      </c>
      <c r="T1166" s="95">
        <f>IF($G1166&lt;nr_MStartP,$S1166,$T1154*(1+IF($G1166&lt;nr_MStartP1,$M$1156,$N$1156)))</f>
        <v/>
      </c>
      <c r="U1166" s="95">
        <f>IF($L$1156,$T1166,$N1166)</f>
        <v/>
      </c>
    </row>
    <row r="1167">
      <c r="A1167" s="90" t="n">
        <v>9</v>
      </c>
      <c r="B1167" s="91">
        <f>EDATE($B1166,1)</f>
        <v/>
      </c>
      <c r="C1167" s="92">
        <f>EOMONTH($B1167,0)</f>
        <v/>
      </c>
      <c r="D1167" s="87">
        <f>$C1167-$B1167+1</f>
        <v/>
      </c>
      <c r="E1167" s="87">
        <f>MONTH($B1167)</f>
        <v/>
      </c>
      <c r="F1167" s="93">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$N1167*IF($O$1156=1,$O1167/$F$1156,1)</f>
        <v/>
      </c>
      <c r="T1167" s="95">
        <f>IF($G1167&lt;nr_MStartP,$S1167,$T1155*(1+IF($G1167&lt;nr_MStartP1,$M$1156,$N$1156)))</f>
        <v/>
      </c>
      <c r="U1167" s="95">
        <f>IF($L$1156,$T1167,$N1167)</f>
        <v/>
      </c>
    </row>
    <row r="1168">
      <c r="A1168" s="90" t="n">
        <v>10</v>
      </c>
      <c r="B1168" s="91">
        <f>EDATE($B1167,1)</f>
        <v/>
      </c>
      <c r="C1168" s="92">
        <f>EOMONTH($B1168,0)</f>
        <v/>
      </c>
      <c r="D1168" s="87">
        <f>$C1168-$B1168+1</f>
        <v/>
      </c>
      <c r="E1168" s="87">
        <f>MONTH($B1168)</f>
        <v/>
      </c>
      <c r="F1168" s="93">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$N1168*IF($O$1156=1,$O1168/$F$1156,1)</f>
        <v/>
      </c>
      <c r="T1168" s="95">
        <f>IF($G1168&lt;nr_MStartP,$S1168,$T1156*(1+IF($G1168&lt;nr_MStartP1,$M$1156,$N$1156)))</f>
        <v/>
      </c>
      <c r="U1168" s="95">
        <f>IF($L$1156,$T1168,$N1168)</f>
        <v/>
      </c>
    </row>
    <row r="1169">
      <c r="A1169" s="90" t="n">
        <v>11</v>
      </c>
      <c r="B1169" s="91">
        <f>EDATE($B1168,1)</f>
        <v/>
      </c>
      <c r="C1169" s="92">
        <f>EOMONTH($B1169,0)</f>
        <v/>
      </c>
      <c r="D1169" s="87">
        <f>$C1169-$B1169+1</f>
        <v/>
      </c>
      <c r="E1169" s="87">
        <f>MONTH($B1169)</f>
        <v/>
      </c>
      <c r="F1169" s="93">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$N1169*IF($O$1156=1,$O1169/$F$1156,1)</f>
        <v/>
      </c>
      <c r="T1169" s="95">
        <f>IF($G1169&lt;nr_MStartP,$S1169,$T1157*(1+IF($G1169&lt;nr_MStartP1,$M$1156,$N$1156)))</f>
        <v/>
      </c>
      <c r="U1169" s="95">
        <f>IF($L$1156,$T1169,$N1169)</f>
        <v/>
      </c>
    </row>
    <row r="1170">
      <c r="A1170" s="90" t="n">
        <v>12</v>
      </c>
      <c r="B1170" s="91">
        <f>EDATE($B1169,1)</f>
        <v/>
      </c>
      <c r="C1170" s="92">
        <f>EOMONTH($B1170,0)</f>
        <v/>
      </c>
      <c r="D1170" s="87">
        <f>$C1170-$B1170+1</f>
        <v/>
      </c>
      <c r="E1170" s="87">
        <f>MONTH($B1170)</f>
        <v/>
      </c>
      <c r="F1170" s="93">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$N1170*IF($O$1156=1,$O1170/$F$1156,1)</f>
        <v/>
      </c>
      <c r="T1170" s="95">
        <f>IF($G1170&lt;nr_MStartP,$S1170,$T1158*(1+IF($G1170&lt;nr_MStartP1,$M$1156,$N$1156)))</f>
        <v/>
      </c>
      <c r="U1170" s="95">
        <f>IF($L$1156,$T1170,$N1170)</f>
        <v/>
      </c>
    </row>
    <row r="1171">
      <c r="A1171" s="90" t="n">
        <v>13</v>
      </c>
      <c r="B1171" s="91">
        <f>EDATE($B1170,1)</f>
        <v/>
      </c>
      <c r="C1171" s="92">
        <f>EOMONTH($B1171,0)</f>
        <v/>
      </c>
      <c r="D1171" s="87">
        <f>$C1171-$B1171+1</f>
        <v/>
      </c>
      <c r="E1171" s="87">
        <f>MONTH($B1171)</f>
        <v/>
      </c>
      <c r="F1171" s="93">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$N1171*IF($O$1156=1,$O1171/$F$1156,1)</f>
        <v/>
      </c>
      <c r="T1171" s="95">
        <f>IF($G1171&lt;nr_MStartP,$S1171,$T1159*(1+IF($G1171&lt;nr_MStartP1,$M$1156,$N$1156)))</f>
        <v/>
      </c>
      <c r="U1171" s="95">
        <f>IF($L$1156,$T1171,$N1171)</f>
        <v/>
      </c>
    </row>
    <row r="1172">
      <c r="A1172" s="90" t="n">
        <v>14</v>
      </c>
      <c r="B1172" s="91">
        <f>EDATE($B1171,1)</f>
        <v/>
      </c>
      <c r="C1172" s="92">
        <f>EOMONTH($B1172,0)</f>
        <v/>
      </c>
      <c r="D1172" s="87">
        <f>$C1172-$B1172+1</f>
        <v/>
      </c>
      <c r="E1172" s="87">
        <f>MONTH($B1172)</f>
        <v/>
      </c>
      <c r="F1172" s="93">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$N1172*IF($O$1156=1,$O1172/$F$1156,1)</f>
        <v/>
      </c>
      <c r="T1172" s="95">
        <f>IF($G1172&lt;nr_MStartP,$S1172,$T1160*(1+IF($G1172&lt;nr_MStartP1,$M$1156,$N$1156)))</f>
        <v/>
      </c>
      <c r="U1172" s="95">
        <f>IF($L$1156,$T1172,$N1172)</f>
        <v/>
      </c>
    </row>
    <row r="1173">
      <c r="A1173" s="90" t="n">
        <v>15</v>
      </c>
      <c r="B1173" s="91">
        <f>EDATE($B1172,1)</f>
        <v/>
      </c>
      <c r="C1173" s="92">
        <f>EOMONTH($B1173,0)</f>
        <v/>
      </c>
      <c r="D1173" s="87">
        <f>$C1173-$B1173+1</f>
        <v/>
      </c>
      <c r="E1173" s="87">
        <f>MONTH($B1173)</f>
        <v/>
      </c>
      <c r="F1173" s="93">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$N1173*IF($O$1156=1,$O1173/$F$1156,1)</f>
        <v/>
      </c>
      <c r="T1173" s="95">
        <f>IF($G1173&lt;nr_MStartP,$S1173,$T1161*(1+IF($G1173&lt;nr_MStartP1,$M$1156,$N$1156)))</f>
        <v/>
      </c>
      <c r="U1173" s="95">
        <f>IF($L$1156,$T1173,$N1173)</f>
        <v/>
      </c>
    </row>
    <row r="1174">
      <c r="A1174" s="90" t="n">
        <v>16</v>
      </c>
      <c r="B1174" s="91">
        <f>EDATE($B1173,1)</f>
        <v/>
      </c>
      <c r="C1174" s="92">
        <f>EOMONTH($B1174,0)</f>
        <v/>
      </c>
      <c r="D1174" s="87">
        <f>$C1174-$B1174+1</f>
        <v/>
      </c>
      <c r="E1174" s="87">
        <f>MONTH($B1174)</f>
        <v/>
      </c>
      <c r="F1174" s="93">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$N1174*IF($O$1156=1,$O1174/$F$1156,1)</f>
        <v/>
      </c>
      <c r="T1174" s="95">
        <f>IF($G1174&lt;nr_MStartP,$S1174,$T1162*(1+IF($G1174&lt;nr_MStartP1,$M$1156,$N$1156)))</f>
        <v/>
      </c>
      <c r="U1174" s="95">
        <f>IF($L$1156,$T1174,$N1174)</f>
        <v/>
      </c>
    </row>
    <row r="1175">
      <c r="A1175" s="90" t="n">
        <v>17</v>
      </c>
      <c r="B1175" s="91">
        <f>EDATE($B1174,1)</f>
        <v/>
      </c>
      <c r="C1175" s="92">
        <f>EOMONTH($B1175,0)</f>
        <v/>
      </c>
      <c r="D1175" s="87">
        <f>$C1175-$B1175+1</f>
        <v/>
      </c>
      <c r="E1175" s="87">
        <f>MONTH($B1175)</f>
        <v/>
      </c>
      <c r="F1175" s="93">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$N1175*IF($O$1156=1,$O1175/$F$1156,1)</f>
        <v/>
      </c>
      <c r="T1175" s="95">
        <f>IF($G1175&lt;nr_MStartP,$S1175,$T1163*(1+IF($G1175&lt;nr_MStartP1,$M$1156,$N$1156)))</f>
        <v/>
      </c>
      <c r="U1175" s="95">
        <f>IF($L$1156,$T1175,$N1175)</f>
        <v/>
      </c>
    </row>
    <row r="1176">
      <c r="A1176" s="90" t="n">
        <v>18</v>
      </c>
      <c r="B1176" s="91">
        <f>EDATE($B1175,1)</f>
        <v/>
      </c>
      <c r="C1176" s="92">
        <f>EOMONTH($B1176,0)</f>
        <v/>
      </c>
      <c r="D1176" s="87">
        <f>$C1176-$B1176+1</f>
        <v/>
      </c>
      <c r="E1176" s="87">
        <f>MONTH($B1176)</f>
        <v/>
      </c>
      <c r="F1176" s="93">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$N1176*IF($O$1156=1,$O1176/$F$1156,1)</f>
        <v/>
      </c>
      <c r="T1176" s="95">
        <f>IF($G1176&lt;nr_MStartP,$S1176,$T1164*(1+IF($G1176&lt;nr_MStartP1,$M$1156,$N$1156)))</f>
        <v/>
      </c>
      <c r="U1176" s="95">
        <f>IF($L$1156,$T1176,$N1176)</f>
        <v/>
      </c>
    </row>
    <row r="1177">
      <c r="A1177" s="90" t="n">
        <v>19</v>
      </c>
      <c r="B1177" s="91">
        <f>EDATE($B1176,1)</f>
        <v/>
      </c>
      <c r="C1177" s="92">
        <f>EOMONTH($B1177,0)</f>
        <v/>
      </c>
      <c r="D1177" s="87">
        <f>$C1177-$B1177+1</f>
        <v/>
      </c>
      <c r="E1177" s="87">
        <f>MONTH($B1177)</f>
        <v/>
      </c>
      <c r="F1177" s="93">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$N1177*IF($O$1156=1,$O1177/$F$1156,1)</f>
        <v/>
      </c>
      <c r="T1177" s="95">
        <f>IF($G1177&lt;nr_MStartP,$S1177,$T1165*(1+IF($G1177&lt;nr_MStartP1,$M$1156,$N$1156)))</f>
        <v/>
      </c>
      <c r="U1177" s="95">
        <f>IF($L$1156,$T1177,$N1177)</f>
        <v/>
      </c>
    </row>
    <row r="1178">
      <c r="A1178" s="90" t="n">
        <v>20</v>
      </c>
      <c r="B1178" s="91">
        <f>EDATE($B1177,1)</f>
        <v/>
      </c>
      <c r="C1178" s="92">
        <f>EOMONTH($B1178,0)</f>
        <v/>
      </c>
      <c r="D1178" s="87">
        <f>$C1178-$B1178+1</f>
        <v/>
      </c>
      <c r="E1178" s="87">
        <f>MONTH($B1178)</f>
        <v/>
      </c>
      <c r="F1178" s="93">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$N1178*IF($O$1156=1,$O1178/$F$1156,1)</f>
        <v/>
      </c>
      <c r="T1178" s="95">
        <f>IF($G1178&lt;nr_MStartP,$S1178,$T1166*(1+IF($G1178&lt;nr_MStartP1,$M$1156,$N$1156)))</f>
        <v/>
      </c>
      <c r="U1178" s="95">
        <f>IF($L$1156,$T1178,$N1178)</f>
        <v/>
      </c>
    </row>
    <row r="1179">
      <c r="A1179" s="90" t="n">
        <v>21</v>
      </c>
      <c r="B1179" s="91">
        <f>EDATE($B1178,1)</f>
        <v/>
      </c>
      <c r="C1179" s="92">
        <f>EOMONTH($B1179,0)</f>
        <v/>
      </c>
      <c r="D1179" s="87">
        <f>$C1179-$B1179+1</f>
        <v/>
      </c>
      <c r="E1179" s="87">
        <f>MONTH($B1179)</f>
        <v/>
      </c>
      <c r="F1179" s="93">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$N1179*IF($O$1156=1,$O1179/$F$1156,1)</f>
        <v/>
      </c>
      <c r="T1179" s="95">
        <f>IF($G1179&lt;nr_MStartP,$S1179,$T1167*(1+IF($G1179&lt;nr_MStartP1,$M$1156,$N$1156)))</f>
        <v/>
      </c>
      <c r="U1179" s="95">
        <f>IF($L$1156,$T1179,$N1179)</f>
        <v/>
      </c>
    </row>
    <row r="1180">
      <c r="A1180" s="90" t="n">
        <v>22</v>
      </c>
      <c r="B1180" s="91">
        <f>EDATE($B1179,1)</f>
        <v/>
      </c>
      <c r="C1180" s="92">
        <f>EOMONTH($B1180,0)</f>
        <v/>
      </c>
      <c r="D1180" s="87">
        <f>$C1180-$B1180+1</f>
        <v/>
      </c>
      <c r="E1180" s="87">
        <f>MONTH($B1180)</f>
        <v/>
      </c>
      <c r="F1180" s="93">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$N1180*IF($O$1156=1,$O1180/$F$1156,1)</f>
        <v/>
      </c>
      <c r="T1180" s="95">
        <f>IF($G1180&lt;nr_MStartP,$S1180,$T1168*(1+IF($G1180&lt;nr_MStartP1,$M$1156,$N$1156)))</f>
        <v/>
      </c>
      <c r="U1180" s="95">
        <f>IF($L$1156,$T1180,$N1180)</f>
        <v/>
      </c>
    </row>
    <row r="1181">
      <c r="A1181" s="90" t="n">
        <v>23</v>
      </c>
      <c r="B1181" s="91">
        <f>EDATE($B1180,1)</f>
        <v/>
      </c>
      <c r="C1181" s="92">
        <f>EOMONTH($B1181,0)</f>
        <v/>
      </c>
      <c r="D1181" s="87">
        <f>$C1181-$B1181+1</f>
        <v/>
      </c>
      <c r="E1181" s="87">
        <f>MONTH($B1181)</f>
        <v/>
      </c>
      <c r="F1181" s="93">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$N1181*IF($O$1156=1,$O1181/$F$1156,1)</f>
        <v/>
      </c>
      <c r="T1181" s="95">
        <f>IF($G1181&lt;nr_MStartP,$S1181,$T1169*(1+IF($G1181&lt;nr_MStartP1,$M$1156,$N$1156)))</f>
        <v/>
      </c>
      <c r="U1181" s="95">
        <f>IF($L$1156,$T1181,$N1181)</f>
        <v/>
      </c>
    </row>
    <row r="1182">
      <c r="A1182" s="90" t="n">
        <v>24</v>
      </c>
      <c r="B1182" s="91">
        <f>EDATE($B1181,1)</f>
        <v/>
      </c>
      <c r="C1182" s="92">
        <f>EOMONTH($B1182,0)</f>
        <v/>
      </c>
      <c r="D1182" s="87">
        <f>$C1182-$B1182+1</f>
        <v/>
      </c>
      <c r="E1182" s="87">
        <f>MONTH($B1182)</f>
        <v/>
      </c>
      <c r="F1182" s="93">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$N1182*IF($O$1156=1,$O1182/$F$1156,1)</f>
        <v/>
      </c>
      <c r="T1182" s="95">
        <f>IF($G1182&lt;nr_MStartP,$S1182,$T1170*(1+IF($G1182&lt;nr_MStartP1,$M$1156,$N$1156)))</f>
        <v/>
      </c>
      <c r="U1182" s="95">
        <f>IF($L$1156,$T1182,$N1182)</f>
        <v/>
      </c>
    </row>
    <row r="1183">
      <c r="A1183" s="90" t="n">
        <v>25</v>
      </c>
      <c r="B1183" s="91">
        <f>EDATE($B1182,1)</f>
        <v/>
      </c>
      <c r="C1183" s="92">
        <f>EOMONTH($B1183,0)</f>
        <v/>
      </c>
      <c r="D1183" s="87">
        <f>$C1183-$B1183+1</f>
        <v/>
      </c>
      <c r="E1183" s="87">
        <f>MONTH($B1183)</f>
        <v/>
      </c>
      <c r="F1183" s="93">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$N1183*IF($O$1156=1,$O1183/$F$1156,1)</f>
        <v/>
      </c>
      <c r="T1183" s="95">
        <f>IF($G1183&lt;nr_MStartP,$S1183,$T1171*(1+IF($G1183&lt;nr_MStartP1,$M$1156,$N$1156)))</f>
        <v/>
      </c>
      <c r="U1183" s="95">
        <f>IF($L$1156,$T1183,$N1183)</f>
        <v/>
      </c>
    </row>
    <row r="1184">
      <c r="A1184" s="90" t="n">
        <v>26</v>
      </c>
      <c r="B1184" s="91">
        <f>EDATE($B1183,1)</f>
        <v/>
      </c>
      <c r="C1184" s="92">
        <f>EOMONTH($B1184,0)</f>
        <v/>
      </c>
      <c r="D1184" s="87">
        <f>$C1184-$B1184+1</f>
        <v/>
      </c>
      <c r="E1184" s="87">
        <f>MONTH($B1184)</f>
        <v/>
      </c>
      <c r="F1184" s="93">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$N1184*IF($O$1156=1,$O1184/$F$1156,1)</f>
        <v/>
      </c>
      <c r="T1184" s="95">
        <f>IF($G1184&lt;nr_MStartP,$S1184,$T1172*(1+IF($G1184&lt;nr_MStartP1,$M$1156,$N$1156)))</f>
        <v/>
      </c>
      <c r="U1184" s="95">
        <f>IF($L$1156,$T1184,$N1184)</f>
        <v/>
      </c>
    </row>
    <row r="1185">
      <c r="A1185" s="90" t="n">
        <v>27</v>
      </c>
      <c r="B1185" s="91">
        <f>EDATE($B1184,1)</f>
        <v/>
      </c>
      <c r="C1185" s="92">
        <f>EOMONTH($B1185,0)</f>
        <v/>
      </c>
      <c r="D1185" s="87">
        <f>$C1185-$B1185+1</f>
        <v/>
      </c>
      <c r="E1185" s="87">
        <f>MONTH($B1185)</f>
        <v/>
      </c>
      <c r="F1185" s="93">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$N1185*IF($O$1156=1,$O1185/$F$1156,1)</f>
        <v/>
      </c>
      <c r="T1185" s="95">
        <f>IF($G1185&lt;nr_MStartP,$S1185,$T1173*(1+IF($G1185&lt;nr_MStartP1,$M$1156,$N$1156)))</f>
        <v/>
      </c>
      <c r="U1185" s="95">
        <f>IF($L$1156,$T1185,$N1185)</f>
        <v/>
      </c>
    </row>
    <row r="1186">
      <c r="A1186" s="90" t="n">
        <v>28</v>
      </c>
      <c r="B1186" s="91">
        <f>EDATE($B1185,1)</f>
        <v/>
      </c>
      <c r="C1186" s="92">
        <f>EOMONTH($B1186,0)</f>
        <v/>
      </c>
      <c r="D1186" s="87">
        <f>$C1186-$B1186+1</f>
        <v/>
      </c>
      <c r="E1186" s="87">
        <f>MONTH($B1186)</f>
        <v/>
      </c>
      <c r="F1186" s="93">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$N1186*IF($O$1156=1,$O1186/$F$1156,1)</f>
        <v/>
      </c>
      <c r="T1186" s="95">
        <f>IF($G1186&lt;nr_MStartP,$S1186,$T1174*(1+IF($G1186&lt;nr_MStartP1,$M$1156,$N$1156)))</f>
        <v/>
      </c>
      <c r="U1186" s="95">
        <f>IF($L$1156,$T1186,$N1186)</f>
        <v/>
      </c>
    </row>
    <row r="1187">
      <c r="A1187" s="90" t="n">
        <v>29</v>
      </c>
      <c r="B1187" s="91">
        <f>EDATE($B1186,1)</f>
        <v/>
      </c>
      <c r="C1187" s="92">
        <f>EOMONTH($B1187,0)</f>
        <v/>
      </c>
      <c r="D1187" s="87">
        <f>$C1187-$B1187+1</f>
        <v/>
      </c>
      <c r="E1187" s="87">
        <f>MONTH($B1187)</f>
        <v/>
      </c>
      <c r="F1187" s="93">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$N1187*IF($O$1156=1,$O1187/$F$1156,1)</f>
        <v/>
      </c>
      <c r="T1187" s="95">
        <f>IF($G1187&lt;nr_MStartP,$S1187,$T1175*(1+IF($G1187&lt;nr_MStartP1,$M$1156,$N$1156)))</f>
        <v/>
      </c>
      <c r="U1187" s="95">
        <f>IF($L$1156,$T1187,$N1187)</f>
        <v/>
      </c>
    </row>
    <row r="1188">
      <c r="A1188" s="90" t="n">
        <v>30</v>
      </c>
      <c r="B1188" s="91">
        <f>EDATE($B1187,1)</f>
        <v/>
      </c>
      <c r="C1188" s="92">
        <f>EOMONTH($B1188,0)</f>
        <v/>
      </c>
      <c r="D1188" s="87">
        <f>$C1188-$B1188+1</f>
        <v/>
      </c>
      <c r="E1188" s="87">
        <f>MONTH($B1188)</f>
        <v/>
      </c>
      <c r="F1188" s="93">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$N1188*IF($O$1156=1,$O1188/$F$1156,1)</f>
        <v/>
      </c>
      <c r="T1188" s="95">
        <f>IF($G1188&lt;nr_MStartP,$S1188,$T1176*(1+IF($G1188&lt;nr_MStartP1,$M$1156,$N$1156)))</f>
        <v/>
      </c>
      <c r="U1188" s="95">
        <f>IF($L$1156,$T1188,$N1188)</f>
        <v/>
      </c>
    </row>
    <row r="1189">
      <c r="A1189" s="90" t="n">
        <v>31</v>
      </c>
      <c r="B1189" s="91">
        <f>EDATE($B1188,1)</f>
        <v/>
      </c>
      <c r="C1189" s="92">
        <f>EOMONTH($B1189,0)</f>
        <v/>
      </c>
      <c r="D1189" s="87">
        <f>$C1189-$B1189+1</f>
        <v/>
      </c>
      <c r="E1189" s="87">
        <f>MONTH($B1189)</f>
        <v/>
      </c>
      <c r="F1189" s="93">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$N1189*IF($O$1156=1,$O1189/$F$1156,1)</f>
        <v/>
      </c>
      <c r="T1189" s="95">
        <f>IF($G1189&lt;nr_MStartP,$S1189,$T1177*(1+IF($G1189&lt;nr_MStartP1,$M$1156,$N$1156)))</f>
        <v/>
      </c>
      <c r="U1189" s="95">
        <f>IF($L$1156,$T1189,$N1189)</f>
        <v/>
      </c>
    </row>
    <row r="1190">
      <c r="A1190" s="90" t="n">
        <v>32</v>
      </c>
      <c r="B1190" s="91">
        <f>EDATE($B1189,1)</f>
        <v/>
      </c>
      <c r="C1190" s="92">
        <f>EOMONTH($B1190,0)</f>
        <v/>
      </c>
      <c r="D1190" s="87">
        <f>$C1190-$B1190+1</f>
        <v/>
      </c>
      <c r="E1190" s="87">
        <f>MONTH($B1190)</f>
        <v/>
      </c>
      <c r="F1190" s="93">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$N1190*IF($O$1156=1,$O1190/$F$1156,1)</f>
        <v/>
      </c>
      <c r="T1190" s="95">
        <f>IF($G1190&lt;nr_MStartP,$S1190,$T1178*(1+IF($G1190&lt;nr_MStartP1,$M$1156,$N$1156)))</f>
        <v/>
      </c>
      <c r="U1190" s="95">
        <f>IF($L$1156,$T1190,$N1190)</f>
        <v/>
      </c>
    </row>
    <row r="1191">
      <c r="A1191" s="90" t="n">
        <v>33</v>
      </c>
      <c r="B1191" s="91">
        <f>EDATE($B1190,1)</f>
        <v/>
      </c>
      <c r="C1191" s="92">
        <f>EOMONTH($B1191,0)</f>
        <v/>
      </c>
      <c r="D1191" s="87">
        <f>$C1191-$B1191+1</f>
        <v/>
      </c>
      <c r="E1191" s="87">
        <f>MONTH($B1191)</f>
        <v/>
      </c>
      <c r="F1191" s="93">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$N1191*IF($O$1156=1,$O1191/$F$1156,1)</f>
        <v/>
      </c>
      <c r="T1191" s="95">
        <f>IF($G1191&lt;nr_MStartP,$S1191,$T1179*(1+IF($G1191&lt;nr_MStartP1,$M$1156,$N$1156)))</f>
        <v/>
      </c>
      <c r="U1191" s="95">
        <f>IF($L$1156,$T1191,$N1191)</f>
        <v/>
      </c>
    </row>
    <row r="1192">
      <c r="A1192" s="90" t="n">
        <v>34</v>
      </c>
      <c r="B1192" s="91">
        <f>EDATE($B1191,1)</f>
        <v/>
      </c>
      <c r="C1192" s="92">
        <f>EOMONTH($B1192,0)</f>
        <v/>
      </c>
      <c r="D1192" s="87">
        <f>$C1192-$B1192+1</f>
        <v/>
      </c>
      <c r="E1192" s="87">
        <f>MONTH($B1192)</f>
        <v/>
      </c>
      <c r="F1192" s="93">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$N1192*IF($O$1156=1,$O1192/$F$1156,1)</f>
        <v/>
      </c>
      <c r="T1192" s="95">
        <f>IF($G1192&lt;nr_MStartP,$S1192,$T1180*(1+IF($G1192&lt;nr_MStartP1,$M$1156,$N$1156)))</f>
        <v/>
      </c>
      <c r="U1192" s="95">
        <f>IF($L$1156,$T1192,$N1192)</f>
        <v/>
      </c>
    </row>
    <row r="1193">
      <c r="A1193" s="90" t="n">
        <v>35</v>
      </c>
      <c r="B1193" s="91">
        <f>EDATE($B1192,1)</f>
        <v/>
      </c>
      <c r="C1193" s="92">
        <f>EOMONTH($B1193,0)</f>
        <v/>
      </c>
      <c r="D1193" s="87">
        <f>$C1193-$B1193+1</f>
        <v/>
      </c>
      <c r="E1193" s="87">
        <f>MONTH($B1193)</f>
        <v/>
      </c>
      <c r="F1193" s="93">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$N1193*IF($O$1156=1,$O1193/$F$1156,1)</f>
        <v/>
      </c>
      <c r="T1193" s="95">
        <f>IF($G1193&lt;nr_MStartP,$S1193,$T1181*(1+IF($G1193&lt;nr_MStartP1,$M$1156,$N$1156)))</f>
        <v/>
      </c>
      <c r="U1193" s="95">
        <f>IF($L$1156,$T1193,$N1193)</f>
        <v/>
      </c>
    </row>
    <row r="1194">
      <c r="A1194" s="90" t="n">
        <v>36</v>
      </c>
      <c r="B1194" s="91">
        <f>EDATE($B1193,1)</f>
        <v/>
      </c>
      <c r="C1194" s="92">
        <f>EOMONTH($B1194,0)</f>
        <v/>
      </c>
      <c r="D1194" s="87">
        <f>$C1194-$B1194+1</f>
        <v/>
      </c>
      <c r="E1194" s="87">
        <f>MONTH($B1194)</f>
        <v/>
      </c>
      <c r="F1194" s="93">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$N1194*IF($O$1156=1,$O1194/$F$1156,1)</f>
        <v/>
      </c>
      <c r="T1194" s="95">
        <f>IF($G1194&lt;nr_MStartP,$S1194,$T1182*(1+IF($G1194&lt;nr_MStartP1,$M$1156,$N$1156)))</f>
        <v/>
      </c>
      <c r="U1194" s="95">
        <f>IF($L$1156,$T1194,$N1194)</f>
        <v/>
      </c>
    </row>
    <row r="1195">
      <c r="A1195" s="90" t="n">
        <v>37</v>
      </c>
      <c r="B1195" s="91">
        <f>EDATE($B1194,1)</f>
        <v/>
      </c>
      <c r="C1195" s="92">
        <f>EOMONTH($B1195,0)</f>
        <v/>
      </c>
      <c r="D1195" s="87">
        <f>$C1195-$B1195+1</f>
        <v/>
      </c>
      <c r="E1195" s="87">
        <f>MONTH($B1195)</f>
        <v/>
      </c>
      <c r="F1195" s="93">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$N1195*IF($O$1156=1,$O1195/$F$1156,1)</f>
        <v/>
      </c>
      <c r="T1195" s="95">
        <f>IF($G1195&lt;nr_MStartP,$S1195,$T1183*(1+IF($G1195&lt;nr_MStartP1,$M$1156,$N$1156)))</f>
        <v/>
      </c>
      <c r="U1195" s="95">
        <f>IF($L$1156,$T1195,$N1195)</f>
        <v/>
      </c>
    </row>
    <row r="1196">
      <c r="A1196" s="90" t="n">
        <v>38</v>
      </c>
      <c r="B1196" s="91">
        <f>EDATE($B1195,1)</f>
        <v/>
      </c>
      <c r="C1196" s="92">
        <f>EOMONTH($B1196,0)</f>
        <v/>
      </c>
      <c r="D1196" s="87">
        <f>$C1196-$B1196+1</f>
        <v/>
      </c>
      <c r="E1196" s="87">
        <f>MONTH($B1196)</f>
        <v/>
      </c>
      <c r="F1196" s="93">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$N1196*IF($O$1156=1,$O1196/$F$1156,1)</f>
        <v/>
      </c>
      <c r="T1196" s="95">
        <f>IF($G1196&lt;nr_MStartP,$S1196,$T1184*(1+IF($G1196&lt;nr_MStartP1,$M$1156,$N$1156)))</f>
        <v/>
      </c>
      <c r="U1196" s="95">
        <f>IF($L$1156,$T1196,$N1196)</f>
        <v/>
      </c>
    </row>
    <row r="1197">
      <c r="A1197" s="90" t="n">
        <v>39</v>
      </c>
      <c r="B1197" s="91">
        <f>EDATE($B1196,1)</f>
        <v/>
      </c>
      <c r="C1197" s="92">
        <f>EOMONTH($B1197,0)</f>
        <v/>
      </c>
      <c r="D1197" s="87">
        <f>$C1197-$B1197+1</f>
        <v/>
      </c>
      <c r="E1197" s="87">
        <f>MONTH($B1197)</f>
        <v/>
      </c>
      <c r="F1197" s="93">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$N1197*IF($O$1156=1,$O1197/$F$1156,1)</f>
        <v/>
      </c>
      <c r="T1197" s="95">
        <f>IF($G1197&lt;nr_MStartP,$S1197,$T1185*(1+IF($G1197&lt;nr_MStartP1,$M$1156,$N$1156)))</f>
        <v/>
      </c>
      <c r="U1197" s="95">
        <f>IF($L$1156,$T1197,$N1197)</f>
        <v/>
      </c>
    </row>
    <row r="1198">
      <c r="A1198" s="90" t="n">
        <v>40</v>
      </c>
      <c r="B1198" s="91">
        <f>EDATE($B1197,1)</f>
        <v/>
      </c>
      <c r="C1198" s="92">
        <f>EOMONTH($B1198,0)</f>
        <v/>
      </c>
      <c r="D1198" s="87">
        <f>$C1198-$B1198+1</f>
        <v/>
      </c>
      <c r="E1198" s="87">
        <f>MONTH($B1198)</f>
        <v/>
      </c>
      <c r="F1198" s="93">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$N1198*IF($O$1156=1,$O1198/$F$1156,1)</f>
        <v/>
      </c>
      <c r="T1198" s="95">
        <f>IF($G1198&lt;nr_MStartP,$S1198,$T1186*(1+IF($G1198&lt;nr_MStartP1,$M$1156,$N$1156)))</f>
        <v/>
      </c>
      <c r="U1198" s="95">
        <f>IF($L$1156,$T1198,$N1198)</f>
        <v/>
      </c>
    </row>
    <row r="1199">
      <c r="A1199" s="90" t="n">
        <v>41</v>
      </c>
      <c r="B1199" s="91">
        <f>EDATE($B1198,1)</f>
        <v/>
      </c>
      <c r="C1199" s="92">
        <f>EOMONTH($B1199,0)</f>
        <v/>
      </c>
      <c r="D1199" s="87">
        <f>$C1199-$B1199+1</f>
        <v/>
      </c>
      <c r="E1199" s="87">
        <f>MONTH($B1199)</f>
        <v/>
      </c>
      <c r="F1199" s="93">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$N1199*IF($O$1156=1,$O1199/$F$1156,1)</f>
        <v/>
      </c>
      <c r="T1199" s="95">
        <f>IF($G1199&lt;nr_MStartP,$S1199,$T1187*(1+IF($G1199&lt;nr_MStartP1,$M$1156,$N$1156)))</f>
        <v/>
      </c>
      <c r="U1199" s="95">
        <f>IF($L$1156,$T1199,$N1199)</f>
        <v/>
      </c>
    </row>
    <row r="1200">
      <c r="A1200" s="90" t="n">
        <v>42</v>
      </c>
      <c r="B1200" s="91">
        <f>EDATE($B1199,1)</f>
        <v/>
      </c>
      <c r="C1200" s="92">
        <f>EOMONTH($B1200,0)</f>
        <v/>
      </c>
      <c r="D1200" s="87">
        <f>$C1200-$B1200+1</f>
        <v/>
      </c>
      <c r="E1200" s="87">
        <f>MONTH($B1200)</f>
        <v/>
      </c>
      <c r="F1200" s="93">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$N1200*IF($O$1156=1,$O1200/$F$1156,1)</f>
        <v/>
      </c>
      <c r="T1200" s="95">
        <f>IF($G1200&lt;nr_MStartP,$S1200,$T1188*(1+IF($G1200&lt;nr_MStartP1,$M$1156,$N$1156)))</f>
        <v/>
      </c>
      <c r="U1200" s="95">
        <f>IF($L$1156,$T1200,$N1200)</f>
        <v/>
      </c>
    </row>
    <row r="1201">
      <c r="A1201" s="90" t="n">
        <v>43</v>
      </c>
      <c r="B1201" s="91">
        <f>EDATE($B1200,1)</f>
        <v/>
      </c>
      <c r="C1201" s="92">
        <f>EOMONTH($B1201,0)</f>
        <v/>
      </c>
      <c r="D1201" s="87">
        <f>$C1201-$B1201+1</f>
        <v/>
      </c>
      <c r="E1201" s="87">
        <f>MONTH($B1201)</f>
        <v/>
      </c>
      <c r="F1201" s="93">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$N1201*IF($O$1156=1,$O1201/$F$1156,1)</f>
        <v/>
      </c>
      <c r="T1201" s="95">
        <f>IF($G1201&lt;nr_MStartP,$S1201,$T1189*(1+IF($G1201&lt;nr_MStartP1,$M$1156,$N$1156)))</f>
        <v/>
      </c>
      <c r="U1201" s="95">
        <f>IF($L$1156,$T1201,$N1201)</f>
        <v/>
      </c>
    </row>
    <row r="1202">
      <c r="A1202" s="90" t="n">
        <v>44</v>
      </c>
      <c r="B1202" s="91">
        <f>EDATE($B1201,1)</f>
        <v/>
      </c>
      <c r="C1202" s="92">
        <f>EOMONTH($B1202,0)</f>
        <v/>
      </c>
      <c r="D1202" s="87">
        <f>$C1202-$B1202+1</f>
        <v/>
      </c>
      <c r="E1202" s="87">
        <f>MONTH($B1202)</f>
        <v/>
      </c>
      <c r="F1202" s="93">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$N1202*IF($O$1156=1,$O1202/$F$1156,1)</f>
        <v/>
      </c>
      <c r="T1202" s="95">
        <f>IF($G1202&lt;nr_MStartP,$S1202,$T1190*(1+IF($G1202&lt;nr_MStartP1,$M$1156,$N$1156)))</f>
        <v/>
      </c>
      <c r="U1202" s="95">
        <f>IF($L$1156,$T1202,$N1202)</f>
        <v/>
      </c>
    </row>
    <row r="1203">
      <c r="A1203" s="90" t="n">
        <v>45</v>
      </c>
      <c r="B1203" s="91">
        <f>EDATE($B1202,1)</f>
        <v/>
      </c>
      <c r="C1203" s="92">
        <f>EOMONTH($B1203,0)</f>
        <v/>
      </c>
      <c r="D1203" s="87">
        <f>$C1203-$B1203+1</f>
        <v/>
      </c>
      <c r="E1203" s="87">
        <f>MONTH($B1203)</f>
        <v/>
      </c>
      <c r="F1203" s="93">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$N1203*IF($O$1156=1,$O1203/$F$1156,1)</f>
        <v/>
      </c>
      <c r="T1203" s="95">
        <f>IF($G1203&lt;nr_MStartP,$S1203,$T1191*(1+IF($G1203&lt;nr_MStartP1,$M$1156,$N$1156)))</f>
        <v/>
      </c>
      <c r="U1203" s="95">
        <f>IF($L$1156,$T1203,$N1203)</f>
        <v/>
      </c>
    </row>
    <row r="1204">
      <c r="A1204" s="90" t="n">
        <v>46</v>
      </c>
      <c r="B1204" s="91">
        <f>EDATE($B1203,1)</f>
        <v/>
      </c>
      <c r="C1204" s="92">
        <f>EOMONTH($B1204,0)</f>
        <v/>
      </c>
      <c r="D1204" s="87">
        <f>$C1204-$B1204+1</f>
        <v/>
      </c>
      <c r="E1204" s="87">
        <f>MONTH($B1204)</f>
        <v/>
      </c>
      <c r="F1204" s="93">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$N1204*IF($O$1156=1,$O1204/$F$1156,1)</f>
        <v/>
      </c>
      <c r="T1204" s="95">
        <f>IF($G1204&lt;nr_MStartP,$S1204,$T1192*(1+IF($G1204&lt;nr_MStartP1,$M$1156,$N$1156)))</f>
        <v/>
      </c>
      <c r="U1204" s="95">
        <f>IF($L$1156,$T1204,$N1204)</f>
        <v/>
      </c>
    </row>
    <row r="1205">
      <c r="A1205" s="90" t="n">
        <v>47</v>
      </c>
      <c r="B1205" s="91">
        <f>EDATE($B1204,1)</f>
        <v/>
      </c>
      <c r="C1205" s="92">
        <f>EOMONTH($B1205,0)</f>
        <v/>
      </c>
      <c r="D1205" s="87">
        <f>$C1205-$B1205+1</f>
        <v/>
      </c>
      <c r="E1205" s="87">
        <f>MONTH($B1205)</f>
        <v/>
      </c>
      <c r="F1205" s="93">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$N1205*IF($O$1156=1,$O1205/$F$1156,1)</f>
        <v/>
      </c>
      <c r="T1205" s="95">
        <f>IF($G1205&lt;nr_MStartP,$S1205,$T1193*(1+IF($G1205&lt;nr_MStartP1,$M$1156,$N$1156)))</f>
        <v/>
      </c>
      <c r="U1205" s="95">
        <f>IF($L$1156,$T1205,$N1205)</f>
        <v/>
      </c>
    </row>
    <row r="1206">
      <c r="A1206" s="90" t="n">
        <v>48</v>
      </c>
      <c r="B1206" s="91">
        <f>EDATE($B1205,1)</f>
        <v/>
      </c>
      <c r="C1206" s="92">
        <f>EOMONTH($B1206,0)</f>
        <v/>
      </c>
      <c r="D1206" s="87">
        <f>$C1206-$B1206+1</f>
        <v/>
      </c>
      <c r="E1206" s="87">
        <f>MONTH($B1206)</f>
        <v/>
      </c>
      <c r="F1206" s="93">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$N1206*IF($O$1156=1,$O1206/$F$1156,1)</f>
        <v/>
      </c>
      <c r="T1206" s="95">
        <f>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04">
        <f>SUMPRODUCT($H$1159:$H$1206,$Q$1159:$Q$1206,$O$1159:$O$1206)/SUMPRODUCT($H$1159:$H$1206,$Q$1159:$Q$1206)</f>
        <v/>
      </c>
      <c r="G1207" s="20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04">
        <f>IF(N(INDEX(lr_mind,22))=0,1,INDEX(lr_mind,22))</f>
        <v/>
      </c>
      <c r="G1210" s="204">
        <f>IF(N(INDEX(lr_m0,22))=0,1,INDEX(lr_m0,22))</f>
        <v/>
      </c>
      <c r="H1210" s="73">
        <f>IF(N(INDEX(lr_m0asof,22))=0,DATE(nr_PlanYear-1,10,1),INDEX(lr_m0asof,22))</f>
        <v/>
      </c>
      <c r="I1210" s="204">
        <f>IF(N(INDEX(lr_m1,22))=0,1,INDEX(lr_m1,22))</f>
        <v/>
      </c>
      <c r="J1210" s="204">
        <f>INDEX(lr_mprior,22)</f>
        <v/>
      </c>
      <c r="K1210" s="20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93">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$N1213*IF($O$1210=1,$O1213/$F$1210,1)</f>
        <v/>
      </c>
      <c r="T1213" s="95">
        <f>IF($G1213&lt;nr_MStartP,$S1213,$T1201*(1+IF($G1213&lt;nr_MStartP1,$M$1210,$N$1210)))</f>
        <v/>
      </c>
      <c r="U1213" s="95">
        <f>IF($L$1210,$T1213,$N1213)</f>
        <v/>
      </c>
    </row>
    <row r="1214">
      <c r="A1214" s="90" t="n">
        <v>2</v>
      </c>
      <c r="B1214" s="91">
        <f>EDATE($B1213,1)</f>
        <v/>
      </c>
      <c r="C1214" s="92">
        <f>EOMONTH($B1214,0)</f>
        <v/>
      </c>
      <c r="D1214" s="87">
        <f>$C1214-$B1214+1</f>
        <v/>
      </c>
      <c r="E1214" s="87">
        <f>MONTH($B1214)</f>
        <v/>
      </c>
      <c r="F1214" s="93">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$N1214*IF($O$1210=1,$O1214/$F$1210,1)</f>
        <v/>
      </c>
      <c r="T1214" s="95">
        <f>IF($G1214&lt;nr_MStartP,$S1214,$T1202*(1+IF($G1214&lt;nr_MStartP1,$M$1210,$N$1210)))</f>
        <v/>
      </c>
      <c r="U1214" s="95">
        <f>IF($L$1210,$T1214,$N1214)</f>
        <v/>
      </c>
    </row>
    <row r="1215">
      <c r="A1215" s="90" t="n">
        <v>3</v>
      </c>
      <c r="B1215" s="91">
        <f>EDATE($B1214,1)</f>
        <v/>
      </c>
      <c r="C1215" s="92">
        <f>EOMONTH($B1215,0)</f>
        <v/>
      </c>
      <c r="D1215" s="87">
        <f>$C1215-$B1215+1</f>
        <v/>
      </c>
      <c r="E1215" s="87">
        <f>MONTH($B1215)</f>
        <v/>
      </c>
      <c r="F1215" s="93">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$N1215*IF($O$1210=1,$O1215/$F$1210,1)</f>
        <v/>
      </c>
      <c r="T1215" s="95">
        <f>IF($G1215&lt;nr_MStartP,$S1215,$T1203*(1+IF($G1215&lt;nr_MStartP1,$M$1210,$N$1210)))</f>
        <v/>
      </c>
      <c r="U1215" s="95">
        <f>IF($L$1210,$T1215,$N1215)</f>
        <v/>
      </c>
    </row>
    <row r="1216">
      <c r="A1216" s="90" t="n">
        <v>4</v>
      </c>
      <c r="B1216" s="91">
        <f>EDATE($B1215,1)</f>
        <v/>
      </c>
      <c r="C1216" s="92">
        <f>EOMONTH($B1216,0)</f>
        <v/>
      </c>
      <c r="D1216" s="87">
        <f>$C1216-$B1216+1</f>
        <v/>
      </c>
      <c r="E1216" s="87">
        <f>MONTH($B1216)</f>
        <v/>
      </c>
      <c r="F1216" s="93">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$N1216*IF($O$1210=1,$O1216/$F$1210,1)</f>
        <v/>
      </c>
      <c r="T1216" s="95">
        <f>IF($G1216&lt;nr_MStartP,$S1216,$T1204*(1+IF($G1216&lt;nr_MStartP1,$M$1210,$N$1210)))</f>
        <v/>
      </c>
      <c r="U1216" s="95">
        <f>IF($L$1210,$T1216,$N1216)</f>
        <v/>
      </c>
    </row>
    <row r="1217">
      <c r="A1217" s="90" t="n">
        <v>5</v>
      </c>
      <c r="B1217" s="91">
        <f>EDATE($B1216,1)</f>
        <v/>
      </c>
      <c r="C1217" s="92">
        <f>EOMONTH($B1217,0)</f>
        <v/>
      </c>
      <c r="D1217" s="87">
        <f>$C1217-$B1217+1</f>
        <v/>
      </c>
      <c r="E1217" s="87">
        <f>MONTH($B1217)</f>
        <v/>
      </c>
      <c r="F1217" s="93">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$N1217*IF($O$1210=1,$O1217/$F$1210,1)</f>
        <v/>
      </c>
      <c r="T1217" s="95">
        <f>IF($G1217&lt;nr_MStartP,$S1217,$T1205*(1+IF($G1217&lt;nr_MStartP1,$M$1210,$N$1210)))</f>
        <v/>
      </c>
      <c r="U1217" s="95">
        <f>IF($L$1210,$T1217,$N1217)</f>
        <v/>
      </c>
    </row>
    <row r="1218">
      <c r="A1218" s="90" t="n">
        <v>6</v>
      </c>
      <c r="B1218" s="91">
        <f>EDATE($B1217,1)</f>
        <v/>
      </c>
      <c r="C1218" s="92">
        <f>EOMONTH($B1218,0)</f>
        <v/>
      </c>
      <c r="D1218" s="87">
        <f>$C1218-$B1218+1</f>
        <v/>
      </c>
      <c r="E1218" s="87">
        <f>MONTH($B1218)</f>
        <v/>
      </c>
      <c r="F1218" s="93">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$N1218*IF($O$1210=1,$O1218/$F$1210,1)</f>
        <v/>
      </c>
      <c r="T1218" s="95">
        <f>IF($G1218&lt;nr_MStartP,$S1218,$T1206*(1+IF($G1218&lt;nr_MStartP1,$M$1210,$N$1210)))</f>
        <v/>
      </c>
      <c r="U1218" s="95">
        <f>IF($L$1210,$T1218,$N1218)</f>
        <v/>
      </c>
    </row>
    <row r="1219">
      <c r="A1219" s="90" t="n">
        <v>7</v>
      </c>
      <c r="B1219" s="91">
        <f>EDATE($B1218,1)</f>
        <v/>
      </c>
      <c r="C1219" s="92">
        <f>EOMONTH($B1219,0)</f>
        <v/>
      </c>
      <c r="D1219" s="87">
        <f>$C1219-$B1219+1</f>
        <v/>
      </c>
      <c r="E1219" s="87">
        <f>MONTH($B1219)</f>
        <v/>
      </c>
      <c r="F1219" s="93">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$N1219*IF($O$1210=1,$O1219/$F$1210,1)</f>
        <v/>
      </c>
      <c r="T1219" s="95">
        <f>IF($G1219&lt;nr_MStartP,$S1219,$T1207*(1+IF($G1219&lt;nr_MStartP1,$M$1210,$N$1210)))</f>
        <v/>
      </c>
      <c r="U1219" s="95">
        <f>IF($L$1210,$T1219,$N1219)</f>
        <v/>
      </c>
    </row>
    <row r="1220">
      <c r="A1220" s="90" t="n">
        <v>8</v>
      </c>
      <c r="B1220" s="91">
        <f>EDATE($B1219,1)</f>
        <v/>
      </c>
      <c r="C1220" s="92">
        <f>EOMONTH($B1220,0)</f>
        <v/>
      </c>
      <c r="D1220" s="87">
        <f>$C1220-$B1220+1</f>
        <v/>
      </c>
      <c r="E1220" s="87">
        <f>MONTH($B1220)</f>
        <v/>
      </c>
      <c r="F1220" s="93">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$N1220*IF($O$1210=1,$O1220/$F$1210,1)</f>
        <v/>
      </c>
      <c r="T1220" s="95">
        <f>IF($G1220&lt;nr_MStartP,$S1220,$T1208*(1+IF($G1220&lt;nr_MStartP1,$M$1210,$N$1210)))</f>
        <v/>
      </c>
      <c r="U1220" s="95">
        <f>IF($L$1210,$T1220,$N1220)</f>
        <v/>
      </c>
    </row>
    <row r="1221">
      <c r="A1221" s="90" t="n">
        <v>9</v>
      </c>
      <c r="B1221" s="91">
        <f>EDATE($B1220,1)</f>
        <v/>
      </c>
      <c r="C1221" s="92">
        <f>EOMONTH($B1221,0)</f>
        <v/>
      </c>
      <c r="D1221" s="87">
        <f>$C1221-$B1221+1</f>
        <v/>
      </c>
      <c r="E1221" s="87">
        <f>MONTH($B1221)</f>
        <v/>
      </c>
      <c r="F1221" s="93">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$N1221*IF($O$1210=1,$O1221/$F$1210,1)</f>
        <v/>
      </c>
      <c r="T1221" s="95">
        <f>IF($G1221&lt;nr_MStartP,$S1221,$T1209*(1+IF($G1221&lt;nr_MStartP1,$M$1210,$N$1210)))</f>
        <v/>
      </c>
      <c r="U1221" s="95">
        <f>IF($L$1210,$T1221,$N1221)</f>
        <v/>
      </c>
    </row>
    <row r="1222">
      <c r="A1222" s="90" t="n">
        <v>10</v>
      </c>
      <c r="B1222" s="91">
        <f>EDATE($B1221,1)</f>
        <v/>
      </c>
      <c r="C1222" s="92">
        <f>EOMONTH($B1222,0)</f>
        <v/>
      </c>
      <c r="D1222" s="87">
        <f>$C1222-$B1222+1</f>
        <v/>
      </c>
      <c r="E1222" s="87">
        <f>MONTH($B1222)</f>
        <v/>
      </c>
      <c r="F1222" s="93">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$N1222*IF($O$1210=1,$O1222/$F$1210,1)</f>
        <v/>
      </c>
      <c r="T1222" s="95">
        <f>IF($G1222&lt;nr_MStartP,$S1222,$T1210*(1+IF($G1222&lt;nr_MStartP1,$M$1210,$N$1210)))</f>
        <v/>
      </c>
      <c r="U1222" s="95">
        <f>IF($L$1210,$T1222,$N1222)</f>
        <v/>
      </c>
    </row>
    <row r="1223">
      <c r="A1223" s="90" t="n">
        <v>11</v>
      </c>
      <c r="B1223" s="91">
        <f>EDATE($B1222,1)</f>
        <v/>
      </c>
      <c r="C1223" s="92">
        <f>EOMONTH($B1223,0)</f>
        <v/>
      </c>
      <c r="D1223" s="87">
        <f>$C1223-$B1223+1</f>
        <v/>
      </c>
      <c r="E1223" s="87">
        <f>MONTH($B1223)</f>
        <v/>
      </c>
      <c r="F1223" s="93">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$N1223*IF($O$1210=1,$O1223/$F$1210,1)</f>
        <v/>
      </c>
      <c r="T1223" s="95">
        <f>IF($G1223&lt;nr_MStartP,$S1223,$T1211*(1+IF($G1223&lt;nr_MStartP1,$M$1210,$N$1210)))</f>
        <v/>
      </c>
      <c r="U1223" s="95">
        <f>IF($L$1210,$T1223,$N1223)</f>
        <v/>
      </c>
    </row>
    <row r="1224">
      <c r="A1224" s="90" t="n">
        <v>12</v>
      </c>
      <c r="B1224" s="91">
        <f>EDATE($B1223,1)</f>
        <v/>
      </c>
      <c r="C1224" s="92">
        <f>EOMONTH($B1224,0)</f>
        <v/>
      </c>
      <c r="D1224" s="87">
        <f>$C1224-$B1224+1</f>
        <v/>
      </c>
      <c r="E1224" s="87">
        <f>MONTH($B1224)</f>
        <v/>
      </c>
      <c r="F1224" s="93">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$N1224*IF($O$1210=1,$O1224/$F$1210,1)</f>
        <v/>
      </c>
      <c r="T1224" s="95">
        <f>IF($G1224&lt;nr_MStartP,$S1224,$T1212*(1+IF($G1224&lt;nr_MStartP1,$M$1210,$N$1210)))</f>
        <v/>
      </c>
      <c r="U1224" s="95">
        <f>IF($L$1210,$T1224,$N1224)</f>
        <v/>
      </c>
    </row>
    <row r="1225">
      <c r="A1225" s="90" t="n">
        <v>13</v>
      </c>
      <c r="B1225" s="91">
        <f>EDATE($B1224,1)</f>
        <v/>
      </c>
      <c r="C1225" s="92">
        <f>EOMONTH($B1225,0)</f>
        <v/>
      </c>
      <c r="D1225" s="87">
        <f>$C1225-$B1225+1</f>
        <v/>
      </c>
      <c r="E1225" s="87">
        <f>MONTH($B1225)</f>
        <v/>
      </c>
      <c r="F1225" s="93">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$N1225*IF($O$1210=1,$O1225/$F$1210,1)</f>
        <v/>
      </c>
      <c r="T1225" s="95">
        <f>IF($G1225&lt;nr_MStartP,$S1225,$T1213*(1+IF($G1225&lt;nr_MStartP1,$M$1210,$N$1210)))</f>
        <v/>
      </c>
      <c r="U1225" s="95">
        <f>IF($L$1210,$T1225,$N1225)</f>
        <v/>
      </c>
    </row>
    <row r="1226">
      <c r="A1226" s="90" t="n">
        <v>14</v>
      </c>
      <c r="B1226" s="91">
        <f>EDATE($B1225,1)</f>
        <v/>
      </c>
      <c r="C1226" s="92">
        <f>EOMONTH($B1226,0)</f>
        <v/>
      </c>
      <c r="D1226" s="87">
        <f>$C1226-$B1226+1</f>
        <v/>
      </c>
      <c r="E1226" s="87">
        <f>MONTH($B1226)</f>
        <v/>
      </c>
      <c r="F1226" s="93">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$N1226*IF($O$1210=1,$O1226/$F$1210,1)</f>
        <v/>
      </c>
      <c r="T1226" s="95">
        <f>IF($G1226&lt;nr_MStartP,$S1226,$T1214*(1+IF($G1226&lt;nr_MStartP1,$M$1210,$N$1210)))</f>
        <v/>
      </c>
      <c r="U1226" s="95">
        <f>IF($L$1210,$T1226,$N1226)</f>
        <v/>
      </c>
    </row>
    <row r="1227">
      <c r="A1227" s="90" t="n">
        <v>15</v>
      </c>
      <c r="B1227" s="91">
        <f>EDATE($B1226,1)</f>
        <v/>
      </c>
      <c r="C1227" s="92">
        <f>EOMONTH($B1227,0)</f>
        <v/>
      </c>
      <c r="D1227" s="87">
        <f>$C1227-$B1227+1</f>
        <v/>
      </c>
      <c r="E1227" s="87">
        <f>MONTH($B1227)</f>
        <v/>
      </c>
      <c r="F1227" s="93">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$N1227*IF($O$1210=1,$O1227/$F$1210,1)</f>
        <v/>
      </c>
      <c r="T1227" s="95">
        <f>IF($G1227&lt;nr_MStartP,$S1227,$T1215*(1+IF($G1227&lt;nr_MStartP1,$M$1210,$N$1210)))</f>
        <v/>
      </c>
      <c r="U1227" s="95">
        <f>IF($L$1210,$T1227,$N1227)</f>
        <v/>
      </c>
    </row>
    <row r="1228">
      <c r="A1228" s="90" t="n">
        <v>16</v>
      </c>
      <c r="B1228" s="91">
        <f>EDATE($B1227,1)</f>
        <v/>
      </c>
      <c r="C1228" s="92">
        <f>EOMONTH($B1228,0)</f>
        <v/>
      </c>
      <c r="D1228" s="87">
        <f>$C1228-$B1228+1</f>
        <v/>
      </c>
      <c r="E1228" s="87">
        <f>MONTH($B1228)</f>
        <v/>
      </c>
      <c r="F1228" s="93">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$N1228*IF($O$1210=1,$O1228/$F$1210,1)</f>
        <v/>
      </c>
      <c r="T1228" s="95">
        <f>IF($G1228&lt;nr_MStartP,$S1228,$T1216*(1+IF($G1228&lt;nr_MStartP1,$M$1210,$N$1210)))</f>
        <v/>
      </c>
      <c r="U1228" s="95">
        <f>IF($L$1210,$T1228,$N1228)</f>
        <v/>
      </c>
    </row>
    <row r="1229">
      <c r="A1229" s="90" t="n">
        <v>17</v>
      </c>
      <c r="B1229" s="91">
        <f>EDATE($B1228,1)</f>
        <v/>
      </c>
      <c r="C1229" s="92">
        <f>EOMONTH($B1229,0)</f>
        <v/>
      </c>
      <c r="D1229" s="87">
        <f>$C1229-$B1229+1</f>
        <v/>
      </c>
      <c r="E1229" s="87">
        <f>MONTH($B1229)</f>
        <v/>
      </c>
      <c r="F1229" s="93">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$N1229*IF($O$1210=1,$O1229/$F$1210,1)</f>
        <v/>
      </c>
      <c r="T1229" s="95">
        <f>IF($G1229&lt;nr_MStartP,$S1229,$T1217*(1+IF($G1229&lt;nr_MStartP1,$M$1210,$N$1210)))</f>
        <v/>
      </c>
      <c r="U1229" s="95">
        <f>IF($L$1210,$T1229,$N1229)</f>
        <v/>
      </c>
    </row>
    <row r="1230">
      <c r="A1230" s="90" t="n">
        <v>18</v>
      </c>
      <c r="B1230" s="91">
        <f>EDATE($B1229,1)</f>
        <v/>
      </c>
      <c r="C1230" s="92">
        <f>EOMONTH($B1230,0)</f>
        <v/>
      </c>
      <c r="D1230" s="87">
        <f>$C1230-$B1230+1</f>
        <v/>
      </c>
      <c r="E1230" s="87">
        <f>MONTH($B1230)</f>
        <v/>
      </c>
      <c r="F1230" s="93">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$N1230*IF($O$1210=1,$O1230/$F$1210,1)</f>
        <v/>
      </c>
      <c r="T1230" s="95">
        <f>IF($G1230&lt;nr_MStartP,$S1230,$T1218*(1+IF($G1230&lt;nr_MStartP1,$M$1210,$N$1210)))</f>
        <v/>
      </c>
      <c r="U1230" s="95">
        <f>IF($L$1210,$T1230,$N1230)</f>
        <v/>
      </c>
    </row>
    <row r="1231">
      <c r="A1231" s="90" t="n">
        <v>19</v>
      </c>
      <c r="B1231" s="91">
        <f>EDATE($B1230,1)</f>
        <v/>
      </c>
      <c r="C1231" s="92">
        <f>EOMONTH($B1231,0)</f>
        <v/>
      </c>
      <c r="D1231" s="87">
        <f>$C1231-$B1231+1</f>
        <v/>
      </c>
      <c r="E1231" s="87">
        <f>MONTH($B1231)</f>
        <v/>
      </c>
      <c r="F1231" s="93">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$N1231*IF($O$1210=1,$O1231/$F$1210,1)</f>
        <v/>
      </c>
      <c r="T1231" s="95">
        <f>IF($G1231&lt;nr_MStartP,$S1231,$T1219*(1+IF($G1231&lt;nr_MStartP1,$M$1210,$N$1210)))</f>
        <v/>
      </c>
      <c r="U1231" s="95">
        <f>IF($L$1210,$T1231,$N1231)</f>
        <v/>
      </c>
    </row>
    <row r="1232">
      <c r="A1232" s="90" t="n">
        <v>20</v>
      </c>
      <c r="B1232" s="91">
        <f>EDATE($B1231,1)</f>
        <v/>
      </c>
      <c r="C1232" s="92">
        <f>EOMONTH($B1232,0)</f>
        <v/>
      </c>
      <c r="D1232" s="87">
        <f>$C1232-$B1232+1</f>
        <v/>
      </c>
      <c r="E1232" s="87">
        <f>MONTH($B1232)</f>
        <v/>
      </c>
      <c r="F1232" s="93">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$N1232*IF($O$1210=1,$O1232/$F$1210,1)</f>
        <v/>
      </c>
      <c r="T1232" s="95">
        <f>IF($G1232&lt;nr_MStartP,$S1232,$T1220*(1+IF($G1232&lt;nr_MStartP1,$M$1210,$N$1210)))</f>
        <v/>
      </c>
      <c r="U1232" s="95">
        <f>IF($L$1210,$T1232,$N1232)</f>
        <v/>
      </c>
    </row>
    <row r="1233">
      <c r="A1233" s="90" t="n">
        <v>21</v>
      </c>
      <c r="B1233" s="91">
        <f>EDATE($B1232,1)</f>
        <v/>
      </c>
      <c r="C1233" s="92">
        <f>EOMONTH($B1233,0)</f>
        <v/>
      </c>
      <c r="D1233" s="87">
        <f>$C1233-$B1233+1</f>
        <v/>
      </c>
      <c r="E1233" s="87">
        <f>MONTH($B1233)</f>
        <v/>
      </c>
      <c r="F1233" s="93">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$N1233*IF($O$1210=1,$O1233/$F$1210,1)</f>
        <v/>
      </c>
      <c r="T1233" s="95">
        <f>IF($G1233&lt;nr_MStartP,$S1233,$T1221*(1+IF($G1233&lt;nr_MStartP1,$M$1210,$N$1210)))</f>
        <v/>
      </c>
      <c r="U1233" s="95">
        <f>IF($L$1210,$T1233,$N1233)</f>
        <v/>
      </c>
    </row>
    <row r="1234">
      <c r="A1234" s="90" t="n">
        <v>22</v>
      </c>
      <c r="B1234" s="91">
        <f>EDATE($B1233,1)</f>
        <v/>
      </c>
      <c r="C1234" s="92">
        <f>EOMONTH($B1234,0)</f>
        <v/>
      </c>
      <c r="D1234" s="87">
        <f>$C1234-$B1234+1</f>
        <v/>
      </c>
      <c r="E1234" s="87">
        <f>MONTH($B1234)</f>
        <v/>
      </c>
      <c r="F1234" s="93">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$N1234*IF($O$1210=1,$O1234/$F$1210,1)</f>
        <v/>
      </c>
      <c r="T1234" s="95">
        <f>IF($G1234&lt;nr_MStartP,$S1234,$T1222*(1+IF($G1234&lt;nr_MStartP1,$M$1210,$N$1210)))</f>
        <v/>
      </c>
      <c r="U1234" s="95">
        <f>IF($L$1210,$T1234,$N1234)</f>
        <v/>
      </c>
    </row>
    <row r="1235">
      <c r="A1235" s="90" t="n">
        <v>23</v>
      </c>
      <c r="B1235" s="91">
        <f>EDATE($B1234,1)</f>
        <v/>
      </c>
      <c r="C1235" s="92">
        <f>EOMONTH($B1235,0)</f>
        <v/>
      </c>
      <c r="D1235" s="87">
        <f>$C1235-$B1235+1</f>
        <v/>
      </c>
      <c r="E1235" s="87">
        <f>MONTH($B1235)</f>
        <v/>
      </c>
      <c r="F1235" s="93">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$N1235*IF($O$1210=1,$O1235/$F$1210,1)</f>
        <v/>
      </c>
      <c r="T1235" s="95">
        <f>IF($G1235&lt;nr_MStartP,$S1235,$T1223*(1+IF($G1235&lt;nr_MStartP1,$M$1210,$N$1210)))</f>
        <v/>
      </c>
      <c r="U1235" s="95">
        <f>IF($L$1210,$T1235,$N1235)</f>
        <v/>
      </c>
    </row>
    <row r="1236">
      <c r="A1236" s="90" t="n">
        <v>24</v>
      </c>
      <c r="B1236" s="91">
        <f>EDATE($B1235,1)</f>
        <v/>
      </c>
      <c r="C1236" s="92">
        <f>EOMONTH($B1236,0)</f>
        <v/>
      </c>
      <c r="D1236" s="87">
        <f>$C1236-$B1236+1</f>
        <v/>
      </c>
      <c r="E1236" s="87">
        <f>MONTH($B1236)</f>
        <v/>
      </c>
      <c r="F1236" s="93">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$N1236*IF($O$1210=1,$O1236/$F$1210,1)</f>
        <v/>
      </c>
      <c r="T1236" s="95">
        <f>IF($G1236&lt;nr_MStartP,$S1236,$T1224*(1+IF($G1236&lt;nr_MStartP1,$M$1210,$N$1210)))</f>
        <v/>
      </c>
      <c r="U1236" s="95">
        <f>IF($L$1210,$T1236,$N1236)</f>
        <v/>
      </c>
    </row>
    <row r="1237">
      <c r="A1237" s="90" t="n">
        <v>25</v>
      </c>
      <c r="B1237" s="91">
        <f>EDATE($B1236,1)</f>
        <v/>
      </c>
      <c r="C1237" s="92">
        <f>EOMONTH($B1237,0)</f>
        <v/>
      </c>
      <c r="D1237" s="87">
        <f>$C1237-$B1237+1</f>
        <v/>
      </c>
      <c r="E1237" s="87">
        <f>MONTH($B1237)</f>
        <v/>
      </c>
      <c r="F1237" s="93">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$N1237*IF($O$1210=1,$O1237/$F$1210,1)</f>
        <v/>
      </c>
      <c r="T1237" s="95">
        <f>IF($G1237&lt;nr_MStartP,$S1237,$T1225*(1+IF($G1237&lt;nr_MStartP1,$M$1210,$N$1210)))</f>
        <v/>
      </c>
      <c r="U1237" s="95">
        <f>IF($L$1210,$T1237,$N1237)</f>
        <v/>
      </c>
    </row>
    <row r="1238">
      <c r="A1238" s="90" t="n">
        <v>26</v>
      </c>
      <c r="B1238" s="91">
        <f>EDATE($B1237,1)</f>
        <v/>
      </c>
      <c r="C1238" s="92">
        <f>EOMONTH($B1238,0)</f>
        <v/>
      </c>
      <c r="D1238" s="87">
        <f>$C1238-$B1238+1</f>
        <v/>
      </c>
      <c r="E1238" s="87">
        <f>MONTH($B1238)</f>
        <v/>
      </c>
      <c r="F1238" s="93">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$N1238*IF($O$1210=1,$O1238/$F$1210,1)</f>
        <v/>
      </c>
      <c r="T1238" s="95">
        <f>IF($G1238&lt;nr_MStartP,$S1238,$T1226*(1+IF($G1238&lt;nr_MStartP1,$M$1210,$N$1210)))</f>
        <v/>
      </c>
      <c r="U1238" s="95">
        <f>IF($L$1210,$T1238,$N1238)</f>
        <v/>
      </c>
    </row>
    <row r="1239">
      <c r="A1239" s="90" t="n">
        <v>27</v>
      </c>
      <c r="B1239" s="91">
        <f>EDATE($B1238,1)</f>
        <v/>
      </c>
      <c r="C1239" s="92">
        <f>EOMONTH($B1239,0)</f>
        <v/>
      </c>
      <c r="D1239" s="87">
        <f>$C1239-$B1239+1</f>
        <v/>
      </c>
      <c r="E1239" s="87">
        <f>MONTH($B1239)</f>
        <v/>
      </c>
      <c r="F1239" s="93">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$N1239*IF($O$1210=1,$O1239/$F$1210,1)</f>
        <v/>
      </c>
      <c r="T1239" s="95">
        <f>IF($G1239&lt;nr_MStartP,$S1239,$T1227*(1+IF($G1239&lt;nr_MStartP1,$M$1210,$N$1210)))</f>
        <v/>
      </c>
      <c r="U1239" s="95">
        <f>IF($L$1210,$T1239,$N1239)</f>
        <v/>
      </c>
    </row>
    <row r="1240">
      <c r="A1240" s="90" t="n">
        <v>28</v>
      </c>
      <c r="B1240" s="91">
        <f>EDATE($B1239,1)</f>
        <v/>
      </c>
      <c r="C1240" s="92">
        <f>EOMONTH($B1240,0)</f>
        <v/>
      </c>
      <c r="D1240" s="87">
        <f>$C1240-$B1240+1</f>
        <v/>
      </c>
      <c r="E1240" s="87">
        <f>MONTH($B1240)</f>
        <v/>
      </c>
      <c r="F1240" s="93">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$N1240*IF($O$1210=1,$O1240/$F$1210,1)</f>
        <v/>
      </c>
      <c r="T1240" s="95">
        <f>IF($G1240&lt;nr_MStartP,$S1240,$T1228*(1+IF($G1240&lt;nr_MStartP1,$M$1210,$N$1210)))</f>
        <v/>
      </c>
      <c r="U1240" s="95">
        <f>IF($L$1210,$T1240,$N1240)</f>
        <v/>
      </c>
    </row>
    <row r="1241">
      <c r="A1241" s="90" t="n">
        <v>29</v>
      </c>
      <c r="B1241" s="91">
        <f>EDATE($B1240,1)</f>
        <v/>
      </c>
      <c r="C1241" s="92">
        <f>EOMONTH($B1241,0)</f>
        <v/>
      </c>
      <c r="D1241" s="87">
        <f>$C1241-$B1241+1</f>
        <v/>
      </c>
      <c r="E1241" s="87">
        <f>MONTH($B1241)</f>
        <v/>
      </c>
      <c r="F1241" s="93">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$N1241*IF($O$1210=1,$O1241/$F$1210,1)</f>
        <v/>
      </c>
      <c r="T1241" s="95">
        <f>IF($G1241&lt;nr_MStartP,$S1241,$T1229*(1+IF($G1241&lt;nr_MStartP1,$M$1210,$N$1210)))</f>
        <v/>
      </c>
      <c r="U1241" s="95">
        <f>IF($L$1210,$T1241,$N1241)</f>
        <v/>
      </c>
    </row>
    <row r="1242">
      <c r="A1242" s="90" t="n">
        <v>30</v>
      </c>
      <c r="B1242" s="91">
        <f>EDATE($B1241,1)</f>
        <v/>
      </c>
      <c r="C1242" s="92">
        <f>EOMONTH($B1242,0)</f>
        <v/>
      </c>
      <c r="D1242" s="87">
        <f>$C1242-$B1242+1</f>
        <v/>
      </c>
      <c r="E1242" s="87">
        <f>MONTH($B1242)</f>
        <v/>
      </c>
      <c r="F1242" s="93">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$N1242*IF($O$1210=1,$O1242/$F$1210,1)</f>
        <v/>
      </c>
      <c r="T1242" s="95">
        <f>IF($G1242&lt;nr_MStartP,$S1242,$T1230*(1+IF($G1242&lt;nr_MStartP1,$M$1210,$N$1210)))</f>
        <v/>
      </c>
      <c r="U1242" s="95">
        <f>IF($L$1210,$T1242,$N1242)</f>
        <v/>
      </c>
    </row>
    <row r="1243">
      <c r="A1243" s="90" t="n">
        <v>31</v>
      </c>
      <c r="B1243" s="91">
        <f>EDATE($B1242,1)</f>
        <v/>
      </c>
      <c r="C1243" s="92">
        <f>EOMONTH($B1243,0)</f>
        <v/>
      </c>
      <c r="D1243" s="87">
        <f>$C1243-$B1243+1</f>
        <v/>
      </c>
      <c r="E1243" s="87">
        <f>MONTH($B1243)</f>
        <v/>
      </c>
      <c r="F1243" s="93">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$N1243*IF($O$1210=1,$O1243/$F$1210,1)</f>
        <v/>
      </c>
      <c r="T1243" s="95">
        <f>IF($G1243&lt;nr_MStartP,$S1243,$T1231*(1+IF($G1243&lt;nr_MStartP1,$M$1210,$N$1210)))</f>
        <v/>
      </c>
      <c r="U1243" s="95">
        <f>IF($L$1210,$T1243,$N1243)</f>
        <v/>
      </c>
    </row>
    <row r="1244">
      <c r="A1244" s="90" t="n">
        <v>32</v>
      </c>
      <c r="B1244" s="91">
        <f>EDATE($B1243,1)</f>
        <v/>
      </c>
      <c r="C1244" s="92">
        <f>EOMONTH($B1244,0)</f>
        <v/>
      </c>
      <c r="D1244" s="87">
        <f>$C1244-$B1244+1</f>
        <v/>
      </c>
      <c r="E1244" s="87">
        <f>MONTH($B1244)</f>
        <v/>
      </c>
      <c r="F1244" s="93">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$N1244*IF($O$1210=1,$O1244/$F$1210,1)</f>
        <v/>
      </c>
      <c r="T1244" s="95">
        <f>IF($G1244&lt;nr_MStartP,$S1244,$T1232*(1+IF($G1244&lt;nr_MStartP1,$M$1210,$N$1210)))</f>
        <v/>
      </c>
      <c r="U1244" s="95">
        <f>IF($L$1210,$T1244,$N1244)</f>
        <v/>
      </c>
    </row>
    <row r="1245">
      <c r="A1245" s="90" t="n">
        <v>33</v>
      </c>
      <c r="B1245" s="91">
        <f>EDATE($B1244,1)</f>
        <v/>
      </c>
      <c r="C1245" s="92">
        <f>EOMONTH($B1245,0)</f>
        <v/>
      </c>
      <c r="D1245" s="87">
        <f>$C1245-$B1245+1</f>
        <v/>
      </c>
      <c r="E1245" s="87">
        <f>MONTH($B1245)</f>
        <v/>
      </c>
      <c r="F1245" s="93">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$N1245*IF($O$1210=1,$O1245/$F$1210,1)</f>
        <v/>
      </c>
      <c r="T1245" s="95">
        <f>IF($G1245&lt;nr_MStartP,$S1245,$T1233*(1+IF($G1245&lt;nr_MStartP1,$M$1210,$N$1210)))</f>
        <v/>
      </c>
      <c r="U1245" s="95">
        <f>IF($L$1210,$T1245,$N1245)</f>
        <v/>
      </c>
    </row>
    <row r="1246">
      <c r="A1246" s="90" t="n">
        <v>34</v>
      </c>
      <c r="B1246" s="91">
        <f>EDATE($B1245,1)</f>
        <v/>
      </c>
      <c r="C1246" s="92">
        <f>EOMONTH($B1246,0)</f>
        <v/>
      </c>
      <c r="D1246" s="87">
        <f>$C1246-$B1246+1</f>
        <v/>
      </c>
      <c r="E1246" s="87">
        <f>MONTH($B1246)</f>
        <v/>
      </c>
      <c r="F1246" s="93">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$N1246*IF($O$1210=1,$O1246/$F$1210,1)</f>
        <v/>
      </c>
      <c r="T1246" s="95">
        <f>IF($G1246&lt;nr_MStartP,$S1246,$T1234*(1+IF($G1246&lt;nr_MStartP1,$M$1210,$N$1210)))</f>
        <v/>
      </c>
      <c r="U1246" s="95">
        <f>IF($L$1210,$T1246,$N1246)</f>
        <v/>
      </c>
    </row>
    <row r="1247">
      <c r="A1247" s="90" t="n">
        <v>35</v>
      </c>
      <c r="B1247" s="91">
        <f>EDATE($B1246,1)</f>
        <v/>
      </c>
      <c r="C1247" s="92">
        <f>EOMONTH($B1247,0)</f>
        <v/>
      </c>
      <c r="D1247" s="87">
        <f>$C1247-$B1247+1</f>
        <v/>
      </c>
      <c r="E1247" s="87">
        <f>MONTH($B1247)</f>
        <v/>
      </c>
      <c r="F1247" s="93">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$N1247*IF($O$1210=1,$O1247/$F$1210,1)</f>
        <v/>
      </c>
      <c r="T1247" s="95">
        <f>IF($G1247&lt;nr_MStartP,$S1247,$T1235*(1+IF($G1247&lt;nr_MStartP1,$M$1210,$N$1210)))</f>
        <v/>
      </c>
      <c r="U1247" s="95">
        <f>IF($L$1210,$T1247,$N1247)</f>
        <v/>
      </c>
    </row>
    <row r="1248">
      <c r="A1248" s="90" t="n">
        <v>36</v>
      </c>
      <c r="B1248" s="91">
        <f>EDATE($B1247,1)</f>
        <v/>
      </c>
      <c r="C1248" s="92">
        <f>EOMONTH($B1248,0)</f>
        <v/>
      </c>
      <c r="D1248" s="87">
        <f>$C1248-$B1248+1</f>
        <v/>
      </c>
      <c r="E1248" s="87">
        <f>MONTH($B1248)</f>
        <v/>
      </c>
      <c r="F1248" s="93">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$N1248*IF($O$1210=1,$O1248/$F$1210,1)</f>
        <v/>
      </c>
      <c r="T1248" s="95">
        <f>IF($G1248&lt;nr_MStartP,$S1248,$T1236*(1+IF($G1248&lt;nr_MStartP1,$M$1210,$N$1210)))</f>
        <v/>
      </c>
      <c r="U1248" s="95">
        <f>IF($L$1210,$T1248,$N1248)</f>
        <v/>
      </c>
    </row>
    <row r="1249">
      <c r="A1249" s="90" t="n">
        <v>37</v>
      </c>
      <c r="B1249" s="91">
        <f>EDATE($B1248,1)</f>
        <v/>
      </c>
      <c r="C1249" s="92">
        <f>EOMONTH($B1249,0)</f>
        <v/>
      </c>
      <c r="D1249" s="87">
        <f>$C1249-$B1249+1</f>
        <v/>
      </c>
      <c r="E1249" s="87">
        <f>MONTH($B1249)</f>
        <v/>
      </c>
      <c r="F1249" s="93">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$N1249*IF($O$1210=1,$O1249/$F$1210,1)</f>
        <v/>
      </c>
      <c r="T1249" s="95">
        <f>IF($G1249&lt;nr_MStartP,$S1249,$T1237*(1+IF($G1249&lt;nr_MStartP1,$M$1210,$N$1210)))</f>
        <v/>
      </c>
      <c r="U1249" s="95">
        <f>IF($L$1210,$T1249,$N1249)</f>
        <v/>
      </c>
    </row>
    <row r="1250">
      <c r="A1250" s="90" t="n">
        <v>38</v>
      </c>
      <c r="B1250" s="91">
        <f>EDATE($B1249,1)</f>
        <v/>
      </c>
      <c r="C1250" s="92">
        <f>EOMONTH($B1250,0)</f>
        <v/>
      </c>
      <c r="D1250" s="87">
        <f>$C1250-$B1250+1</f>
        <v/>
      </c>
      <c r="E1250" s="87">
        <f>MONTH($B1250)</f>
        <v/>
      </c>
      <c r="F1250" s="93">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$N1250*IF($O$1210=1,$O1250/$F$1210,1)</f>
        <v/>
      </c>
      <c r="T1250" s="95">
        <f>IF($G1250&lt;nr_MStartP,$S1250,$T1238*(1+IF($G1250&lt;nr_MStartP1,$M$1210,$N$1210)))</f>
        <v/>
      </c>
      <c r="U1250" s="95">
        <f>IF($L$1210,$T1250,$N1250)</f>
        <v/>
      </c>
    </row>
    <row r="1251">
      <c r="A1251" s="90" t="n">
        <v>39</v>
      </c>
      <c r="B1251" s="91">
        <f>EDATE($B1250,1)</f>
        <v/>
      </c>
      <c r="C1251" s="92">
        <f>EOMONTH($B1251,0)</f>
        <v/>
      </c>
      <c r="D1251" s="87">
        <f>$C1251-$B1251+1</f>
        <v/>
      </c>
      <c r="E1251" s="87">
        <f>MONTH($B1251)</f>
        <v/>
      </c>
      <c r="F1251" s="93">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$N1251*IF($O$1210=1,$O1251/$F$1210,1)</f>
        <v/>
      </c>
      <c r="T1251" s="95">
        <f>IF($G1251&lt;nr_MStartP,$S1251,$T1239*(1+IF($G1251&lt;nr_MStartP1,$M$1210,$N$1210)))</f>
        <v/>
      </c>
      <c r="U1251" s="95">
        <f>IF($L$1210,$T1251,$N1251)</f>
        <v/>
      </c>
    </row>
    <row r="1252">
      <c r="A1252" s="90" t="n">
        <v>40</v>
      </c>
      <c r="B1252" s="91">
        <f>EDATE($B1251,1)</f>
        <v/>
      </c>
      <c r="C1252" s="92">
        <f>EOMONTH($B1252,0)</f>
        <v/>
      </c>
      <c r="D1252" s="87">
        <f>$C1252-$B1252+1</f>
        <v/>
      </c>
      <c r="E1252" s="87">
        <f>MONTH($B1252)</f>
        <v/>
      </c>
      <c r="F1252" s="93">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$N1252*IF($O$1210=1,$O1252/$F$1210,1)</f>
        <v/>
      </c>
      <c r="T1252" s="95">
        <f>IF($G1252&lt;nr_MStartP,$S1252,$T1240*(1+IF($G1252&lt;nr_MStartP1,$M$1210,$N$1210)))</f>
        <v/>
      </c>
      <c r="U1252" s="95">
        <f>IF($L$1210,$T1252,$N1252)</f>
        <v/>
      </c>
    </row>
    <row r="1253">
      <c r="A1253" s="90" t="n">
        <v>41</v>
      </c>
      <c r="B1253" s="91">
        <f>EDATE($B1252,1)</f>
        <v/>
      </c>
      <c r="C1253" s="92">
        <f>EOMONTH($B1253,0)</f>
        <v/>
      </c>
      <c r="D1253" s="87">
        <f>$C1253-$B1253+1</f>
        <v/>
      </c>
      <c r="E1253" s="87">
        <f>MONTH($B1253)</f>
        <v/>
      </c>
      <c r="F1253" s="93">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$N1253*IF($O$1210=1,$O1253/$F$1210,1)</f>
        <v/>
      </c>
      <c r="T1253" s="95">
        <f>IF($G1253&lt;nr_MStartP,$S1253,$T1241*(1+IF($G1253&lt;nr_MStartP1,$M$1210,$N$1210)))</f>
        <v/>
      </c>
      <c r="U1253" s="95">
        <f>IF($L$1210,$T1253,$N1253)</f>
        <v/>
      </c>
    </row>
    <row r="1254">
      <c r="A1254" s="90" t="n">
        <v>42</v>
      </c>
      <c r="B1254" s="91">
        <f>EDATE($B1253,1)</f>
        <v/>
      </c>
      <c r="C1254" s="92">
        <f>EOMONTH($B1254,0)</f>
        <v/>
      </c>
      <c r="D1254" s="87">
        <f>$C1254-$B1254+1</f>
        <v/>
      </c>
      <c r="E1254" s="87">
        <f>MONTH($B1254)</f>
        <v/>
      </c>
      <c r="F1254" s="93">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$N1254*IF($O$1210=1,$O1254/$F$1210,1)</f>
        <v/>
      </c>
      <c r="T1254" s="95">
        <f>IF($G1254&lt;nr_MStartP,$S1254,$T1242*(1+IF($G1254&lt;nr_MStartP1,$M$1210,$N$1210)))</f>
        <v/>
      </c>
      <c r="U1254" s="95">
        <f>IF($L$1210,$T1254,$N1254)</f>
        <v/>
      </c>
    </row>
    <row r="1255">
      <c r="A1255" s="90" t="n">
        <v>43</v>
      </c>
      <c r="B1255" s="91">
        <f>EDATE($B1254,1)</f>
        <v/>
      </c>
      <c r="C1255" s="92">
        <f>EOMONTH($B1255,0)</f>
        <v/>
      </c>
      <c r="D1255" s="87">
        <f>$C1255-$B1255+1</f>
        <v/>
      </c>
      <c r="E1255" s="87">
        <f>MONTH($B1255)</f>
        <v/>
      </c>
      <c r="F1255" s="93">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$N1255*IF($O$1210=1,$O1255/$F$1210,1)</f>
        <v/>
      </c>
      <c r="T1255" s="95">
        <f>IF($G1255&lt;nr_MStartP,$S1255,$T1243*(1+IF($G1255&lt;nr_MStartP1,$M$1210,$N$1210)))</f>
        <v/>
      </c>
      <c r="U1255" s="95">
        <f>IF($L$1210,$T1255,$N1255)</f>
        <v/>
      </c>
    </row>
    <row r="1256">
      <c r="A1256" s="90" t="n">
        <v>44</v>
      </c>
      <c r="B1256" s="91">
        <f>EDATE($B1255,1)</f>
        <v/>
      </c>
      <c r="C1256" s="92">
        <f>EOMONTH($B1256,0)</f>
        <v/>
      </c>
      <c r="D1256" s="87">
        <f>$C1256-$B1256+1</f>
        <v/>
      </c>
      <c r="E1256" s="87">
        <f>MONTH($B1256)</f>
        <v/>
      </c>
      <c r="F1256" s="93">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$N1256*IF($O$1210=1,$O1256/$F$1210,1)</f>
        <v/>
      </c>
      <c r="T1256" s="95">
        <f>IF($G1256&lt;nr_MStartP,$S1256,$T1244*(1+IF($G1256&lt;nr_MStartP1,$M$1210,$N$1210)))</f>
        <v/>
      </c>
      <c r="U1256" s="95">
        <f>IF($L$1210,$T1256,$N1256)</f>
        <v/>
      </c>
    </row>
    <row r="1257">
      <c r="A1257" s="90" t="n">
        <v>45</v>
      </c>
      <c r="B1257" s="91">
        <f>EDATE($B1256,1)</f>
        <v/>
      </c>
      <c r="C1257" s="92">
        <f>EOMONTH($B1257,0)</f>
        <v/>
      </c>
      <c r="D1257" s="87">
        <f>$C1257-$B1257+1</f>
        <v/>
      </c>
      <c r="E1257" s="87">
        <f>MONTH($B1257)</f>
        <v/>
      </c>
      <c r="F1257" s="93">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$N1257*IF($O$1210=1,$O1257/$F$1210,1)</f>
        <v/>
      </c>
      <c r="T1257" s="95">
        <f>IF($G1257&lt;nr_MStartP,$S1257,$T1245*(1+IF($G1257&lt;nr_MStartP1,$M$1210,$N$1210)))</f>
        <v/>
      </c>
      <c r="U1257" s="95">
        <f>IF($L$1210,$T1257,$N1257)</f>
        <v/>
      </c>
    </row>
    <row r="1258">
      <c r="A1258" s="90" t="n">
        <v>46</v>
      </c>
      <c r="B1258" s="91">
        <f>EDATE($B1257,1)</f>
        <v/>
      </c>
      <c r="C1258" s="92">
        <f>EOMONTH($B1258,0)</f>
        <v/>
      </c>
      <c r="D1258" s="87">
        <f>$C1258-$B1258+1</f>
        <v/>
      </c>
      <c r="E1258" s="87">
        <f>MONTH($B1258)</f>
        <v/>
      </c>
      <c r="F1258" s="93">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$N1258*IF($O$1210=1,$O1258/$F$1210,1)</f>
        <v/>
      </c>
      <c r="T1258" s="95">
        <f>IF($G1258&lt;nr_MStartP,$S1258,$T1246*(1+IF($G1258&lt;nr_MStartP1,$M$1210,$N$1210)))</f>
        <v/>
      </c>
      <c r="U1258" s="95">
        <f>IF($L$1210,$T1258,$N1258)</f>
        <v/>
      </c>
    </row>
    <row r="1259">
      <c r="A1259" s="90" t="n">
        <v>47</v>
      </c>
      <c r="B1259" s="91">
        <f>EDATE($B1258,1)</f>
        <v/>
      </c>
      <c r="C1259" s="92">
        <f>EOMONTH($B1259,0)</f>
        <v/>
      </c>
      <c r="D1259" s="87">
        <f>$C1259-$B1259+1</f>
        <v/>
      </c>
      <c r="E1259" s="87">
        <f>MONTH($B1259)</f>
        <v/>
      </c>
      <c r="F1259" s="93">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$N1259*IF($O$1210=1,$O1259/$F$1210,1)</f>
        <v/>
      </c>
      <c r="T1259" s="95">
        <f>IF($G1259&lt;nr_MStartP,$S1259,$T1247*(1+IF($G1259&lt;nr_MStartP1,$M$1210,$N$1210)))</f>
        <v/>
      </c>
      <c r="U1259" s="95">
        <f>IF($L$1210,$T1259,$N1259)</f>
        <v/>
      </c>
    </row>
    <row r="1260">
      <c r="A1260" s="90" t="n">
        <v>48</v>
      </c>
      <c r="B1260" s="91">
        <f>EDATE($B1259,1)</f>
        <v/>
      </c>
      <c r="C1260" s="92">
        <f>EOMONTH($B1260,0)</f>
        <v/>
      </c>
      <c r="D1260" s="87">
        <f>$C1260-$B1260+1</f>
        <v/>
      </c>
      <c r="E1260" s="87">
        <f>MONTH($B1260)</f>
        <v/>
      </c>
      <c r="F1260" s="93">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$N1260*IF($O$1210=1,$O1260/$F$1210,1)</f>
        <v/>
      </c>
      <c r="T1260" s="95">
        <f>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04">
        <f>SUMPRODUCT($H$1213:$H$1260,$Q$1213:$Q$1260,$O$1213:$O$1260)/SUMPRODUCT($H$1213:$H$1260,$Q$1213:$Q$1260)</f>
        <v/>
      </c>
      <c r="G1261" s="20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04">
        <f>IF(N(INDEX(lr_mind,23))=0,1,INDEX(lr_mind,23))</f>
        <v/>
      </c>
      <c r="G1264" s="204">
        <f>IF(N(INDEX(lr_m0,23))=0,1,INDEX(lr_m0,23))</f>
        <v/>
      </c>
      <c r="H1264" s="73">
        <f>IF(N(INDEX(lr_m0asof,23))=0,DATE(nr_PlanYear-1,10,1),INDEX(lr_m0asof,23))</f>
        <v/>
      </c>
      <c r="I1264" s="204">
        <f>IF(N(INDEX(lr_m1,23))=0,1,INDEX(lr_m1,23))</f>
        <v/>
      </c>
      <c r="J1264" s="204">
        <f>INDEX(lr_mprior,23)</f>
        <v/>
      </c>
      <c r="K1264" s="20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93">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$N1267*IF($O$1264=1,$O1267/$F$1264,1)</f>
        <v/>
      </c>
      <c r="T1267" s="95">
        <f>IF($G1267&lt;nr_MStartP,$S1267,$T1255*(1+IF($G1267&lt;nr_MStartP1,$M$1264,$N$1264)))</f>
        <v/>
      </c>
      <c r="U1267" s="95">
        <f>IF($L$1264,$T1267,$N1267)</f>
        <v/>
      </c>
    </row>
    <row r="1268">
      <c r="A1268" s="90" t="n">
        <v>2</v>
      </c>
      <c r="B1268" s="91">
        <f>EDATE($B1267,1)</f>
        <v/>
      </c>
      <c r="C1268" s="92">
        <f>EOMONTH($B1268,0)</f>
        <v/>
      </c>
      <c r="D1268" s="87">
        <f>$C1268-$B1268+1</f>
        <v/>
      </c>
      <c r="E1268" s="87">
        <f>MONTH($B1268)</f>
        <v/>
      </c>
      <c r="F1268" s="93">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$N1268*IF($O$1264=1,$O1268/$F$1264,1)</f>
        <v/>
      </c>
      <c r="T1268" s="95">
        <f>IF($G1268&lt;nr_MStartP,$S1268,$T1256*(1+IF($G1268&lt;nr_MStartP1,$M$1264,$N$1264)))</f>
        <v/>
      </c>
      <c r="U1268" s="95">
        <f>IF($L$1264,$T1268,$N1268)</f>
        <v/>
      </c>
    </row>
    <row r="1269">
      <c r="A1269" s="90" t="n">
        <v>3</v>
      </c>
      <c r="B1269" s="91">
        <f>EDATE($B1268,1)</f>
        <v/>
      </c>
      <c r="C1269" s="92">
        <f>EOMONTH($B1269,0)</f>
        <v/>
      </c>
      <c r="D1269" s="87">
        <f>$C1269-$B1269+1</f>
        <v/>
      </c>
      <c r="E1269" s="87">
        <f>MONTH($B1269)</f>
        <v/>
      </c>
      <c r="F1269" s="93">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$N1269*IF($O$1264=1,$O1269/$F$1264,1)</f>
        <v/>
      </c>
      <c r="T1269" s="95">
        <f>IF($G1269&lt;nr_MStartP,$S1269,$T1257*(1+IF($G1269&lt;nr_MStartP1,$M$1264,$N$1264)))</f>
        <v/>
      </c>
      <c r="U1269" s="95">
        <f>IF($L$1264,$T1269,$N1269)</f>
        <v/>
      </c>
    </row>
    <row r="1270">
      <c r="A1270" s="90" t="n">
        <v>4</v>
      </c>
      <c r="B1270" s="91">
        <f>EDATE($B1269,1)</f>
        <v/>
      </c>
      <c r="C1270" s="92">
        <f>EOMONTH($B1270,0)</f>
        <v/>
      </c>
      <c r="D1270" s="87">
        <f>$C1270-$B1270+1</f>
        <v/>
      </c>
      <c r="E1270" s="87">
        <f>MONTH($B1270)</f>
        <v/>
      </c>
      <c r="F1270" s="93">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$N1270*IF($O$1264=1,$O1270/$F$1264,1)</f>
        <v/>
      </c>
      <c r="T1270" s="95">
        <f>IF($G1270&lt;nr_MStartP,$S1270,$T1258*(1+IF($G1270&lt;nr_MStartP1,$M$1264,$N$1264)))</f>
        <v/>
      </c>
      <c r="U1270" s="95">
        <f>IF($L$1264,$T1270,$N1270)</f>
        <v/>
      </c>
    </row>
    <row r="1271">
      <c r="A1271" s="90" t="n">
        <v>5</v>
      </c>
      <c r="B1271" s="91">
        <f>EDATE($B1270,1)</f>
        <v/>
      </c>
      <c r="C1271" s="92">
        <f>EOMONTH($B1271,0)</f>
        <v/>
      </c>
      <c r="D1271" s="87">
        <f>$C1271-$B1271+1</f>
        <v/>
      </c>
      <c r="E1271" s="87">
        <f>MONTH($B1271)</f>
        <v/>
      </c>
      <c r="F1271" s="93">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$N1271*IF($O$1264=1,$O1271/$F$1264,1)</f>
        <v/>
      </c>
      <c r="T1271" s="95">
        <f>IF($G1271&lt;nr_MStartP,$S1271,$T1259*(1+IF($G1271&lt;nr_MStartP1,$M$1264,$N$1264)))</f>
        <v/>
      </c>
      <c r="U1271" s="95">
        <f>IF($L$1264,$T1271,$N1271)</f>
        <v/>
      </c>
    </row>
    <row r="1272">
      <c r="A1272" s="90" t="n">
        <v>6</v>
      </c>
      <c r="B1272" s="91">
        <f>EDATE($B1271,1)</f>
        <v/>
      </c>
      <c r="C1272" s="92">
        <f>EOMONTH($B1272,0)</f>
        <v/>
      </c>
      <c r="D1272" s="87">
        <f>$C1272-$B1272+1</f>
        <v/>
      </c>
      <c r="E1272" s="87">
        <f>MONTH($B1272)</f>
        <v/>
      </c>
      <c r="F1272" s="93">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$N1272*IF($O$1264=1,$O1272/$F$1264,1)</f>
        <v/>
      </c>
      <c r="T1272" s="95">
        <f>IF($G1272&lt;nr_MStartP,$S1272,$T1260*(1+IF($G1272&lt;nr_MStartP1,$M$1264,$N$1264)))</f>
        <v/>
      </c>
      <c r="U1272" s="95">
        <f>IF($L$1264,$T1272,$N1272)</f>
        <v/>
      </c>
    </row>
    <row r="1273">
      <c r="A1273" s="90" t="n">
        <v>7</v>
      </c>
      <c r="B1273" s="91">
        <f>EDATE($B1272,1)</f>
        <v/>
      </c>
      <c r="C1273" s="92">
        <f>EOMONTH($B1273,0)</f>
        <v/>
      </c>
      <c r="D1273" s="87">
        <f>$C1273-$B1273+1</f>
        <v/>
      </c>
      <c r="E1273" s="87">
        <f>MONTH($B1273)</f>
        <v/>
      </c>
      <c r="F1273" s="93">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$N1273*IF($O$1264=1,$O1273/$F$1264,1)</f>
        <v/>
      </c>
      <c r="T1273" s="95">
        <f>IF($G1273&lt;nr_MStartP,$S1273,$T1261*(1+IF($G1273&lt;nr_MStartP1,$M$1264,$N$1264)))</f>
        <v/>
      </c>
      <c r="U1273" s="95">
        <f>IF($L$1264,$T1273,$N1273)</f>
        <v/>
      </c>
    </row>
    <row r="1274">
      <c r="A1274" s="90" t="n">
        <v>8</v>
      </c>
      <c r="B1274" s="91">
        <f>EDATE($B1273,1)</f>
        <v/>
      </c>
      <c r="C1274" s="92">
        <f>EOMONTH($B1274,0)</f>
        <v/>
      </c>
      <c r="D1274" s="87">
        <f>$C1274-$B1274+1</f>
        <v/>
      </c>
      <c r="E1274" s="87">
        <f>MONTH($B1274)</f>
        <v/>
      </c>
      <c r="F1274" s="93">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$N1274*IF($O$1264=1,$O1274/$F$1264,1)</f>
        <v/>
      </c>
      <c r="T1274" s="95">
        <f>IF($G1274&lt;nr_MStartP,$S1274,$T1262*(1+IF($G1274&lt;nr_MStartP1,$M$1264,$N$1264)))</f>
        <v/>
      </c>
      <c r="U1274" s="95">
        <f>IF($L$1264,$T1274,$N1274)</f>
        <v/>
      </c>
    </row>
    <row r="1275">
      <c r="A1275" s="90" t="n">
        <v>9</v>
      </c>
      <c r="B1275" s="91">
        <f>EDATE($B1274,1)</f>
        <v/>
      </c>
      <c r="C1275" s="92">
        <f>EOMONTH($B1275,0)</f>
        <v/>
      </c>
      <c r="D1275" s="87">
        <f>$C1275-$B1275+1</f>
        <v/>
      </c>
      <c r="E1275" s="87">
        <f>MONTH($B1275)</f>
        <v/>
      </c>
      <c r="F1275" s="93">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$N1275*IF($O$1264=1,$O1275/$F$1264,1)</f>
        <v/>
      </c>
      <c r="T1275" s="95">
        <f>IF($G1275&lt;nr_MStartP,$S1275,$T1263*(1+IF($G1275&lt;nr_MStartP1,$M$1264,$N$1264)))</f>
        <v/>
      </c>
      <c r="U1275" s="95">
        <f>IF($L$1264,$T1275,$N1275)</f>
        <v/>
      </c>
    </row>
    <row r="1276">
      <c r="A1276" s="90" t="n">
        <v>10</v>
      </c>
      <c r="B1276" s="91">
        <f>EDATE($B1275,1)</f>
        <v/>
      </c>
      <c r="C1276" s="92">
        <f>EOMONTH($B1276,0)</f>
        <v/>
      </c>
      <c r="D1276" s="87">
        <f>$C1276-$B1276+1</f>
        <v/>
      </c>
      <c r="E1276" s="87">
        <f>MONTH($B1276)</f>
        <v/>
      </c>
      <c r="F1276" s="93">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$N1276*IF($O$1264=1,$O1276/$F$1264,1)</f>
        <v/>
      </c>
      <c r="T1276" s="95">
        <f>IF($G1276&lt;nr_MStartP,$S1276,$T1264*(1+IF($G1276&lt;nr_MStartP1,$M$1264,$N$1264)))</f>
        <v/>
      </c>
      <c r="U1276" s="95">
        <f>IF($L$1264,$T1276,$N1276)</f>
        <v/>
      </c>
    </row>
    <row r="1277">
      <c r="A1277" s="90" t="n">
        <v>11</v>
      </c>
      <c r="B1277" s="91">
        <f>EDATE($B1276,1)</f>
        <v/>
      </c>
      <c r="C1277" s="92">
        <f>EOMONTH($B1277,0)</f>
        <v/>
      </c>
      <c r="D1277" s="87">
        <f>$C1277-$B1277+1</f>
        <v/>
      </c>
      <c r="E1277" s="87">
        <f>MONTH($B1277)</f>
        <v/>
      </c>
      <c r="F1277" s="93">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$N1277*IF($O$1264=1,$O1277/$F$1264,1)</f>
        <v/>
      </c>
      <c r="T1277" s="95">
        <f>IF($G1277&lt;nr_MStartP,$S1277,$T1265*(1+IF($G1277&lt;nr_MStartP1,$M$1264,$N$1264)))</f>
        <v/>
      </c>
      <c r="U1277" s="95">
        <f>IF($L$1264,$T1277,$N1277)</f>
        <v/>
      </c>
    </row>
    <row r="1278">
      <c r="A1278" s="90" t="n">
        <v>12</v>
      </c>
      <c r="B1278" s="91">
        <f>EDATE($B1277,1)</f>
        <v/>
      </c>
      <c r="C1278" s="92">
        <f>EOMONTH($B1278,0)</f>
        <v/>
      </c>
      <c r="D1278" s="87">
        <f>$C1278-$B1278+1</f>
        <v/>
      </c>
      <c r="E1278" s="87">
        <f>MONTH($B1278)</f>
        <v/>
      </c>
      <c r="F1278" s="93">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$N1278*IF($O$1264=1,$O1278/$F$1264,1)</f>
        <v/>
      </c>
      <c r="T1278" s="95">
        <f>IF($G1278&lt;nr_MStartP,$S1278,$T1266*(1+IF($G1278&lt;nr_MStartP1,$M$1264,$N$1264)))</f>
        <v/>
      </c>
      <c r="U1278" s="95">
        <f>IF($L$1264,$T1278,$N1278)</f>
        <v/>
      </c>
    </row>
    <row r="1279">
      <c r="A1279" s="90" t="n">
        <v>13</v>
      </c>
      <c r="B1279" s="91">
        <f>EDATE($B1278,1)</f>
        <v/>
      </c>
      <c r="C1279" s="92">
        <f>EOMONTH($B1279,0)</f>
        <v/>
      </c>
      <c r="D1279" s="87">
        <f>$C1279-$B1279+1</f>
        <v/>
      </c>
      <c r="E1279" s="87">
        <f>MONTH($B1279)</f>
        <v/>
      </c>
      <c r="F1279" s="93">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$N1279*IF($O$1264=1,$O1279/$F$1264,1)</f>
        <v/>
      </c>
      <c r="T1279" s="95">
        <f>IF($G1279&lt;nr_MStartP,$S1279,$T1267*(1+IF($G1279&lt;nr_MStartP1,$M$1264,$N$1264)))</f>
        <v/>
      </c>
      <c r="U1279" s="95">
        <f>IF($L$1264,$T1279,$N1279)</f>
        <v/>
      </c>
    </row>
    <row r="1280">
      <c r="A1280" s="90" t="n">
        <v>14</v>
      </c>
      <c r="B1280" s="91">
        <f>EDATE($B1279,1)</f>
        <v/>
      </c>
      <c r="C1280" s="92">
        <f>EOMONTH($B1280,0)</f>
        <v/>
      </c>
      <c r="D1280" s="87">
        <f>$C1280-$B1280+1</f>
        <v/>
      </c>
      <c r="E1280" s="87">
        <f>MONTH($B1280)</f>
        <v/>
      </c>
      <c r="F1280" s="93">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$N1280*IF($O$1264=1,$O1280/$F$1264,1)</f>
        <v/>
      </c>
      <c r="T1280" s="95">
        <f>IF($G1280&lt;nr_MStartP,$S1280,$T1268*(1+IF($G1280&lt;nr_MStartP1,$M$1264,$N$1264)))</f>
        <v/>
      </c>
      <c r="U1280" s="95">
        <f>IF($L$1264,$T1280,$N1280)</f>
        <v/>
      </c>
    </row>
    <row r="1281">
      <c r="A1281" s="90" t="n">
        <v>15</v>
      </c>
      <c r="B1281" s="91">
        <f>EDATE($B1280,1)</f>
        <v/>
      </c>
      <c r="C1281" s="92">
        <f>EOMONTH($B1281,0)</f>
        <v/>
      </c>
      <c r="D1281" s="87">
        <f>$C1281-$B1281+1</f>
        <v/>
      </c>
      <c r="E1281" s="87">
        <f>MONTH($B1281)</f>
        <v/>
      </c>
      <c r="F1281" s="93">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$N1281*IF($O$1264=1,$O1281/$F$1264,1)</f>
        <v/>
      </c>
      <c r="T1281" s="95">
        <f>IF($G1281&lt;nr_MStartP,$S1281,$T1269*(1+IF($G1281&lt;nr_MStartP1,$M$1264,$N$1264)))</f>
        <v/>
      </c>
      <c r="U1281" s="95">
        <f>IF($L$1264,$T1281,$N1281)</f>
        <v/>
      </c>
    </row>
    <row r="1282">
      <c r="A1282" s="90" t="n">
        <v>16</v>
      </c>
      <c r="B1282" s="91">
        <f>EDATE($B1281,1)</f>
        <v/>
      </c>
      <c r="C1282" s="92">
        <f>EOMONTH($B1282,0)</f>
        <v/>
      </c>
      <c r="D1282" s="87">
        <f>$C1282-$B1282+1</f>
        <v/>
      </c>
      <c r="E1282" s="87">
        <f>MONTH($B1282)</f>
        <v/>
      </c>
      <c r="F1282" s="93">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$N1282*IF($O$1264=1,$O1282/$F$1264,1)</f>
        <v/>
      </c>
      <c r="T1282" s="95">
        <f>IF($G1282&lt;nr_MStartP,$S1282,$T1270*(1+IF($G1282&lt;nr_MStartP1,$M$1264,$N$1264)))</f>
        <v/>
      </c>
      <c r="U1282" s="95">
        <f>IF($L$1264,$T1282,$N1282)</f>
        <v/>
      </c>
    </row>
    <row r="1283">
      <c r="A1283" s="90" t="n">
        <v>17</v>
      </c>
      <c r="B1283" s="91">
        <f>EDATE($B1282,1)</f>
        <v/>
      </c>
      <c r="C1283" s="92">
        <f>EOMONTH($B1283,0)</f>
        <v/>
      </c>
      <c r="D1283" s="87">
        <f>$C1283-$B1283+1</f>
        <v/>
      </c>
      <c r="E1283" s="87">
        <f>MONTH($B1283)</f>
        <v/>
      </c>
      <c r="F1283" s="93">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$N1283*IF($O$1264=1,$O1283/$F$1264,1)</f>
        <v/>
      </c>
      <c r="T1283" s="95">
        <f>IF($G1283&lt;nr_MStartP,$S1283,$T1271*(1+IF($G1283&lt;nr_MStartP1,$M$1264,$N$1264)))</f>
        <v/>
      </c>
      <c r="U1283" s="95">
        <f>IF($L$1264,$T1283,$N1283)</f>
        <v/>
      </c>
    </row>
    <row r="1284">
      <c r="A1284" s="90" t="n">
        <v>18</v>
      </c>
      <c r="B1284" s="91">
        <f>EDATE($B1283,1)</f>
        <v/>
      </c>
      <c r="C1284" s="92">
        <f>EOMONTH($B1284,0)</f>
        <v/>
      </c>
      <c r="D1284" s="87">
        <f>$C1284-$B1284+1</f>
        <v/>
      </c>
      <c r="E1284" s="87">
        <f>MONTH($B1284)</f>
        <v/>
      </c>
      <c r="F1284" s="93">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$N1284*IF($O$1264=1,$O1284/$F$1264,1)</f>
        <v/>
      </c>
      <c r="T1284" s="95">
        <f>IF($G1284&lt;nr_MStartP,$S1284,$T1272*(1+IF($G1284&lt;nr_MStartP1,$M$1264,$N$1264)))</f>
        <v/>
      </c>
      <c r="U1284" s="95">
        <f>IF($L$1264,$T1284,$N1284)</f>
        <v/>
      </c>
    </row>
    <row r="1285">
      <c r="A1285" s="90" t="n">
        <v>19</v>
      </c>
      <c r="B1285" s="91">
        <f>EDATE($B1284,1)</f>
        <v/>
      </c>
      <c r="C1285" s="92">
        <f>EOMONTH($B1285,0)</f>
        <v/>
      </c>
      <c r="D1285" s="87">
        <f>$C1285-$B1285+1</f>
        <v/>
      </c>
      <c r="E1285" s="87">
        <f>MONTH($B1285)</f>
        <v/>
      </c>
      <c r="F1285" s="93">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$N1285*IF($O$1264=1,$O1285/$F$1264,1)</f>
        <v/>
      </c>
      <c r="T1285" s="95">
        <f>IF($G1285&lt;nr_MStartP,$S1285,$T1273*(1+IF($G1285&lt;nr_MStartP1,$M$1264,$N$1264)))</f>
        <v/>
      </c>
      <c r="U1285" s="95">
        <f>IF($L$1264,$T1285,$N1285)</f>
        <v/>
      </c>
    </row>
    <row r="1286">
      <c r="A1286" s="90" t="n">
        <v>20</v>
      </c>
      <c r="B1286" s="91">
        <f>EDATE($B1285,1)</f>
        <v/>
      </c>
      <c r="C1286" s="92">
        <f>EOMONTH($B1286,0)</f>
        <v/>
      </c>
      <c r="D1286" s="87">
        <f>$C1286-$B1286+1</f>
        <v/>
      </c>
      <c r="E1286" s="87">
        <f>MONTH($B1286)</f>
        <v/>
      </c>
      <c r="F1286" s="93">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$N1286*IF($O$1264=1,$O1286/$F$1264,1)</f>
        <v/>
      </c>
      <c r="T1286" s="95">
        <f>IF($G1286&lt;nr_MStartP,$S1286,$T1274*(1+IF($G1286&lt;nr_MStartP1,$M$1264,$N$1264)))</f>
        <v/>
      </c>
      <c r="U1286" s="95">
        <f>IF($L$1264,$T1286,$N1286)</f>
        <v/>
      </c>
    </row>
    <row r="1287">
      <c r="A1287" s="90" t="n">
        <v>21</v>
      </c>
      <c r="B1287" s="91">
        <f>EDATE($B1286,1)</f>
        <v/>
      </c>
      <c r="C1287" s="92">
        <f>EOMONTH($B1287,0)</f>
        <v/>
      </c>
      <c r="D1287" s="87">
        <f>$C1287-$B1287+1</f>
        <v/>
      </c>
      <c r="E1287" s="87">
        <f>MONTH($B1287)</f>
        <v/>
      </c>
      <c r="F1287" s="93">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$N1287*IF($O$1264=1,$O1287/$F$1264,1)</f>
        <v/>
      </c>
      <c r="T1287" s="95">
        <f>IF($G1287&lt;nr_MStartP,$S1287,$T1275*(1+IF($G1287&lt;nr_MStartP1,$M$1264,$N$1264)))</f>
        <v/>
      </c>
      <c r="U1287" s="95">
        <f>IF($L$1264,$T1287,$N1287)</f>
        <v/>
      </c>
    </row>
    <row r="1288">
      <c r="A1288" s="90" t="n">
        <v>22</v>
      </c>
      <c r="B1288" s="91">
        <f>EDATE($B1287,1)</f>
        <v/>
      </c>
      <c r="C1288" s="92">
        <f>EOMONTH($B1288,0)</f>
        <v/>
      </c>
      <c r="D1288" s="87">
        <f>$C1288-$B1288+1</f>
        <v/>
      </c>
      <c r="E1288" s="87">
        <f>MONTH($B1288)</f>
        <v/>
      </c>
      <c r="F1288" s="93">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$N1288*IF($O$1264=1,$O1288/$F$1264,1)</f>
        <v/>
      </c>
      <c r="T1288" s="95">
        <f>IF($G1288&lt;nr_MStartP,$S1288,$T1276*(1+IF($G1288&lt;nr_MStartP1,$M$1264,$N$1264)))</f>
        <v/>
      </c>
      <c r="U1288" s="95">
        <f>IF($L$1264,$T1288,$N1288)</f>
        <v/>
      </c>
    </row>
    <row r="1289">
      <c r="A1289" s="90" t="n">
        <v>23</v>
      </c>
      <c r="B1289" s="91">
        <f>EDATE($B1288,1)</f>
        <v/>
      </c>
      <c r="C1289" s="92">
        <f>EOMONTH($B1289,0)</f>
        <v/>
      </c>
      <c r="D1289" s="87">
        <f>$C1289-$B1289+1</f>
        <v/>
      </c>
      <c r="E1289" s="87">
        <f>MONTH($B1289)</f>
        <v/>
      </c>
      <c r="F1289" s="93">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$N1289*IF($O$1264=1,$O1289/$F$1264,1)</f>
        <v/>
      </c>
      <c r="T1289" s="95">
        <f>IF($G1289&lt;nr_MStartP,$S1289,$T1277*(1+IF($G1289&lt;nr_MStartP1,$M$1264,$N$1264)))</f>
        <v/>
      </c>
      <c r="U1289" s="95">
        <f>IF($L$1264,$T1289,$N1289)</f>
        <v/>
      </c>
    </row>
    <row r="1290">
      <c r="A1290" s="90" t="n">
        <v>24</v>
      </c>
      <c r="B1290" s="91">
        <f>EDATE($B1289,1)</f>
        <v/>
      </c>
      <c r="C1290" s="92">
        <f>EOMONTH($B1290,0)</f>
        <v/>
      </c>
      <c r="D1290" s="87">
        <f>$C1290-$B1290+1</f>
        <v/>
      </c>
      <c r="E1290" s="87">
        <f>MONTH($B1290)</f>
        <v/>
      </c>
      <c r="F1290" s="93">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$N1290*IF($O$1264=1,$O1290/$F$1264,1)</f>
        <v/>
      </c>
      <c r="T1290" s="95">
        <f>IF($G1290&lt;nr_MStartP,$S1290,$T1278*(1+IF($G1290&lt;nr_MStartP1,$M$1264,$N$1264)))</f>
        <v/>
      </c>
      <c r="U1290" s="95">
        <f>IF($L$1264,$T1290,$N1290)</f>
        <v/>
      </c>
    </row>
    <row r="1291">
      <c r="A1291" s="90" t="n">
        <v>25</v>
      </c>
      <c r="B1291" s="91">
        <f>EDATE($B1290,1)</f>
        <v/>
      </c>
      <c r="C1291" s="92">
        <f>EOMONTH($B1291,0)</f>
        <v/>
      </c>
      <c r="D1291" s="87">
        <f>$C1291-$B1291+1</f>
        <v/>
      </c>
      <c r="E1291" s="87">
        <f>MONTH($B1291)</f>
        <v/>
      </c>
      <c r="F1291" s="93">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$N1291*IF($O$1264=1,$O1291/$F$1264,1)</f>
        <v/>
      </c>
      <c r="T1291" s="95">
        <f>IF($G1291&lt;nr_MStartP,$S1291,$T1279*(1+IF($G1291&lt;nr_MStartP1,$M$1264,$N$1264)))</f>
        <v/>
      </c>
      <c r="U1291" s="95">
        <f>IF($L$1264,$T1291,$N1291)</f>
        <v/>
      </c>
    </row>
    <row r="1292">
      <c r="A1292" s="90" t="n">
        <v>26</v>
      </c>
      <c r="B1292" s="91">
        <f>EDATE($B1291,1)</f>
        <v/>
      </c>
      <c r="C1292" s="92">
        <f>EOMONTH($B1292,0)</f>
        <v/>
      </c>
      <c r="D1292" s="87">
        <f>$C1292-$B1292+1</f>
        <v/>
      </c>
      <c r="E1292" s="87">
        <f>MONTH($B1292)</f>
        <v/>
      </c>
      <c r="F1292" s="93">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$N1292*IF($O$1264=1,$O1292/$F$1264,1)</f>
        <v/>
      </c>
      <c r="T1292" s="95">
        <f>IF($G1292&lt;nr_MStartP,$S1292,$T1280*(1+IF($G1292&lt;nr_MStartP1,$M$1264,$N$1264)))</f>
        <v/>
      </c>
      <c r="U1292" s="95">
        <f>IF($L$1264,$T1292,$N1292)</f>
        <v/>
      </c>
    </row>
    <row r="1293">
      <c r="A1293" s="90" t="n">
        <v>27</v>
      </c>
      <c r="B1293" s="91">
        <f>EDATE($B1292,1)</f>
        <v/>
      </c>
      <c r="C1293" s="92">
        <f>EOMONTH($B1293,0)</f>
        <v/>
      </c>
      <c r="D1293" s="87">
        <f>$C1293-$B1293+1</f>
        <v/>
      </c>
      <c r="E1293" s="87">
        <f>MONTH($B1293)</f>
        <v/>
      </c>
      <c r="F1293" s="93">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$N1293*IF($O$1264=1,$O1293/$F$1264,1)</f>
        <v/>
      </c>
      <c r="T1293" s="95">
        <f>IF($G1293&lt;nr_MStartP,$S1293,$T1281*(1+IF($G1293&lt;nr_MStartP1,$M$1264,$N$1264)))</f>
        <v/>
      </c>
      <c r="U1293" s="95">
        <f>IF($L$1264,$T1293,$N1293)</f>
        <v/>
      </c>
    </row>
    <row r="1294">
      <c r="A1294" s="90" t="n">
        <v>28</v>
      </c>
      <c r="B1294" s="91">
        <f>EDATE($B1293,1)</f>
        <v/>
      </c>
      <c r="C1294" s="92">
        <f>EOMONTH($B1294,0)</f>
        <v/>
      </c>
      <c r="D1294" s="87">
        <f>$C1294-$B1294+1</f>
        <v/>
      </c>
      <c r="E1294" s="87">
        <f>MONTH($B1294)</f>
        <v/>
      </c>
      <c r="F1294" s="93">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$N1294*IF($O$1264=1,$O1294/$F$1264,1)</f>
        <v/>
      </c>
      <c r="T1294" s="95">
        <f>IF($G1294&lt;nr_MStartP,$S1294,$T1282*(1+IF($G1294&lt;nr_MStartP1,$M$1264,$N$1264)))</f>
        <v/>
      </c>
      <c r="U1294" s="95">
        <f>IF($L$1264,$T1294,$N1294)</f>
        <v/>
      </c>
    </row>
    <row r="1295">
      <c r="A1295" s="90" t="n">
        <v>29</v>
      </c>
      <c r="B1295" s="91">
        <f>EDATE($B1294,1)</f>
        <v/>
      </c>
      <c r="C1295" s="92">
        <f>EOMONTH($B1295,0)</f>
        <v/>
      </c>
      <c r="D1295" s="87">
        <f>$C1295-$B1295+1</f>
        <v/>
      </c>
      <c r="E1295" s="87">
        <f>MONTH($B1295)</f>
        <v/>
      </c>
      <c r="F1295" s="93">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$N1295*IF($O$1264=1,$O1295/$F$1264,1)</f>
        <v/>
      </c>
      <c r="T1295" s="95">
        <f>IF($G1295&lt;nr_MStartP,$S1295,$T1283*(1+IF($G1295&lt;nr_MStartP1,$M$1264,$N$1264)))</f>
        <v/>
      </c>
      <c r="U1295" s="95">
        <f>IF($L$1264,$T1295,$N1295)</f>
        <v/>
      </c>
    </row>
    <row r="1296">
      <c r="A1296" s="90" t="n">
        <v>30</v>
      </c>
      <c r="B1296" s="91">
        <f>EDATE($B1295,1)</f>
        <v/>
      </c>
      <c r="C1296" s="92">
        <f>EOMONTH($B1296,0)</f>
        <v/>
      </c>
      <c r="D1296" s="87">
        <f>$C1296-$B1296+1</f>
        <v/>
      </c>
      <c r="E1296" s="87">
        <f>MONTH($B1296)</f>
        <v/>
      </c>
      <c r="F1296" s="93">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$N1296*IF($O$1264=1,$O1296/$F$1264,1)</f>
        <v/>
      </c>
      <c r="T1296" s="95">
        <f>IF($G1296&lt;nr_MStartP,$S1296,$T1284*(1+IF($G1296&lt;nr_MStartP1,$M$1264,$N$1264)))</f>
        <v/>
      </c>
      <c r="U1296" s="95">
        <f>IF($L$1264,$T1296,$N1296)</f>
        <v/>
      </c>
    </row>
    <row r="1297">
      <c r="A1297" s="90" t="n">
        <v>31</v>
      </c>
      <c r="B1297" s="91">
        <f>EDATE($B1296,1)</f>
        <v/>
      </c>
      <c r="C1297" s="92">
        <f>EOMONTH($B1297,0)</f>
        <v/>
      </c>
      <c r="D1297" s="87">
        <f>$C1297-$B1297+1</f>
        <v/>
      </c>
      <c r="E1297" s="87">
        <f>MONTH($B1297)</f>
        <v/>
      </c>
      <c r="F1297" s="93">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$N1297*IF($O$1264=1,$O1297/$F$1264,1)</f>
        <v/>
      </c>
      <c r="T1297" s="95">
        <f>IF($G1297&lt;nr_MStartP,$S1297,$T1285*(1+IF($G1297&lt;nr_MStartP1,$M$1264,$N$1264)))</f>
        <v/>
      </c>
      <c r="U1297" s="95">
        <f>IF($L$1264,$T1297,$N1297)</f>
        <v/>
      </c>
    </row>
    <row r="1298">
      <c r="A1298" s="90" t="n">
        <v>32</v>
      </c>
      <c r="B1298" s="91">
        <f>EDATE($B1297,1)</f>
        <v/>
      </c>
      <c r="C1298" s="92">
        <f>EOMONTH($B1298,0)</f>
        <v/>
      </c>
      <c r="D1298" s="87">
        <f>$C1298-$B1298+1</f>
        <v/>
      </c>
      <c r="E1298" s="87">
        <f>MONTH($B1298)</f>
        <v/>
      </c>
      <c r="F1298" s="93">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$N1298*IF($O$1264=1,$O1298/$F$1264,1)</f>
        <v/>
      </c>
      <c r="T1298" s="95">
        <f>IF($G1298&lt;nr_MStartP,$S1298,$T1286*(1+IF($G1298&lt;nr_MStartP1,$M$1264,$N$1264)))</f>
        <v/>
      </c>
      <c r="U1298" s="95">
        <f>IF($L$1264,$T1298,$N1298)</f>
        <v/>
      </c>
    </row>
    <row r="1299">
      <c r="A1299" s="90" t="n">
        <v>33</v>
      </c>
      <c r="B1299" s="91">
        <f>EDATE($B1298,1)</f>
        <v/>
      </c>
      <c r="C1299" s="92">
        <f>EOMONTH($B1299,0)</f>
        <v/>
      </c>
      <c r="D1299" s="87">
        <f>$C1299-$B1299+1</f>
        <v/>
      </c>
      <c r="E1299" s="87">
        <f>MONTH($B1299)</f>
        <v/>
      </c>
      <c r="F1299" s="93">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$N1299*IF($O$1264=1,$O1299/$F$1264,1)</f>
        <v/>
      </c>
      <c r="T1299" s="95">
        <f>IF($G1299&lt;nr_MStartP,$S1299,$T1287*(1+IF($G1299&lt;nr_MStartP1,$M$1264,$N$1264)))</f>
        <v/>
      </c>
      <c r="U1299" s="95">
        <f>IF($L$1264,$T1299,$N1299)</f>
        <v/>
      </c>
    </row>
    <row r="1300">
      <c r="A1300" s="90" t="n">
        <v>34</v>
      </c>
      <c r="B1300" s="91">
        <f>EDATE($B1299,1)</f>
        <v/>
      </c>
      <c r="C1300" s="92">
        <f>EOMONTH($B1300,0)</f>
        <v/>
      </c>
      <c r="D1300" s="87">
        <f>$C1300-$B1300+1</f>
        <v/>
      </c>
      <c r="E1300" s="87">
        <f>MONTH($B1300)</f>
        <v/>
      </c>
      <c r="F1300" s="93">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$N1300*IF($O$1264=1,$O1300/$F$1264,1)</f>
        <v/>
      </c>
      <c r="T1300" s="95">
        <f>IF($G1300&lt;nr_MStartP,$S1300,$T1288*(1+IF($G1300&lt;nr_MStartP1,$M$1264,$N$1264)))</f>
        <v/>
      </c>
      <c r="U1300" s="95">
        <f>IF($L$1264,$T1300,$N1300)</f>
        <v/>
      </c>
    </row>
    <row r="1301">
      <c r="A1301" s="90" t="n">
        <v>35</v>
      </c>
      <c r="B1301" s="91">
        <f>EDATE($B1300,1)</f>
        <v/>
      </c>
      <c r="C1301" s="92">
        <f>EOMONTH($B1301,0)</f>
        <v/>
      </c>
      <c r="D1301" s="87">
        <f>$C1301-$B1301+1</f>
        <v/>
      </c>
      <c r="E1301" s="87">
        <f>MONTH($B1301)</f>
        <v/>
      </c>
      <c r="F1301" s="93">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$N1301*IF($O$1264=1,$O1301/$F$1264,1)</f>
        <v/>
      </c>
      <c r="T1301" s="95">
        <f>IF($G1301&lt;nr_MStartP,$S1301,$T1289*(1+IF($G1301&lt;nr_MStartP1,$M$1264,$N$1264)))</f>
        <v/>
      </c>
      <c r="U1301" s="95">
        <f>IF($L$1264,$T1301,$N1301)</f>
        <v/>
      </c>
    </row>
    <row r="1302">
      <c r="A1302" s="90" t="n">
        <v>36</v>
      </c>
      <c r="B1302" s="91">
        <f>EDATE($B1301,1)</f>
        <v/>
      </c>
      <c r="C1302" s="92">
        <f>EOMONTH($B1302,0)</f>
        <v/>
      </c>
      <c r="D1302" s="87">
        <f>$C1302-$B1302+1</f>
        <v/>
      </c>
      <c r="E1302" s="87">
        <f>MONTH($B1302)</f>
        <v/>
      </c>
      <c r="F1302" s="93">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$N1302*IF($O$1264=1,$O1302/$F$1264,1)</f>
        <v/>
      </c>
      <c r="T1302" s="95">
        <f>IF($G1302&lt;nr_MStartP,$S1302,$T1290*(1+IF($G1302&lt;nr_MStartP1,$M$1264,$N$1264)))</f>
        <v/>
      </c>
      <c r="U1302" s="95">
        <f>IF($L$1264,$T1302,$N1302)</f>
        <v/>
      </c>
    </row>
    <row r="1303">
      <c r="A1303" s="90" t="n">
        <v>37</v>
      </c>
      <c r="B1303" s="91">
        <f>EDATE($B1302,1)</f>
        <v/>
      </c>
      <c r="C1303" s="92">
        <f>EOMONTH($B1303,0)</f>
        <v/>
      </c>
      <c r="D1303" s="87">
        <f>$C1303-$B1303+1</f>
        <v/>
      </c>
      <c r="E1303" s="87">
        <f>MONTH($B1303)</f>
        <v/>
      </c>
      <c r="F1303" s="93">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$N1303*IF($O$1264=1,$O1303/$F$1264,1)</f>
        <v/>
      </c>
      <c r="T1303" s="95">
        <f>IF($G1303&lt;nr_MStartP,$S1303,$T1291*(1+IF($G1303&lt;nr_MStartP1,$M$1264,$N$1264)))</f>
        <v/>
      </c>
      <c r="U1303" s="95">
        <f>IF($L$1264,$T1303,$N1303)</f>
        <v/>
      </c>
    </row>
    <row r="1304">
      <c r="A1304" s="90" t="n">
        <v>38</v>
      </c>
      <c r="B1304" s="91">
        <f>EDATE($B1303,1)</f>
        <v/>
      </c>
      <c r="C1304" s="92">
        <f>EOMONTH($B1304,0)</f>
        <v/>
      </c>
      <c r="D1304" s="87">
        <f>$C1304-$B1304+1</f>
        <v/>
      </c>
      <c r="E1304" s="87">
        <f>MONTH($B1304)</f>
        <v/>
      </c>
      <c r="F1304" s="93">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$N1304*IF($O$1264=1,$O1304/$F$1264,1)</f>
        <v/>
      </c>
      <c r="T1304" s="95">
        <f>IF($G1304&lt;nr_MStartP,$S1304,$T1292*(1+IF($G1304&lt;nr_MStartP1,$M$1264,$N$1264)))</f>
        <v/>
      </c>
      <c r="U1304" s="95">
        <f>IF($L$1264,$T1304,$N1304)</f>
        <v/>
      </c>
    </row>
    <row r="1305">
      <c r="A1305" s="90" t="n">
        <v>39</v>
      </c>
      <c r="B1305" s="91">
        <f>EDATE($B1304,1)</f>
        <v/>
      </c>
      <c r="C1305" s="92">
        <f>EOMONTH($B1305,0)</f>
        <v/>
      </c>
      <c r="D1305" s="87">
        <f>$C1305-$B1305+1</f>
        <v/>
      </c>
      <c r="E1305" s="87">
        <f>MONTH($B1305)</f>
        <v/>
      </c>
      <c r="F1305" s="93">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$N1305*IF($O$1264=1,$O1305/$F$1264,1)</f>
        <v/>
      </c>
      <c r="T1305" s="95">
        <f>IF($G1305&lt;nr_MStartP,$S1305,$T1293*(1+IF($G1305&lt;nr_MStartP1,$M$1264,$N$1264)))</f>
        <v/>
      </c>
      <c r="U1305" s="95">
        <f>IF($L$1264,$T1305,$N1305)</f>
        <v/>
      </c>
    </row>
    <row r="1306">
      <c r="A1306" s="90" t="n">
        <v>40</v>
      </c>
      <c r="B1306" s="91">
        <f>EDATE($B1305,1)</f>
        <v/>
      </c>
      <c r="C1306" s="92">
        <f>EOMONTH($B1306,0)</f>
        <v/>
      </c>
      <c r="D1306" s="87">
        <f>$C1306-$B1306+1</f>
        <v/>
      </c>
      <c r="E1306" s="87">
        <f>MONTH($B1306)</f>
        <v/>
      </c>
      <c r="F1306" s="93">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$N1306*IF($O$1264=1,$O1306/$F$1264,1)</f>
        <v/>
      </c>
      <c r="T1306" s="95">
        <f>IF($G1306&lt;nr_MStartP,$S1306,$T1294*(1+IF($G1306&lt;nr_MStartP1,$M$1264,$N$1264)))</f>
        <v/>
      </c>
      <c r="U1306" s="95">
        <f>IF($L$1264,$T1306,$N1306)</f>
        <v/>
      </c>
    </row>
    <row r="1307">
      <c r="A1307" s="90" t="n">
        <v>41</v>
      </c>
      <c r="B1307" s="91">
        <f>EDATE($B1306,1)</f>
        <v/>
      </c>
      <c r="C1307" s="92">
        <f>EOMONTH($B1307,0)</f>
        <v/>
      </c>
      <c r="D1307" s="87">
        <f>$C1307-$B1307+1</f>
        <v/>
      </c>
      <c r="E1307" s="87">
        <f>MONTH($B1307)</f>
        <v/>
      </c>
      <c r="F1307" s="93">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$N1307*IF($O$1264=1,$O1307/$F$1264,1)</f>
        <v/>
      </c>
      <c r="T1307" s="95">
        <f>IF($G1307&lt;nr_MStartP,$S1307,$T1295*(1+IF($G1307&lt;nr_MStartP1,$M$1264,$N$1264)))</f>
        <v/>
      </c>
      <c r="U1307" s="95">
        <f>IF($L$1264,$T1307,$N1307)</f>
        <v/>
      </c>
    </row>
    <row r="1308">
      <c r="A1308" s="90" t="n">
        <v>42</v>
      </c>
      <c r="B1308" s="91">
        <f>EDATE($B1307,1)</f>
        <v/>
      </c>
      <c r="C1308" s="92">
        <f>EOMONTH($B1308,0)</f>
        <v/>
      </c>
      <c r="D1308" s="87">
        <f>$C1308-$B1308+1</f>
        <v/>
      </c>
      <c r="E1308" s="87">
        <f>MONTH($B1308)</f>
        <v/>
      </c>
      <c r="F1308" s="93">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$N1308*IF($O$1264=1,$O1308/$F$1264,1)</f>
        <v/>
      </c>
      <c r="T1308" s="95">
        <f>IF($G1308&lt;nr_MStartP,$S1308,$T1296*(1+IF($G1308&lt;nr_MStartP1,$M$1264,$N$1264)))</f>
        <v/>
      </c>
      <c r="U1308" s="95">
        <f>IF($L$1264,$T1308,$N1308)</f>
        <v/>
      </c>
    </row>
    <row r="1309">
      <c r="A1309" s="90" t="n">
        <v>43</v>
      </c>
      <c r="B1309" s="91">
        <f>EDATE($B1308,1)</f>
        <v/>
      </c>
      <c r="C1309" s="92">
        <f>EOMONTH($B1309,0)</f>
        <v/>
      </c>
      <c r="D1309" s="87">
        <f>$C1309-$B1309+1</f>
        <v/>
      </c>
      <c r="E1309" s="87">
        <f>MONTH($B1309)</f>
        <v/>
      </c>
      <c r="F1309" s="93">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$N1309*IF($O$1264=1,$O1309/$F$1264,1)</f>
        <v/>
      </c>
      <c r="T1309" s="95">
        <f>IF($G1309&lt;nr_MStartP,$S1309,$T1297*(1+IF($G1309&lt;nr_MStartP1,$M$1264,$N$1264)))</f>
        <v/>
      </c>
      <c r="U1309" s="95">
        <f>IF($L$1264,$T1309,$N1309)</f>
        <v/>
      </c>
    </row>
    <row r="1310">
      <c r="A1310" s="90" t="n">
        <v>44</v>
      </c>
      <c r="B1310" s="91">
        <f>EDATE($B1309,1)</f>
        <v/>
      </c>
      <c r="C1310" s="92">
        <f>EOMONTH($B1310,0)</f>
        <v/>
      </c>
      <c r="D1310" s="87">
        <f>$C1310-$B1310+1</f>
        <v/>
      </c>
      <c r="E1310" s="87">
        <f>MONTH($B1310)</f>
        <v/>
      </c>
      <c r="F1310" s="93">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$N1310*IF($O$1264=1,$O1310/$F$1264,1)</f>
        <v/>
      </c>
      <c r="T1310" s="95">
        <f>IF($G1310&lt;nr_MStartP,$S1310,$T1298*(1+IF($G1310&lt;nr_MStartP1,$M$1264,$N$1264)))</f>
        <v/>
      </c>
      <c r="U1310" s="95">
        <f>IF($L$1264,$T1310,$N1310)</f>
        <v/>
      </c>
    </row>
    <row r="1311">
      <c r="A1311" s="90" t="n">
        <v>45</v>
      </c>
      <c r="B1311" s="91">
        <f>EDATE($B1310,1)</f>
        <v/>
      </c>
      <c r="C1311" s="92">
        <f>EOMONTH($B1311,0)</f>
        <v/>
      </c>
      <c r="D1311" s="87">
        <f>$C1311-$B1311+1</f>
        <v/>
      </c>
      <c r="E1311" s="87">
        <f>MONTH($B1311)</f>
        <v/>
      </c>
      <c r="F1311" s="93">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$N1311*IF($O$1264=1,$O1311/$F$1264,1)</f>
        <v/>
      </c>
      <c r="T1311" s="95">
        <f>IF($G1311&lt;nr_MStartP,$S1311,$T1299*(1+IF($G1311&lt;nr_MStartP1,$M$1264,$N$1264)))</f>
        <v/>
      </c>
      <c r="U1311" s="95">
        <f>IF($L$1264,$T1311,$N1311)</f>
        <v/>
      </c>
    </row>
    <row r="1312">
      <c r="A1312" s="90" t="n">
        <v>46</v>
      </c>
      <c r="B1312" s="91">
        <f>EDATE($B1311,1)</f>
        <v/>
      </c>
      <c r="C1312" s="92">
        <f>EOMONTH($B1312,0)</f>
        <v/>
      </c>
      <c r="D1312" s="87">
        <f>$C1312-$B1312+1</f>
        <v/>
      </c>
      <c r="E1312" s="87">
        <f>MONTH($B1312)</f>
        <v/>
      </c>
      <c r="F1312" s="93">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$N1312*IF($O$1264=1,$O1312/$F$1264,1)</f>
        <v/>
      </c>
      <c r="T1312" s="95">
        <f>IF($G1312&lt;nr_MStartP,$S1312,$T1300*(1+IF($G1312&lt;nr_MStartP1,$M$1264,$N$1264)))</f>
        <v/>
      </c>
      <c r="U1312" s="95">
        <f>IF($L$1264,$T1312,$N1312)</f>
        <v/>
      </c>
    </row>
    <row r="1313">
      <c r="A1313" s="90" t="n">
        <v>47</v>
      </c>
      <c r="B1313" s="91">
        <f>EDATE($B1312,1)</f>
        <v/>
      </c>
      <c r="C1313" s="92">
        <f>EOMONTH($B1313,0)</f>
        <v/>
      </c>
      <c r="D1313" s="87">
        <f>$C1313-$B1313+1</f>
        <v/>
      </c>
      <c r="E1313" s="87">
        <f>MONTH($B1313)</f>
        <v/>
      </c>
      <c r="F1313" s="93">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$N1313*IF($O$1264=1,$O1313/$F$1264,1)</f>
        <v/>
      </c>
      <c r="T1313" s="95">
        <f>IF($G1313&lt;nr_MStartP,$S1313,$T1301*(1+IF($G1313&lt;nr_MStartP1,$M$1264,$N$1264)))</f>
        <v/>
      </c>
      <c r="U1313" s="95">
        <f>IF($L$1264,$T1313,$N1313)</f>
        <v/>
      </c>
    </row>
    <row r="1314">
      <c r="A1314" s="90" t="n">
        <v>48</v>
      </c>
      <c r="B1314" s="91">
        <f>EDATE($B1313,1)</f>
        <v/>
      </c>
      <c r="C1314" s="92">
        <f>EOMONTH($B1314,0)</f>
        <v/>
      </c>
      <c r="D1314" s="87">
        <f>$C1314-$B1314+1</f>
        <v/>
      </c>
      <c r="E1314" s="87">
        <f>MONTH($B1314)</f>
        <v/>
      </c>
      <c r="F1314" s="93">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$N1314*IF($O$1264=1,$O1314/$F$1264,1)</f>
        <v/>
      </c>
      <c r="T1314" s="95">
        <f>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04">
        <f>SUMPRODUCT($H$1267:$H$1314,$Q$1267:$Q$1314,$O$1267:$O$1314)/SUMPRODUCT($H$1267:$H$1314,$Q$1267:$Q$1314)</f>
        <v/>
      </c>
      <c r="G1315" s="20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04">
        <f>IF(N(INDEX(lr_mind,24))=0,1,INDEX(lr_mind,24))</f>
        <v/>
      </c>
      <c r="G1318" s="204">
        <f>IF(N(INDEX(lr_m0,24))=0,1,INDEX(lr_m0,24))</f>
        <v/>
      </c>
      <c r="H1318" s="73">
        <f>IF(N(INDEX(lr_m0asof,24))=0,DATE(nr_PlanYear-1,10,1),INDEX(lr_m0asof,24))</f>
        <v/>
      </c>
      <c r="I1318" s="204">
        <f>IF(N(INDEX(lr_m1,24))=0,1,INDEX(lr_m1,24))</f>
        <v/>
      </c>
      <c r="J1318" s="204">
        <f>INDEX(lr_mprior,24)</f>
        <v/>
      </c>
      <c r="K1318" s="20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93">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$N1321*IF($O$1318=1,$O1321/$F$1318,1)</f>
        <v/>
      </c>
      <c r="T1321" s="95">
        <f>IF($G1321&lt;nr_MStartP,$S1321,$T1309*(1+IF($G1321&lt;nr_MStartP1,$M$1318,$N$1318)))</f>
        <v/>
      </c>
      <c r="U1321" s="95">
        <f>IF($L$1318,$T1321,$N1321)</f>
        <v/>
      </c>
    </row>
    <row r="1322">
      <c r="A1322" s="90" t="n">
        <v>2</v>
      </c>
      <c r="B1322" s="91">
        <f>EDATE($B1321,1)</f>
        <v/>
      </c>
      <c r="C1322" s="92">
        <f>EOMONTH($B1322,0)</f>
        <v/>
      </c>
      <c r="D1322" s="87">
        <f>$C1322-$B1322+1</f>
        <v/>
      </c>
      <c r="E1322" s="87">
        <f>MONTH($B1322)</f>
        <v/>
      </c>
      <c r="F1322" s="93">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$N1322*IF($O$1318=1,$O1322/$F$1318,1)</f>
        <v/>
      </c>
      <c r="T1322" s="95">
        <f>IF($G1322&lt;nr_MStartP,$S1322,$T1310*(1+IF($G1322&lt;nr_MStartP1,$M$1318,$N$1318)))</f>
        <v/>
      </c>
      <c r="U1322" s="95">
        <f>IF($L$1318,$T1322,$N1322)</f>
        <v/>
      </c>
    </row>
    <row r="1323">
      <c r="A1323" s="90" t="n">
        <v>3</v>
      </c>
      <c r="B1323" s="91">
        <f>EDATE($B1322,1)</f>
        <v/>
      </c>
      <c r="C1323" s="92">
        <f>EOMONTH($B1323,0)</f>
        <v/>
      </c>
      <c r="D1323" s="87">
        <f>$C1323-$B1323+1</f>
        <v/>
      </c>
      <c r="E1323" s="87">
        <f>MONTH($B1323)</f>
        <v/>
      </c>
      <c r="F1323" s="93">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$N1323*IF($O$1318=1,$O1323/$F$1318,1)</f>
        <v/>
      </c>
      <c r="T1323" s="95">
        <f>IF($G1323&lt;nr_MStartP,$S1323,$T1311*(1+IF($G1323&lt;nr_MStartP1,$M$1318,$N$1318)))</f>
        <v/>
      </c>
      <c r="U1323" s="95">
        <f>IF($L$1318,$T1323,$N1323)</f>
        <v/>
      </c>
    </row>
    <row r="1324">
      <c r="A1324" s="90" t="n">
        <v>4</v>
      </c>
      <c r="B1324" s="91">
        <f>EDATE($B1323,1)</f>
        <v/>
      </c>
      <c r="C1324" s="92">
        <f>EOMONTH($B1324,0)</f>
        <v/>
      </c>
      <c r="D1324" s="87">
        <f>$C1324-$B1324+1</f>
        <v/>
      </c>
      <c r="E1324" s="87">
        <f>MONTH($B1324)</f>
        <v/>
      </c>
      <c r="F1324" s="93">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$N1324*IF($O$1318=1,$O1324/$F$1318,1)</f>
        <v/>
      </c>
      <c r="T1324" s="95">
        <f>IF($G1324&lt;nr_MStartP,$S1324,$T1312*(1+IF($G1324&lt;nr_MStartP1,$M$1318,$N$1318)))</f>
        <v/>
      </c>
      <c r="U1324" s="95">
        <f>IF($L$1318,$T1324,$N1324)</f>
        <v/>
      </c>
    </row>
    <row r="1325">
      <c r="A1325" s="90" t="n">
        <v>5</v>
      </c>
      <c r="B1325" s="91">
        <f>EDATE($B1324,1)</f>
        <v/>
      </c>
      <c r="C1325" s="92">
        <f>EOMONTH($B1325,0)</f>
        <v/>
      </c>
      <c r="D1325" s="87">
        <f>$C1325-$B1325+1</f>
        <v/>
      </c>
      <c r="E1325" s="87">
        <f>MONTH($B1325)</f>
        <v/>
      </c>
      <c r="F1325" s="93">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$N1325*IF($O$1318=1,$O1325/$F$1318,1)</f>
        <v/>
      </c>
      <c r="T1325" s="95">
        <f>IF($G1325&lt;nr_MStartP,$S1325,$T1313*(1+IF($G1325&lt;nr_MStartP1,$M$1318,$N$1318)))</f>
        <v/>
      </c>
      <c r="U1325" s="95">
        <f>IF($L$1318,$T1325,$N1325)</f>
        <v/>
      </c>
    </row>
    <row r="1326">
      <c r="A1326" s="90" t="n">
        <v>6</v>
      </c>
      <c r="B1326" s="91">
        <f>EDATE($B1325,1)</f>
        <v/>
      </c>
      <c r="C1326" s="92">
        <f>EOMONTH($B1326,0)</f>
        <v/>
      </c>
      <c r="D1326" s="87">
        <f>$C1326-$B1326+1</f>
        <v/>
      </c>
      <c r="E1326" s="87">
        <f>MONTH($B1326)</f>
        <v/>
      </c>
      <c r="F1326" s="93">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$N1326*IF($O$1318=1,$O1326/$F$1318,1)</f>
        <v/>
      </c>
      <c r="T1326" s="95">
        <f>IF($G1326&lt;nr_MStartP,$S1326,$T1314*(1+IF($G1326&lt;nr_MStartP1,$M$1318,$N$1318)))</f>
        <v/>
      </c>
      <c r="U1326" s="95">
        <f>IF($L$1318,$T1326,$N1326)</f>
        <v/>
      </c>
    </row>
    <row r="1327">
      <c r="A1327" s="90" t="n">
        <v>7</v>
      </c>
      <c r="B1327" s="91">
        <f>EDATE($B1326,1)</f>
        <v/>
      </c>
      <c r="C1327" s="92">
        <f>EOMONTH($B1327,0)</f>
        <v/>
      </c>
      <c r="D1327" s="87">
        <f>$C1327-$B1327+1</f>
        <v/>
      </c>
      <c r="E1327" s="87">
        <f>MONTH($B1327)</f>
        <v/>
      </c>
      <c r="F1327" s="93">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$N1327*IF($O$1318=1,$O1327/$F$1318,1)</f>
        <v/>
      </c>
      <c r="T1327" s="95">
        <f>IF($G1327&lt;nr_MStartP,$S1327,$T1315*(1+IF($G1327&lt;nr_MStartP1,$M$1318,$N$1318)))</f>
        <v/>
      </c>
      <c r="U1327" s="95">
        <f>IF($L$1318,$T1327,$N1327)</f>
        <v/>
      </c>
    </row>
    <row r="1328">
      <c r="A1328" s="90" t="n">
        <v>8</v>
      </c>
      <c r="B1328" s="91">
        <f>EDATE($B1327,1)</f>
        <v/>
      </c>
      <c r="C1328" s="92">
        <f>EOMONTH($B1328,0)</f>
        <v/>
      </c>
      <c r="D1328" s="87">
        <f>$C1328-$B1328+1</f>
        <v/>
      </c>
      <c r="E1328" s="87">
        <f>MONTH($B1328)</f>
        <v/>
      </c>
      <c r="F1328" s="93">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$N1328*IF($O$1318=1,$O1328/$F$1318,1)</f>
        <v/>
      </c>
      <c r="T1328" s="95">
        <f>IF($G1328&lt;nr_MStartP,$S1328,$T1316*(1+IF($G1328&lt;nr_MStartP1,$M$1318,$N$1318)))</f>
        <v/>
      </c>
      <c r="U1328" s="95">
        <f>IF($L$1318,$T1328,$N1328)</f>
        <v/>
      </c>
    </row>
    <row r="1329">
      <c r="A1329" s="90" t="n">
        <v>9</v>
      </c>
      <c r="B1329" s="91">
        <f>EDATE($B1328,1)</f>
        <v/>
      </c>
      <c r="C1329" s="92">
        <f>EOMONTH($B1329,0)</f>
        <v/>
      </c>
      <c r="D1329" s="87">
        <f>$C1329-$B1329+1</f>
        <v/>
      </c>
      <c r="E1329" s="87">
        <f>MONTH($B1329)</f>
        <v/>
      </c>
      <c r="F1329" s="93">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$N1329*IF($O$1318=1,$O1329/$F$1318,1)</f>
        <v/>
      </c>
      <c r="T1329" s="95">
        <f>IF($G1329&lt;nr_MStartP,$S1329,$T1317*(1+IF($G1329&lt;nr_MStartP1,$M$1318,$N$1318)))</f>
        <v/>
      </c>
      <c r="U1329" s="95">
        <f>IF($L$1318,$T1329,$N1329)</f>
        <v/>
      </c>
    </row>
    <row r="1330">
      <c r="A1330" s="90" t="n">
        <v>10</v>
      </c>
      <c r="B1330" s="91">
        <f>EDATE($B1329,1)</f>
        <v/>
      </c>
      <c r="C1330" s="92">
        <f>EOMONTH($B1330,0)</f>
        <v/>
      </c>
      <c r="D1330" s="87">
        <f>$C1330-$B1330+1</f>
        <v/>
      </c>
      <c r="E1330" s="87">
        <f>MONTH($B1330)</f>
        <v/>
      </c>
      <c r="F1330" s="93">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$N1330*IF($O$1318=1,$O1330/$F$1318,1)</f>
        <v/>
      </c>
      <c r="T1330" s="95">
        <f>IF($G1330&lt;nr_MStartP,$S1330,$T1318*(1+IF($G1330&lt;nr_MStartP1,$M$1318,$N$1318)))</f>
        <v/>
      </c>
      <c r="U1330" s="95">
        <f>IF($L$1318,$T1330,$N1330)</f>
        <v/>
      </c>
    </row>
    <row r="1331">
      <c r="A1331" s="90" t="n">
        <v>11</v>
      </c>
      <c r="B1331" s="91">
        <f>EDATE($B1330,1)</f>
        <v/>
      </c>
      <c r="C1331" s="92">
        <f>EOMONTH($B1331,0)</f>
        <v/>
      </c>
      <c r="D1331" s="87">
        <f>$C1331-$B1331+1</f>
        <v/>
      </c>
      <c r="E1331" s="87">
        <f>MONTH($B1331)</f>
        <v/>
      </c>
      <c r="F1331" s="93">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$N1331*IF($O$1318=1,$O1331/$F$1318,1)</f>
        <v/>
      </c>
      <c r="T1331" s="95">
        <f>IF($G1331&lt;nr_MStartP,$S1331,$T1319*(1+IF($G1331&lt;nr_MStartP1,$M$1318,$N$1318)))</f>
        <v/>
      </c>
      <c r="U1331" s="95">
        <f>IF($L$1318,$T1331,$N1331)</f>
        <v/>
      </c>
    </row>
    <row r="1332">
      <c r="A1332" s="90" t="n">
        <v>12</v>
      </c>
      <c r="B1332" s="91">
        <f>EDATE($B1331,1)</f>
        <v/>
      </c>
      <c r="C1332" s="92">
        <f>EOMONTH($B1332,0)</f>
        <v/>
      </c>
      <c r="D1332" s="87">
        <f>$C1332-$B1332+1</f>
        <v/>
      </c>
      <c r="E1332" s="87">
        <f>MONTH($B1332)</f>
        <v/>
      </c>
      <c r="F1332" s="93">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$N1332*IF($O$1318=1,$O1332/$F$1318,1)</f>
        <v/>
      </c>
      <c r="T1332" s="95">
        <f>IF($G1332&lt;nr_MStartP,$S1332,$T1320*(1+IF($G1332&lt;nr_MStartP1,$M$1318,$N$1318)))</f>
        <v/>
      </c>
      <c r="U1332" s="95">
        <f>IF($L$1318,$T1332,$N1332)</f>
        <v/>
      </c>
    </row>
    <row r="1333">
      <c r="A1333" s="90" t="n">
        <v>13</v>
      </c>
      <c r="B1333" s="91">
        <f>EDATE($B1332,1)</f>
        <v/>
      </c>
      <c r="C1333" s="92">
        <f>EOMONTH($B1333,0)</f>
        <v/>
      </c>
      <c r="D1333" s="87">
        <f>$C1333-$B1333+1</f>
        <v/>
      </c>
      <c r="E1333" s="87">
        <f>MONTH($B1333)</f>
        <v/>
      </c>
      <c r="F1333" s="93">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$N1333*IF($O$1318=1,$O1333/$F$1318,1)</f>
        <v/>
      </c>
      <c r="T1333" s="95">
        <f>IF($G1333&lt;nr_MStartP,$S1333,$T1321*(1+IF($G1333&lt;nr_MStartP1,$M$1318,$N$1318)))</f>
        <v/>
      </c>
      <c r="U1333" s="95">
        <f>IF($L$1318,$T1333,$N1333)</f>
        <v/>
      </c>
    </row>
    <row r="1334">
      <c r="A1334" s="90" t="n">
        <v>14</v>
      </c>
      <c r="B1334" s="91">
        <f>EDATE($B1333,1)</f>
        <v/>
      </c>
      <c r="C1334" s="92">
        <f>EOMONTH($B1334,0)</f>
        <v/>
      </c>
      <c r="D1334" s="87">
        <f>$C1334-$B1334+1</f>
        <v/>
      </c>
      <c r="E1334" s="87">
        <f>MONTH($B1334)</f>
        <v/>
      </c>
      <c r="F1334" s="93">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$N1334*IF($O$1318=1,$O1334/$F$1318,1)</f>
        <v/>
      </c>
      <c r="T1334" s="95">
        <f>IF($G1334&lt;nr_MStartP,$S1334,$T1322*(1+IF($G1334&lt;nr_MStartP1,$M$1318,$N$1318)))</f>
        <v/>
      </c>
      <c r="U1334" s="95">
        <f>IF($L$1318,$T1334,$N1334)</f>
        <v/>
      </c>
    </row>
    <row r="1335">
      <c r="A1335" s="90" t="n">
        <v>15</v>
      </c>
      <c r="B1335" s="91">
        <f>EDATE($B1334,1)</f>
        <v/>
      </c>
      <c r="C1335" s="92">
        <f>EOMONTH($B1335,0)</f>
        <v/>
      </c>
      <c r="D1335" s="87">
        <f>$C1335-$B1335+1</f>
        <v/>
      </c>
      <c r="E1335" s="87">
        <f>MONTH($B1335)</f>
        <v/>
      </c>
      <c r="F1335" s="93">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$N1335*IF($O$1318=1,$O1335/$F$1318,1)</f>
        <v/>
      </c>
      <c r="T1335" s="95">
        <f>IF($G1335&lt;nr_MStartP,$S1335,$T1323*(1+IF($G1335&lt;nr_MStartP1,$M$1318,$N$1318)))</f>
        <v/>
      </c>
      <c r="U1335" s="95">
        <f>IF($L$1318,$T1335,$N1335)</f>
        <v/>
      </c>
    </row>
    <row r="1336">
      <c r="A1336" s="90" t="n">
        <v>16</v>
      </c>
      <c r="B1336" s="91">
        <f>EDATE($B1335,1)</f>
        <v/>
      </c>
      <c r="C1336" s="92">
        <f>EOMONTH($B1336,0)</f>
        <v/>
      </c>
      <c r="D1336" s="87">
        <f>$C1336-$B1336+1</f>
        <v/>
      </c>
      <c r="E1336" s="87">
        <f>MONTH($B1336)</f>
        <v/>
      </c>
      <c r="F1336" s="93">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$N1336*IF($O$1318=1,$O1336/$F$1318,1)</f>
        <v/>
      </c>
      <c r="T1336" s="95">
        <f>IF($G1336&lt;nr_MStartP,$S1336,$T1324*(1+IF($G1336&lt;nr_MStartP1,$M$1318,$N$1318)))</f>
        <v/>
      </c>
      <c r="U1336" s="95">
        <f>IF($L$1318,$T1336,$N1336)</f>
        <v/>
      </c>
    </row>
    <row r="1337">
      <c r="A1337" s="90" t="n">
        <v>17</v>
      </c>
      <c r="B1337" s="91">
        <f>EDATE($B1336,1)</f>
        <v/>
      </c>
      <c r="C1337" s="92">
        <f>EOMONTH($B1337,0)</f>
        <v/>
      </c>
      <c r="D1337" s="87">
        <f>$C1337-$B1337+1</f>
        <v/>
      </c>
      <c r="E1337" s="87">
        <f>MONTH($B1337)</f>
        <v/>
      </c>
      <c r="F1337" s="93">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$N1337*IF($O$1318=1,$O1337/$F$1318,1)</f>
        <v/>
      </c>
      <c r="T1337" s="95">
        <f>IF($G1337&lt;nr_MStartP,$S1337,$T1325*(1+IF($G1337&lt;nr_MStartP1,$M$1318,$N$1318)))</f>
        <v/>
      </c>
      <c r="U1337" s="95">
        <f>IF($L$1318,$T1337,$N1337)</f>
        <v/>
      </c>
    </row>
    <row r="1338">
      <c r="A1338" s="90" t="n">
        <v>18</v>
      </c>
      <c r="B1338" s="91">
        <f>EDATE($B1337,1)</f>
        <v/>
      </c>
      <c r="C1338" s="92">
        <f>EOMONTH($B1338,0)</f>
        <v/>
      </c>
      <c r="D1338" s="87">
        <f>$C1338-$B1338+1</f>
        <v/>
      </c>
      <c r="E1338" s="87">
        <f>MONTH($B1338)</f>
        <v/>
      </c>
      <c r="F1338" s="93">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$N1338*IF($O$1318=1,$O1338/$F$1318,1)</f>
        <v/>
      </c>
      <c r="T1338" s="95">
        <f>IF($G1338&lt;nr_MStartP,$S1338,$T1326*(1+IF($G1338&lt;nr_MStartP1,$M$1318,$N$1318)))</f>
        <v/>
      </c>
      <c r="U1338" s="95">
        <f>IF($L$1318,$T1338,$N1338)</f>
        <v/>
      </c>
    </row>
    <row r="1339">
      <c r="A1339" s="90" t="n">
        <v>19</v>
      </c>
      <c r="B1339" s="91">
        <f>EDATE($B1338,1)</f>
        <v/>
      </c>
      <c r="C1339" s="92">
        <f>EOMONTH($B1339,0)</f>
        <v/>
      </c>
      <c r="D1339" s="87">
        <f>$C1339-$B1339+1</f>
        <v/>
      </c>
      <c r="E1339" s="87">
        <f>MONTH($B1339)</f>
        <v/>
      </c>
      <c r="F1339" s="93">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$N1339*IF($O$1318=1,$O1339/$F$1318,1)</f>
        <v/>
      </c>
      <c r="T1339" s="95">
        <f>IF($G1339&lt;nr_MStartP,$S1339,$T1327*(1+IF($G1339&lt;nr_MStartP1,$M$1318,$N$1318)))</f>
        <v/>
      </c>
      <c r="U1339" s="95">
        <f>IF($L$1318,$T1339,$N1339)</f>
        <v/>
      </c>
    </row>
    <row r="1340">
      <c r="A1340" s="90" t="n">
        <v>20</v>
      </c>
      <c r="B1340" s="91">
        <f>EDATE($B1339,1)</f>
        <v/>
      </c>
      <c r="C1340" s="92">
        <f>EOMONTH($B1340,0)</f>
        <v/>
      </c>
      <c r="D1340" s="87">
        <f>$C1340-$B1340+1</f>
        <v/>
      </c>
      <c r="E1340" s="87">
        <f>MONTH($B1340)</f>
        <v/>
      </c>
      <c r="F1340" s="93">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$N1340*IF($O$1318=1,$O1340/$F$1318,1)</f>
        <v/>
      </c>
      <c r="T1340" s="95">
        <f>IF($G1340&lt;nr_MStartP,$S1340,$T1328*(1+IF($G1340&lt;nr_MStartP1,$M$1318,$N$1318)))</f>
        <v/>
      </c>
      <c r="U1340" s="95">
        <f>IF($L$1318,$T1340,$N1340)</f>
        <v/>
      </c>
    </row>
    <row r="1341">
      <c r="A1341" s="90" t="n">
        <v>21</v>
      </c>
      <c r="B1341" s="91">
        <f>EDATE($B1340,1)</f>
        <v/>
      </c>
      <c r="C1341" s="92">
        <f>EOMONTH($B1341,0)</f>
        <v/>
      </c>
      <c r="D1341" s="87">
        <f>$C1341-$B1341+1</f>
        <v/>
      </c>
      <c r="E1341" s="87">
        <f>MONTH($B1341)</f>
        <v/>
      </c>
      <c r="F1341" s="93">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$N1341*IF($O$1318=1,$O1341/$F$1318,1)</f>
        <v/>
      </c>
      <c r="T1341" s="95">
        <f>IF($G1341&lt;nr_MStartP,$S1341,$T1329*(1+IF($G1341&lt;nr_MStartP1,$M$1318,$N$1318)))</f>
        <v/>
      </c>
      <c r="U1341" s="95">
        <f>IF($L$1318,$T1341,$N1341)</f>
        <v/>
      </c>
    </row>
    <row r="1342">
      <c r="A1342" s="90" t="n">
        <v>22</v>
      </c>
      <c r="B1342" s="91">
        <f>EDATE($B1341,1)</f>
        <v/>
      </c>
      <c r="C1342" s="92">
        <f>EOMONTH($B1342,0)</f>
        <v/>
      </c>
      <c r="D1342" s="87">
        <f>$C1342-$B1342+1</f>
        <v/>
      </c>
      <c r="E1342" s="87">
        <f>MONTH($B1342)</f>
        <v/>
      </c>
      <c r="F1342" s="93">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$N1342*IF($O$1318=1,$O1342/$F$1318,1)</f>
        <v/>
      </c>
      <c r="T1342" s="95">
        <f>IF($G1342&lt;nr_MStartP,$S1342,$T1330*(1+IF($G1342&lt;nr_MStartP1,$M$1318,$N$1318)))</f>
        <v/>
      </c>
      <c r="U1342" s="95">
        <f>IF($L$1318,$T1342,$N1342)</f>
        <v/>
      </c>
    </row>
    <row r="1343">
      <c r="A1343" s="90" t="n">
        <v>23</v>
      </c>
      <c r="B1343" s="91">
        <f>EDATE($B1342,1)</f>
        <v/>
      </c>
      <c r="C1343" s="92">
        <f>EOMONTH($B1343,0)</f>
        <v/>
      </c>
      <c r="D1343" s="87">
        <f>$C1343-$B1343+1</f>
        <v/>
      </c>
      <c r="E1343" s="87">
        <f>MONTH($B1343)</f>
        <v/>
      </c>
      <c r="F1343" s="93">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$N1343*IF($O$1318=1,$O1343/$F$1318,1)</f>
        <v/>
      </c>
      <c r="T1343" s="95">
        <f>IF($G1343&lt;nr_MStartP,$S1343,$T1331*(1+IF($G1343&lt;nr_MStartP1,$M$1318,$N$1318)))</f>
        <v/>
      </c>
      <c r="U1343" s="95">
        <f>IF($L$1318,$T1343,$N1343)</f>
        <v/>
      </c>
    </row>
    <row r="1344">
      <c r="A1344" s="90" t="n">
        <v>24</v>
      </c>
      <c r="B1344" s="91">
        <f>EDATE($B1343,1)</f>
        <v/>
      </c>
      <c r="C1344" s="92">
        <f>EOMONTH($B1344,0)</f>
        <v/>
      </c>
      <c r="D1344" s="87">
        <f>$C1344-$B1344+1</f>
        <v/>
      </c>
      <c r="E1344" s="87">
        <f>MONTH($B1344)</f>
        <v/>
      </c>
      <c r="F1344" s="93">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$N1344*IF($O$1318=1,$O1344/$F$1318,1)</f>
        <v/>
      </c>
      <c r="T1344" s="95">
        <f>IF($G1344&lt;nr_MStartP,$S1344,$T1332*(1+IF($G1344&lt;nr_MStartP1,$M$1318,$N$1318)))</f>
        <v/>
      </c>
      <c r="U1344" s="95">
        <f>IF($L$1318,$T1344,$N1344)</f>
        <v/>
      </c>
    </row>
    <row r="1345">
      <c r="A1345" s="90" t="n">
        <v>25</v>
      </c>
      <c r="B1345" s="91">
        <f>EDATE($B1344,1)</f>
        <v/>
      </c>
      <c r="C1345" s="92">
        <f>EOMONTH($B1345,0)</f>
        <v/>
      </c>
      <c r="D1345" s="87">
        <f>$C1345-$B1345+1</f>
        <v/>
      </c>
      <c r="E1345" s="87">
        <f>MONTH($B1345)</f>
        <v/>
      </c>
      <c r="F1345" s="93">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$N1345*IF($O$1318=1,$O1345/$F$1318,1)</f>
        <v/>
      </c>
      <c r="T1345" s="95">
        <f>IF($G1345&lt;nr_MStartP,$S1345,$T1333*(1+IF($G1345&lt;nr_MStartP1,$M$1318,$N$1318)))</f>
        <v/>
      </c>
      <c r="U1345" s="95">
        <f>IF($L$1318,$T1345,$N1345)</f>
        <v/>
      </c>
    </row>
    <row r="1346">
      <c r="A1346" s="90" t="n">
        <v>26</v>
      </c>
      <c r="B1346" s="91">
        <f>EDATE($B1345,1)</f>
        <v/>
      </c>
      <c r="C1346" s="92">
        <f>EOMONTH($B1346,0)</f>
        <v/>
      </c>
      <c r="D1346" s="87">
        <f>$C1346-$B1346+1</f>
        <v/>
      </c>
      <c r="E1346" s="87">
        <f>MONTH($B1346)</f>
        <v/>
      </c>
      <c r="F1346" s="93">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$N1346*IF($O$1318=1,$O1346/$F$1318,1)</f>
        <v/>
      </c>
      <c r="T1346" s="95">
        <f>IF($G1346&lt;nr_MStartP,$S1346,$T1334*(1+IF($G1346&lt;nr_MStartP1,$M$1318,$N$1318)))</f>
        <v/>
      </c>
      <c r="U1346" s="95">
        <f>IF($L$1318,$T1346,$N1346)</f>
        <v/>
      </c>
    </row>
    <row r="1347">
      <c r="A1347" s="90" t="n">
        <v>27</v>
      </c>
      <c r="B1347" s="91">
        <f>EDATE($B1346,1)</f>
        <v/>
      </c>
      <c r="C1347" s="92">
        <f>EOMONTH($B1347,0)</f>
        <v/>
      </c>
      <c r="D1347" s="87">
        <f>$C1347-$B1347+1</f>
        <v/>
      </c>
      <c r="E1347" s="87">
        <f>MONTH($B1347)</f>
        <v/>
      </c>
      <c r="F1347" s="93">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$N1347*IF($O$1318=1,$O1347/$F$1318,1)</f>
        <v/>
      </c>
      <c r="T1347" s="95">
        <f>IF($G1347&lt;nr_MStartP,$S1347,$T1335*(1+IF($G1347&lt;nr_MStartP1,$M$1318,$N$1318)))</f>
        <v/>
      </c>
      <c r="U1347" s="95">
        <f>IF($L$1318,$T1347,$N1347)</f>
        <v/>
      </c>
    </row>
    <row r="1348">
      <c r="A1348" s="90" t="n">
        <v>28</v>
      </c>
      <c r="B1348" s="91">
        <f>EDATE($B1347,1)</f>
        <v/>
      </c>
      <c r="C1348" s="92">
        <f>EOMONTH($B1348,0)</f>
        <v/>
      </c>
      <c r="D1348" s="87">
        <f>$C1348-$B1348+1</f>
        <v/>
      </c>
      <c r="E1348" s="87">
        <f>MONTH($B1348)</f>
        <v/>
      </c>
      <c r="F1348" s="93">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$N1348*IF($O$1318=1,$O1348/$F$1318,1)</f>
        <v/>
      </c>
      <c r="T1348" s="95">
        <f>IF($G1348&lt;nr_MStartP,$S1348,$T1336*(1+IF($G1348&lt;nr_MStartP1,$M$1318,$N$1318)))</f>
        <v/>
      </c>
      <c r="U1348" s="95">
        <f>IF($L$1318,$T1348,$N1348)</f>
        <v/>
      </c>
    </row>
    <row r="1349">
      <c r="A1349" s="90" t="n">
        <v>29</v>
      </c>
      <c r="B1349" s="91">
        <f>EDATE($B1348,1)</f>
        <v/>
      </c>
      <c r="C1349" s="92">
        <f>EOMONTH($B1349,0)</f>
        <v/>
      </c>
      <c r="D1349" s="87">
        <f>$C1349-$B1349+1</f>
        <v/>
      </c>
      <c r="E1349" s="87">
        <f>MONTH($B1349)</f>
        <v/>
      </c>
      <c r="F1349" s="93">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$N1349*IF($O$1318=1,$O1349/$F$1318,1)</f>
        <v/>
      </c>
      <c r="T1349" s="95">
        <f>IF($G1349&lt;nr_MStartP,$S1349,$T1337*(1+IF($G1349&lt;nr_MStartP1,$M$1318,$N$1318)))</f>
        <v/>
      </c>
      <c r="U1349" s="95">
        <f>IF($L$1318,$T1349,$N1349)</f>
        <v/>
      </c>
    </row>
    <row r="1350">
      <c r="A1350" s="90" t="n">
        <v>30</v>
      </c>
      <c r="B1350" s="91">
        <f>EDATE($B1349,1)</f>
        <v/>
      </c>
      <c r="C1350" s="92">
        <f>EOMONTH($B1350,0)</f>
        <v/>
      </c>
      <c r="D1350" s="87">
        <f>$C1350-$B1350+1</f>
        <v/>
      </c>
      <c r="E1350" s="87">
        <f>MONTH($B1350)</f>
        <v/>
      </c>
      <c r="F1350" s="93">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$N1350*IF($O$1318=1,$O1350/$F$1318,1)</f>
        <v/>
      </c>
      <c r="T1350" s="95">
        <f>IF($G1350&lt;nr_MStartP,$S1350,$T1338*(1+IF($G1350&lt;nr_MStartP1,$M$1318,$N$1318)))</f>
        <v/>
      </c>
      <c r="U1350" s="95">
        <f>IF($L$1318,$T1350,$N1350)</f>
        <v/>
      </c>
    </row>
    <row r="1351">
      <c r="A1351" s="90" t="n">
        <v>31</v>
      </c>
      <c r="B1351" s="91">
        <f>EDATE($B1350,1)</f>
        <v/>
      </c>
      <c r="C1351" s="92">
        <f>EOMONTH($B1351,0)</f>
        <v/>
      </c>
      <c r="D1351" s="87">
        <f>$C1351-$B1351+1</f>
        <v/>
      </c>
      <c r="E1351" s="87">
        <f>MONTH($B1351)</f>
        <v/>
      </c>
      <c r="F1351" s="93">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$N1351*IF($O$1318=1,$O1351/$F$1318,1)</f>
        <v/>
      </c>
      <c r="T1351" s="95">
        <f>IF($G1351&lt;nr_MStartP,$S1351,$T1339*(1+IF($G1351&lt;nr_MStartP1,$M$1318,$N$1318)))</f>
        <v/>
      </c>
      <c r="U1351" s="95">
        <f>IF($L$1318,$T1351,$N1351)</f>
        <v/>
      </c>
    </row>
    <row r="1352">
      <c r="A1352" s="90" t="n">
        <v>32</v>
      </c>
      <c r="B1352" s="91">
        <f>EDATE($B1351,1)</f>
        <v/>
      </c>
      <c r="C1352" s="92">
        <f>EOMONTH($B1352,0)</f>
        <v/>
      </c>
      <c r="D1352" s="87">
        <f>$C1352-$B1352+1</f>
        <v/>
      </c>
      <c r="E1352" s="87">
        <f>MONTH($B1352)</f>
        <v/>
      </c>
      <c r="F1352" s="93">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$N1352*IF($O$1318=1,$O1352/$F$1318,1)</f>
        <v/>
      </c>
      <c r="T1352" s="95">
        <f>IF($G1352&lt;nr_MStartP,$S1352,$T1340*(1+IF($G1352&lt;nr_MStartP1,$M$1318,$N$1318)))</f>
        <v/>
      </c>
      <c r="U1352" s="95">
        <f>IF($L$1318,$T1352,$N1352)</f>
        <v/>
      </c>
    </row>
    <row r="1353">
      <c r="A1353" s="90" t="n">
        <v>33</v>
      </c>
      <c r="B1353" s="91">
        <f>EDATE($B1352,1)</f>
        <v/>
      </c>
      <c r="C1353" s="92">
        <f>EOMONTH($B1353,0)</f>
        <v/>
      </c>
      <c r="D1353" s="87">
        <f>$C1353-$B1353+1</f>
        <v/>
      </c>
      <c r="E1353" s="87">
        <f>MONTH($B1353)</f>
        <v/>
      </c>
      <c r="F1353" s="93">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$N1353*IF($O$1318=1,$O1353/$F$1318,1)</f>
        <v/>
      </c>
      <c r="T1353" s="95">
        <f>IF($G1353&lt;nr_MStartP,$S1353,$T1341*(1+IF($G1353&lt;nr_MStartP1,$M$1318,$N$1318)))</f>
        <v/>
      </c>
      <c r="U1353" s="95">
        <f>IF($L$1318,$T1353,$N1353)</f>
        <v/>
      </c>
    </row>
    <row r="1354">
      <c r="A1354" s="90" t="n">
        <v>34</v>
      </c>
      <c r="B1354" s="91">
        <f>EDATE($B1353,1)</f>
        <v/>
      </c>
      <c r="C1354" s="92">
        <f>EOMONTH($B1354,0)</f>
        <v/>
      </c>
      <c r="D1354" s="87">
        <f>$C1354-$B1354+1</f>
        <v/>
      </c>
      <c r="E1354" s="87">
        <f>MONTH($B1354)</f>
        <v/>
      </c>
      <c r="F1354" s="93">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$N1354*IF($O$1318=1,$O1354/$F$1318,1)</f>
        <v/>
      </c>
      <c r="T1354" s="95">
        <f>IF($G1354&lt;nr_MStartP,$S1354,$T1342*(1+IF($G1354&lt;nr_MStartP1,$M$1318,$N$1318)))</f>
        <v/>
      </c>
      <c r="U1354" s="95">
        <f>IF($L$1318,$T1354,$N1354)</f>
        <v/>
      </c>
    </row>
    <row r="1355">
      <c r="A1355" s="90" t="n">
        <v>35</v>
      </c>
      <c r="B1355" s="91">
        <f>EDATE($B1354,1)</f>
        <v/>
      </c>
      <c r="C1355" s="92">
        <f>EOMONTH($B1355,0)</f>
        <v/>
      </c>
      <c r="D1355" s="87">
        <f>$C1355-$B1355+1</f>
        <v/>
      </c>
      <c r="E1355" s="87">
        <f>MONTH($B1355)</f>
        <v/>
      </c>
      <c r="F1355" s="93">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$N1355*IF($O$1318=1,$O1355/$F$1318,1)</f>
        <v/>
      </c>
      <c r="T1355" s="95">
        <f>IF($G1355&lt;nr_MStartP,$S1355,$T1343*(1+IF($G1355&lt;nr_MStartP1,$M$1318,$N$1318)))</f>
        <v/>
      </c>
      <c r="U1355" s="95">
        <f>IF($L$1318,$T1355,$N1355)</f>
        <v/>
      </c>
    </row>
    <row r="1356">
      <c r="A1356" s="90" t="n">
        <v>36</v>
      </c>
      <c r="B1356" s="91">
        <f>EDATE($B1355,1)</f>
        <v/>
      </c>
      <c r="C1356" s="92">
        <f>EOMONTH($B1356,0)</f>
        <v/>
      </c>
      <c r="D1356" s="87">
        <f>$C1356-$B1356+1</f>
        <v/>
      </c>
      <c r="E1356" s="87">
        <f>MONTH($B1356)</f>
        <v/>
      </c>
      <c r="F1356" s="93">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$N1356*IF($O$1318=1,$O1356/$F$1318,1)</f>
        <v/>
      </c>
      <c r="T1356" s="95">
        <f>IF($G1356&lt;nr_MStartP,$S1356,$T1344*(1+IF($G1356&lt;nr_MStartP1,$M$1318,$N$1318)))</f>
        <v/>
      </c>
      <c r="U1356" s="95">
        <f>IF($L$1318,$T1356,$N1356)</f>
        <v/>
      </c>
    </row>
    <row r="1357">
      <c r="A1357" s="90" t="n">
        <v>37</v>
      </c>
      <c r="B1357" s="91">
        <f>EDATE($B1356,1)</f>
        <v/>
      </c>
      <c r="C1357" s="92">
        <f>EOMONTH($B1357,0)</f>
        <v/>
      </c>
      <c r="D1357" s="87">
        <f>$C1357-$B1357+1</f>
        <v/>
      </c>
      <c r="E1357" s="87">
        <f>MONTH($B1357)</f>
        <v/>
      </c>
      <c r="F1357" s="93">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$N1357*IF($O$1318=1,$O1357/$F$1318,1)</f>
        <v/>
      </c>
      <c r="T1357" s="95">
        <f>IF($G1357&lt;nr_MStartP,$S1357,$T1345*(1+IF($G1357&lt;nr_MStartP1,$M$1318,$N$1318)))</f>
        <v/>
      </c>
      <c r="U1357" s="95">
        <f>IF($L$1318,$T1357,$N1357)</f>
        <v/>
      </c>
    </row>
    <row r="1358">
      <c r="A1358" s="90" t="n">
        <v>38</v>
      </c>
      <c r="B1358" s="91">
        <f>EDATE($B1357,1)</f>
        <v/>
      </c>
      <c r="C1358" s="92">
        <f>EOMONTH($B1358,0)</f>
        <v/>
      </c>
      <c r="D1358" s="87">
        <f>$C1358-$B1358+1</f>
        <v/>
      </c>
      <c r="E1358" s="87">
        <f>MONTH($B1358)</f>
        <v/>
      </c>
      <c r="F1358" s="93">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$N1358*IF($O$1318=1,$O1358/$F$1318,1)</f>
        <v/>
      </c>
      <c r="T1358" s="95">
        <f>IF($G1358&lt;nr_MStartP,$S1358,$T1346*(1+IF($G1358&lt;nr_MStartP1,$M$1318,$N$1318)))</f>
        <v/>
      </c>
      <c r="U1358" s="95">
        <f>IF($L$1318,$T1358,$N1358)</f>
        <v/>
      </c>
    </row>
    <row r="1359">
      <c r="A1359" s="90" t="n">
        <v>39</v>
      </c>
      <c r="B1359" s="91">
        <f>EDATE($B1358,1)</f>
        <v/>
      </c>
      <c r="C1359" s="92">
        <f>EOMONTH($B1359,0)</f>
        <v/>
      </c>
      <c r="D1359" s="87">
        <f>$C1359-$B1359+1</f>
        <v/>
      </c>
      <c r="E1359" s="87">
        <f>MONTH($B1359)</f>
        <v/>
      </c>
      <c r="F1359" s="93">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$N1359*IF($O$1318=1,$O1359/$F$1318,1)</f>
        <v/>
      </c>
      <c r="T1359" s="95">
        <f>IF($G1359&lt;nr_MStartP,$S1359,$T1347*(1+IF($G1359&lt;nr_MStartP1,$M$1318,$N$1318)))</f>
        <v/>
      </c>
      <c r="U1359" s="95">
        <f>IF($L$1318,$T1359,$N1359)</f>
        <v/>
      </c>
    </row>
    <row r="1360">
      <c r="A1360" s="90" t="n">
        <v>40</v>
      </c>
      <c r="B1360" s="91">
        <f>EDATE($B1359,1)</f>
        <v/>
      </c>
      <c r="C1360" s="92">
        <f>EOMONTH($B1360,0)</f>
        <v/>
      </c>
      <c r="D1360" s="87">
        <f>$C1360-$B1360+1</f>
        <v/>
      </c>
      <c r="E1360" s="87">
        <f>MONTH($B1360)</f>
        <v/>
      </c>
      <c r="F1360" s="93">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$N1360*IF($O$1318=1,$O1360/$F$1318,1)</f>
        <v/>
      </c>
      <c r="T1360" s="95">
        <f>IF($G1360&lt;nr_MStartP,$S1360,$T1348*(1+IF($G1360&lt;nr_MStartP1,$M$1318,$N$1318)))</f>
        <v/>
      </c>
      <c r="U1360" s="95">
        <f>IF($L$1318,$T1360,$N1360)</f>
        <v/>
      </c>
    </row>
    <row r="1361">
      <c r="A1361" s="90" t="n">
        <v>41</v>
      </c>
      <c r="B1361" s="91">
        <f>EDATE($B1360,1)</f>
        <v/>
      </c>
      <c r="C1361" s="92">
        <f>EOMONTH($B1361,0)</f>
        <v/>
      </c>
      <c r="D1361" s="87">
        <f>$C1361-$B1361+1</f>
        <v/>
      </c>
      <c r="E1361" s="87">
        <f>MONTH($B1361)</f>
        <v/>
      </c>
      <c r="F1361" s="93">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$N1361*IF($O$1318=1,$O1361/$F$1318,1)</f>
        <v/>
      </c>
      <c r="T1361" s="95">
        <f>IF($G1361&lt;nr_MStartP,$S1361,$T1349*(1+IF($G1361&lt;nr_MStartP1,$M$1318,$N$1318)))</f>
        <v/>
      </c>
      <c r="U1361" s="95">
        <f>IF($L$1318,$T1361,$N1361)</f>
        <v/>
      </c>
    </row>
    <row r="1362">
      <c r="A1362" s="90" t="n">
        <v>42</v>
      </c>
      <c r="B1362" s="91">
        <f>EDATE($B1361,1)</f>
        <v/>
      </c>
      <c r="C1362" s="92">
        <f>EOMONTH($B1362,0)</f>
        <v/>
      </c>
      <c r="D1362" s="87">
        <f>$C1362-$B1362+1</f>
        <v/>
      </c>
      <c r="E1362" s="87">
        <f>MONTH($B1362)</f>
        <v/>
      </c>
      <c r="F1362" s="93">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$N1362*IF($O$1318=1,$O1362/$F$1318,1)</f>
        <v/>
      </c>
      <c r="T1362" s="95">
        <f>IF($G1362&lt;nr_MStartP,$S1362,$T1350*(1+IF($G1362&lt;nr_MStartP1,$M$1318,$N$1318)))</f>
        <v/>
      </c>
      <c r="U1362" s="95">
        <f>IF($L$1318,$T1362,$N1362)</f>
        <v/>
      </c>
    </row>
    <row r="1363">
      <c r="A1363" s="90" t="n">
        <v>43</v>
      </c>
      <c r="B1363" s="91">
        <f>EDATE($B1362,1)</f>
        <v/>
      </c>
      <c r="C1363" s="92">
        <f>EOMONTH($B1363,0)</f>
        <v/>
      </c>
      <c r="D1363" s="87">
        <f>$C1363-$B1363+1</f>
        <v/>
      </c>
      <c r="E1363" s="87">
        <f>MONTH($B1363)</f>
        <v/>
      </c>
      <c r="F1363" s="93">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$N1363*IF($O$1318=1,$O1363/$F$1318,1)</f>
        <v/>
      </c>
      <c r="T1363" s="95">
        <f>IF($G1363&lt;nr_MStartP,$S1363,$T1351*(1+IF($G1363&lt;nr_MStartP1,$M$1318,$N$1318)))</f>
        <v/>
      </c>
      <c r="U1363" s="95">
        <f>IF($L$1318,$T1363,$N1363)</f>
        <v/>
      </c>
    </row>
    <row r="1364">
      <c r="A1364" s="90" t="n">
        <v>44</v>
      </c>
      <c r="B1364" s="91">
        <f>EDATE($B1363,1)</f>
        <v/>
      </c>
      <c r="C1364" s="92">
        <f>EOMONTH($B1364,0)</f>
        <v/>
      </c>
      <c r="D1364" s="87">
        <f>$C1364-$B1364+1</f>
        <v/>
      </c>
      <c r="E1364" s="87">
        <f>MONTH($B1364)</f>
        <v/>
      </c>
      <c r="F1364" s="93">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$N1364*IF($O$1318=1,$O1364/$F$1318,1)</f>
        <v/>
      </c>
      <c r="T1364" s="95">
        <f>IF($G1364&lt;nr_MStartP,$S1364,$T1352*(1+IF($G1364&lt;nr_MStartP1,$M$1318,$N$1318)))</f>
        <v/>
      </c>
      <c r="U1364" s="95">
        <f>IF($L$1318,$T1364,$N1364)</f>
        <v/>
      </c>
    </row>
    <row r="1365">
      <c r="A1365" s="90" t="n">
        <v>45</v>
      </c>
      <c r="B1365" s="91">
        <f>EDATE($B1364,1)</f>
        <v/>
      </c>
      <c r="C1365" s="92">
        <f>EOMONTH($B1365,0)</f>
        <v/>
      </c>
      <c r="D1365" s="87">
        <f>$C1365-$B1365+1</f>
        <v/>
      </c>
      <c r="E1365" s="87">
        <f>MONTH($B1365)</f>
        <v/>
      </c>
      <c r="F1365" s="93">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$N1365*IF($O$1318=1,$O1365/$F$1318,1)</f>
        <v/>
      </c>
      <c r="T1365" s="95">
        <f>IF($G1365&lt;nr_MStartP,$S1365,$T1353*(1+IF($G1365&lt;nr_MStartP1,$M$1318,$N$1318)))</f>
        <v/>
      </c>
      <c r="U1365" s="95">
        <f>IF($L$1318,$T1365,$N1365)</f>
        <v/>
      </c>
    </row>
    <row r="1366">
      <c r="A1366" s="90" t="n">
        <v>46</v>
      </c>
      <c r="B1366" s="91">
        <f>EDATE($B1365,1)</f>
        <v/>
      </c>
      <c r="C1366" s="92">
        <f>EOMONTH($B1366,0)</f>
        <v/>
      </c>
      <c r="D1366" s="87">
        <f>$C1366-$B1366+1</f>
        <v/>
      </c>
      <c r="E1366" s="87">
        <f>MONTH($B1366)</f>
        <v/>
      </c>
      <c r="F1366" s="93">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$N1366*IF($O$1318=1,$O1366/$F$1318,1)</f>
        <v/>
      </c>
      <c r="T1366" s="95">
        <f>IF($G1366&lt;nr_MStartP,$S1366,$T1354*(1+IF($G1366&lt;nr_MStartP1,$M$1318,$N$1318)))</f>
        <v/>
      </c>
      <c r="U1366" s="95">
        <f>IF($L$1318,$T1366,$N1366)</f>
        <v/>
      </c>
    </row>
    <row r="1367">
      <c r="A1367" s="90" t="n">
        <v>47</v>
      </c>
      <c r="B1367" s="91">
        <f>EDATE($B1366,1)</f>
        <v/>
      </c>
      <c r="C1367" s="92">
        <f>EOMONTH($B1367,0)</f>
        <v/>
      </c>
      <c r="D1367" s="87">
        <f>$C1367-$B1367+1</f>
        <v/>
      </c>
      <c r="E1367" s="87">
        <f>MONTH($B1367)</f>
        <v/>
      </c>
      <c r="F1367" s="93">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$N1367*IF($O$1318=1,$O1367/$F$1318,1)</f>
        <v/>
      </c>
      <c r="T1367" s="95">
        <f>IF($G1367&lt;nr_MStartP,$S1367,$T1355*(1+IF($G1367&lt;nr_MStartP1,$M$1318,$N$1318)))</f>
        <v/>
      </c>
      <c r="U1367" s="95">
        <f>IF($L$1318,$T1367,$N1367)</f>
        <v/>
      </c>
    </row>
    <row r="1368">
      <c r="A1368" s="90" t="n">
        <v>48</v>
      </c>
      <c r="B1368" s="91">
        <f>EDATE($B1367,1)</f>
        <v/>
      </c>
      <c r="C1368" s="92">
        <f>EOMONTH($B1368,0)</f>
        <v/>
      </c>
      <c r="D1368" s="87">
        <f>$C1368-$B1368+1</f>
        <v/>
      </c>
      <c r="E1368" s="87">
        <f>MONTH($B1368)</f>
        <v/>
      </c>
      <c r="F1368" s="93">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$N1368*IF($O$1318=1,$O1368/$F$1318,1)</f>
        <v/>
      </c>
      <c r="T1368" s="95">
        <f>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04">
        <f>SUMPRODUCT($H$1321:$H$1368,$Q$1321:$Q$1368,$O$1321:$O$1368)/SUMPRODUCT($H$1321:$H$1368,$Q$1321:$Q$1368)</f>
        <v/>
      </c>
      <c r="G1369" s="20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04">
        <f>IF(N(INDEX(lr_mind,25))=0,1,INDEX(lr_mind,25))</f>
        <v/>
      </c>
      <c r="G1372" s="204">
        <f>IF(N(INDEX(lr_m0,25))=0,1,INDEX(lr_m0,25))</f>
        <v/>
      </c>
      <c r="H1372" s="73">
        <f>IF(N(INDEX(lr_m0asof,25))=0,DATE(nr_PlanYear-1,10,1),INDEX(lr_m0asof,25))</f>
        <v/>
      </c>
      <c r="I1372" s="204">
        <f>IF(N(INDEX(lr_m1,25))=0,1,INDEX(lr_m1,25))</f>
        <v/>
      </c>
      <c r="J1372" s="204">
        <f>INDEX(lr_mprior,25)</f>
        <v/>
      </c>
      <c r="K1372" s="20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93">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$N1375*IF($O$1372=1,$O1375/$F$1372,1)</f>
        <v/>
      </c>
      <c r="T1375" s="95">
        <f>IF($G1375&lt;nr_MStartP,$S1375,$T1363*(1+IF($G1375&lt;nr_MStartP1,$M$1372,$N$1372)))</f>
        <v/>
      </c>
      <c r="U1375" s="95">
        <f>IF($L$1372,$T1375,$N1375)</f>
        <v/>
      </c>
    </row>
    <row r="1376">
      <c r="A1376" s="90" t="n">
        <v>2</v>
      </c>
      <c r="B1376" s="91">
        <f>EDATE($B1375,1)</f>
        <v/>
      </c>
      <c r="C1376" s="92">
        <f>EOMONTH($B1376,0)</f>
        <v/>
      </c>
      <c r="D1376" s="87">
        <f>$C1376-$B1376+1</f>
        <v/>
      </c>
      <c r="E1376" s="87">
        <f>MONTH($B1376)</f>
        <v/>
      </c>
      <c r="F1376" s="93">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$N1376*IF($O$1372=1,$O1376/$F$1372,1)</f>
        <v/>
      </c>
      <c r="T1376" s="95">
        <f>IF($G1376&lt;nr_MStartP,$S1376,$T1364*(1+IF($G1376&lt;nr_MStartP1,$M$1372,$N$1372)))</f>
        <v/>
      </c>
      <c r="U1376" s="95">
        <f>IF($L$1372,$T1376,$N1376)</f>
        <v/>
      </c>
    </row>
    <row r="1377">
      <c r="A1377" s="90" t="n">
        <v>3</v>
      </c>
      <c r="B1377" s="91">
        <f>EDATE($B1376,1)</f>
        <v/>
      </c>
      <c r="C1377" s="92">
        <f>EOMONTH($B1377,0)</f>
        <v/>
      </c>
      <c r="D1377" s="87">
        <f>$C1377-$B1377+1</f>
        <v/>
      </c>
      <c r="E1377" s="87">
        <f>MONTH($B1377)</f>
        <v/>
      </c>
      <c r="F1377" s="93">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$N1377*IF($O$1372=1,$O1377/$F$1372,1)</f>
        <v/>
      </c>
      <c r="T1377" s="95">
        <f>IF($G1377&lt;nr_MStartP,$S1377,$T1365*(1+IF($G1377&lt;nr_MStartP1,$M$1372,$N$1372)))</f>
        <v/>
      </c>
      <c r="U1377" s="95">
        <f>IF($L$1372,$T1377,$N1377)</f>
        <v/>
      </c>
    </row>
    <row r="1378">
      <c r="A1378" s="90" t="n">
        <v>4</v>
      </c>
      <c r="B1378" s="91">
        <f>EDATE($B1377,1)</f>
        <v/>
      </c>
      <c r="C1378" s="92">
        <f>EOMONTH($B1378,0)</f>
        <v/>
      </c>
      <c r="D1378" s="87">
        <f>$C1378-$B1378+1</f>
        <v/>
      </c>
      <c r="E1378" s="87">
        <f>MONTH($B1378)</f>
        <v/>
      </c>
      <c r="F1378" s="93">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$N1378*IF($O$1372=1,$O1378/$F$1372,1)</f>
        <v/>
      </c>
      <c r="T1378" s="95">
        <f>IF($G1378&lt;nr_MStartP,$S1378,$T1366*(1+IF($G1378&lt;nr_MStartP1,$M$1372,$N$1372)))</f>
        <v/>
      </c>
      <c r="U1378" s="95">
        <f>IF($L$1372,$T1378,$N1378)</f>
        <v/>
      </c>
    </row>
    <row r="1379">
      <c r="A1379" s="90" t="n">
        <v>5</v>
      </c>
      <c r="B1379" s="91">
        <f>EDATE($B1378,1)</f>
        <v/>
      </c>
      <c r="C1379" s="92">
        <f>EOMONTH($B1379,0)</f>
        <v/>
      </c>
      <c r="D1379" s="87">
        <f>$C1379-$B1379+1</f>
        <v/>
      </c>
      <c r="E1379" s="87">
        <f>MONTH($B1379)</f>
        <v/>
      </c>
      <c r="F1379" s="93">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$N1379*IF($O$1372=1,$O1379/$F$1372,1)</f>
        <v/>
      </c>
      <c r="T1379" s="95">
        <f>IF($G1379&lt;nr_MStartP,$S1379,$T1367*(1+IF($G1379&lt;nr_MStartP1,$M$1372,$N$1372)))</f>
        <v/>
      </c>
      <c r="U1379" s="95">
        <f>IF($L$1372,$T1379,$N1379)</f>
        <v/>
      </c>
    </row>
    <row r="1380">
      <c r="A1380" s="90" t="n">
        <v>6</v>
      </c>
      <c r="B1380" s="91">
        <f>EDATE($B1379,1)</f>
        <v/>
      </c>
      <c r="C1380" s="92">
        <f>EOMONTH($B1380,0)</f>
        <v/>
      </c>
      <c r="D1380" s="87">
        <f>$C1380-$B1380+1</f>
        <v/>
      </c>
      <c r="E1380" s="87">
        <f>MONTH($B1380)</f>
        <v/>
      </c>
      <c r="F1380" s="93">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$N1380*IF($O$1372=1,$O1380/$F$1372,1)</f>
        <v/>
      </c>
      <c r="T1380" s="95">
        <f>IF($G1380&lt;nr_MStartP,$S1380,$T1368*(1+IF($G1380&lt;nr_MStartP1,$M$1372,$N$1372)))</f>
        <v/>
      </c>
      <c r="U1380" s="95">
        <f>IF($L$1372,$T1380,$N1380)</f>
        <v/>
      </c>
    </row>
    <row r="1381">
      <c r="A1381" s="90" t="n">
        <v>7</v>
      </c>
      <c r="B1381" s="91">
        <f>EDATE($B1380,1)</f>
        <v/>
      </c>
      <c r="C1381" s="92">
        <f>EOMONTH($B1381,0)</f>
        <v/>
      </c>
      <c r="D1381" s="87">
        <f>$C1381-$B1381+1</f>
        <v/>
      </c>
      <c r="E1381" s="87">
        <f>MONTH($B1381)</f>
        <v/>
      </c>
      <c r="F1381" s="93">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$N1381*IF($O$1372=1,$O1381/$F$1372,1)</f>
        <v/>
      </c>
      <c r="T1381" s="95">
        <f>IF($G1381&lt;nr_MStartP,$S1381,$T1369*(1+IF($G1381&lt;nr_MStartP1,$M$1372,$N$1372)))</f>
        <v/>
      </c>
      <c r="U1381" s="95">
        <f>IF($L$1372,$T1381,$N1381)</f>
        <v/>
      </c>
    </row>
    <row r="1382">
      <c r="A1382" s="90" t="n">
        <v>8</v>
      </c>
      <c r="B1382" s="91">
        <f>EDATE($B1381,1)</f>
        <v/>
      </c>
      <c r="C1382" s="92">
        <f>EOMONTH($B1382,0)</f>
        <v/>
      </c>
      <c r="D1382" s="87">
        <f>$C1382-$B1382+1</f>
        <v/>
      </c>
      <c r="E1382" s="87">
        <f>MONTH($B1382)</f>
        <v/>
      </c>
      <c r="F1382" s="93">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$N1382*IF($O$1372=1,$O1382/$F$1372,1)</f>
        <v/>
      </c>
      <c r="T1382" s="95">
        <f>IF($G1382&lt;nr_MStartP,$S1382,$T1370*(1+IF($G1382&lt;nr_MStartP1,$M$1372,$N$1372)))</f>
        <v/>
      </c>
      <c r="U1382" s="95">
        <f>IF($L$1372,$T1382,$N1382)</f>
        <v/>
      </c>
    </row>
    <row r="1383">
      <c r="A1383" s="90" t="n">
        <v>9</v>
      </c>
      <c r="B1383" s="91">
        <f>EDATE($B1382,1)</f>
        <v/>
      </c>
      <c r="C1383" s="92">
        <f>EOMONTH($B1383,0)</f>
        <v/>
      </c>
      <c r="D1383" s="87">
        <f>$C1383-$B1383+1</f>
        <v/>
      </c>
      <c r="E1383" s="87">
        <f>MONTH($B1383)</f>
        <v/>
      </c>
      <c r="F1383" s="93">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$N1383*IF($O$1372=1,$O1383/$F$1372,1)</f>
        <v/>
      </c>
      <c r="T1383" s="95">
        <f>IF($G1383&lt;nr_MStartP,$S1383,$T1371*(1+IF($G1383&lt;nr_MStartP1,$M$1372,$N$1372)))</f>
        <v/>
      </c>
      <c r="U1383" s="95">
        <f>IF($L$1372,$T1383,$N1383)</f>
        <v/>
      </c>
    </row>
    <row r="1384">
      <c r="A1384" s="90" t="n">
        <v>10</v>
      </c>
      <c r="B1384" s="91">
        <f>EDATE($B1383,1)</f>
        <v/>
      </c>
      <c r="C1384" s="92">
        <f>EOMONTH($B1384,0)</f>
        <v/>
      </c>
      <c r="D1384" s="87">
        <f>$C1384-$B1384+1</f>
        <v/>
      </c>
      <c r="E1384" s="87">
        <f>MONTH($B1384)</f>
        <v/>
      </c>
      <c r="F1384" s="93">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$N1384*IF($O$1372=1,$O1384/$F$1372,1)</f>
        <v/>
      </c>
      <c r="T1384" s="95">
        <f>IF($G1384&lt;nr_MStartP,$S1384,$T1372*(1+IF($G1384&lt;nr_MStartP1,$M$1372,$N$1372)))</f>
        <v/>
      </c>
      <c r="U1384" s="95">
        <f>IF($L$1372,$T1384,$N1384)</f>
        <v/>
      </c>
    </row>
    <row r="1385">
      <c r="A1385" s="90" t="n">
        <v>11</v>
      </c>
      <c r="B1385" s="91">
        <f>EDATE($B1384,1)</f>
        <v/>
      </c>
      <c r="C1385" s="92">
        <f>EOMONTH($B1385,0)</f>
        <v/>
      </c>
      <c r="D1385" s="87">
        <f>$C1385-$B1385+1</f>
        <v/>
      </c>
      <c r="E1385" s="87">
        <f>MONTH($B1385)</f>
        <v/>
      </c>
      <c r="F1385" s="93">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$N1385*IF($O$1372=1,$O1385/$F$1372,1)</f>
        <v/>
      </c>
      <c r="T1385" s="95">
        <f>IF($G1385&lt;nr_MStartP,$S1385,$T1373*(1+IF($G1385&lt;nr_MStartP1,$M$1372,$N$1372)))</f>
        <v/>
      </c>
      <c r="U1385" s="95">
        <f>IF($L$1372,$T1385,$N1385)</f>
        <v/>
      </c>
    </row>
    <row r="1386">
      <c r="A1386" s="90" t="n">
        <v>12</v>
      </c>
      <c r="B1386" s="91">
        <f>EDATE($B1385,1)</f>
        <v/>
      </c>
      <c r="C1386" s="92">
        <f>EOMONTH($B1386,0)</f>
        <v/>
      </c>
      <c r="D1386" s="87">
        <f>$C1386-$B1386+1</f>
        <v/>
      </c>
      <c r="E1386" s="87">
        <f>MONTH($B1386)</f>
        <v/>
      </c>
      <c r="F1386" s="93">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$N1386*IF($O$1372=1,$O1386/$F$1372,1)</f>
        <v/>
      </c>
      <c r="T1386" s="95">
        <f>IF($G1386&lt;nr_MStartP,$S1386,$T1374*(1+IF($G1386&lt;nr_MStartP1,$M$1372,$N$1372)))</f>
        <v/>
      </c>
      <c r="U1386" s="95">
        <f>IF($L$1372,$T1386,$N1386)</f>
        <v/>
      </c>
    </row>
    <row r="1387">
      <c r="A1387" s="90" t="n">
        <v>13</v>
      </c>
      <c r="B1387" s="91">
        <f>EDATE($B1386,1)</f>
        <v/>
      </c>
      <c r="C1387" s="92">
        <f>EOMONTH($B1387,0)</f>
        <v/>
      </c>
      <c r="D1387" s="87">
        <f>$C1387-$B1387+1</f>
        <v/>
      </c>
      <c r="E1387" s="87">
        <f>MONTH($B1387)</f>
        <v/>
      </c>
      <c r="F1387" s="93">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$N1387*IF($O$1372=1,$O1387/$F$1372,1)</f>
        <v/>
      </c>
      <c r="T1387" s="95">
        <f>IF($G1387&lt;nr_MStartP,$S1387,$T1375*(1+IF($G1387&lt;nr_MStartP1,$M$1372,$N$1372)))</f>
        <v/>
      </c>
      <c r="U1387" s="95">
        <f>IF($L$1372,$T1387,$N1387)</f>
        <v/>
      </c>
    </row>
    <row r="1388">
      <c r="A1388" s="90" t="n">
        <v>14</v>
      </c>
      <c r="B1388" s="91">
        <f>EDATE($B1387,1)</f>
        <v/>
      </c>
      <c r="C1388" s="92">
        <f>EOMONTH($B1388,0)</f>
        <v/>
      </c>
      <c r="D1388" s="87">
        <f>$C1388-$B1388+1</f>
        <v/>
      </c>
      <c r="E1388" s="87">
        <f>MONTH($B1388)</f>
        <v/>
      </c>
      <c r="F1388" s="93">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$N1388*IF($O$1372=1,$O1388/$F$1372,1)</f>
        <v/>
      </c>
      <c r="T1388" s="95">
        <f>IF($G1388&lt;nr_MStartP,$S1388,$T1376*(1+IF($G1388&lt;nr_MStartP1,$M$1372,$N$1372)))</f>
        <v/>
      </c>
      <c r="U1388" s="95">
        <f>IF($L$1372,$T1388,$N1388)</f>
        <v/>
      </c>
    </row>
    <row r="1389">
      <c r="A1389" s="90" t="n">
        <v>15</v>
      </c>
      <c r="B1389" s="91">
        <f>EDATE($B1388,1)</f>
        <v/>
      </c>
      <c r="C1389" s="92">
        <f>EOMONTH($B1389,0)</f>
        <v/>
      </c>
      <c r="D1389" s="87">
        <f>$C1389-$B1389+1</f>
        <v/>
      </c>
      <c r="E1389" s="87">
        <f>MONTH($B1389)</f>
        <v/>
      </c>
      <c r="F1389" s="93">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$N1389*IF($O$1372=1,$O1389/$F$1372,1)</f>
        <v/>
      </c>
      <c r="T1389" s="95">
        <f>IF($G1389&lt;nr_MStartP,$S1389,$T1377*(1+IF($G1389&lt;nr_MStartP1,$M$1372,$N$1372)))</f>
        <v/>
      </c>
      <c r="U1389" s="95">
        <f>IF($L$1372,$T1389,$N1389)</f>
        <v/>
      </c>
    </row>
    <row r="1390">
      <c r="A1390" s="90" t="n">
        <v>16</v>
      </c>
      <c r="B1390" s="91">
        <f>EDATE($B1389,1)</f>
        <v/>
      </c>
      <c r="C1390" s="92">
        <f>EOMONTH($B1390,0)</f>
        <v/>
      </c>
      <c r="D1390" s="87">
        <f>$C1390-$B1390+1</f>
        <v/>
      </c>
      <c r="E1390" s="87">
        <f>MONTH($B1390)</f>
        <v/>
      </c>
      <c r="F1390" s="93">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$N1390*IF($O$1372=1,$O1390/$F$1372,1)</f>
        <v/>
      </c>
      <c r="T1390" s="95">
        <f>IF($G1390&lt;nr_MStartP,$S1390,$T1378*(1+IF($G1390&lt;nr_MStartP1,$M$1372,$N$1372)))</f>
        <v/>
      </c>
      <c r="U1390" s="95">
        <f>IF($L$1372,$T1390,$N1390)</f>
        <v/>
      </c>
    </row>
    <row r="1391">
      <c r="A1391" s="90" t="n">
        <v>17</v>
      </c>
      <c r="B1391" s="91">
        <f>EDATE($B1390,1)</f>
        <v/>
      </c>
      <c r="C1391" s="92">
        <f>EOMONTH($B1391,0)</f>
        <v/>
      </c>
      <c r="D1391" s="87">
        <f>$C1391-$B1391+1</f>
        <v/>
      </c>
      <c r="E1391" s="87">
        <f>MONTH($B1391)</f>
        <v/>
      </c>
      <c r="F1391" s="93">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$N1391*IF($O$1372=1,$O1391/$F$1372,1)</f>
        <v/>
      </c>
      <c r="T1391" s="95">
        <f>IF($G1391&lt;nr_MStartP,$S1391,$T1379*(1+IF($G1391&lt;nr_MStartP1,$M$1372,$N$1372)))</f>
        <v/>
      </c>
      <c r="U1391" s="95">
        <f>IF($L$1372,$T1391,$N1391)</f>
        <v/>
      </c>
    </row>
    <row r="1392">
      <c r="A1392" s="90" t="n">
        <v>18</v>
      </c>
      <c r="B1392" s="91">
        <f>EDATE($B1391,1)</f>
        <v/>
      </c>
      <c r="C1392" s="92">
        <f>EOMONTH($B1392,0)</f>
        <v/>
      </c>
      <c r="D1392" s="87">
        <f>$C1392-$B1392+1</f>
        <v/>
      </c>
      <c r="E1392" s="87">
        <f>MONTH($B1392)</f>
        <v/>
      </c>
      <c r="F1392" s="93">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$N1392*IF($O$1372=1,$O1392/$F$1372,1)</f>
        <v/>
      </c>
      <c r="T1392" s="95">
        <f>IF($G1392&lt;nr_MStartP,$S1392,$T1380*(1+IF($G1392&lt;nr_MStartP1,$M$1372,$N$1372)))</f>
        <v/>
      </c>
      <c r="U1392" s="95">
        <f>IF($L$1372,$T1392,$N1392)</f>
        <v/>
      </c>
    </row>
    <row r="1393">
      <c r="A1393" s="90" t="n">
        <v>19</v>
      </c>
      <c r="B1393" s="91">
        <f>EDATE($B1392,1)</f>
        <v/>
      </c>
      <c r="C1393" s="92">
        <f>EOMONTH($B1393,0)</f>
        <v/>
      </c>
      <c r="D1393" s="87">
        <f>$C1393-$B1393+1</f>
        <v/>
      </c>
      <c r="E1393" s="87">
        <f>MONTH($B1393)</f>
        <v/>
      </c>
      <c r="F1393" s="93">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$N1393*IF($O$1372=1,$O1393/$F$1372,1)</f>
        <v/>
      </c>
      <c r="T1393" s="95">
        <f>IF($G1393&lt;nr_MStartP,$S1393,$T1381*(1+IF($G1393&lt;nr_MStartP1,$M$1372,$N$1372)))</f>
        <v/>
      </c>
      <c r="U1393" s="95">
        <f>IF($L$1372,$T1393,$N1393)</f>
        <v/>
      </c>
    </row>
    <row r="1394">
      <c r="A1394" s="90" t="n">
        <v>20</v>
      </c>
      <c r="B1394" s="91">
        <f>EDATE($B1393,1)</f>
        <v/>
      </c>
      <c r="C1394" s="92">
        <f>EOMONTH($B1394,0)</f>
        <v/>
      </c>
      <c r="D1394" s="87">
        <f>$C1394-$B1394+1</f>
        <v/>
      </c>
      <c r="E1394" s="87">
        <f>MONTH($B1394)</f>
        <v/>
      </c>
      <c r="F1394" s="93">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$N1394*IF($O$1372=1,$O1394/$F$1372,1)</f>
        <v/>
      </c>
      <c r="T1394" s="95">
        <f>IF($G1394&lt;nr_MStartP,$S1394,$T1382*(1+IF($G1394&lt;nr_MStartP1,$M$1372,$N$1372)))</f>
        <v/>
      </c>
      <c r="U1394" s="95">
        <f>IF($L$1372,$T1394,$N1394)</f>
        <v/>
      </c>
    </row>
    <row r="1395">
      <c r="A1395" s="90" t="n">
        <v>21</v>
      </c>
      <c r="B1395" s="91">
        <f>EDATE($B1394,1)</f>
        <v/>
      </c>
      <c r="C1395" s="92">
        <f>EOMONTH($B1395,0)</f>
        <v/>
      </c>
      <c r="D1395" s="87">
        <f>$C1395-$B1395+1</f>
        <v/>
      </c>
      <c r="E1395" s="87">
        <f>MONTH($B1395)</f>
        <v/>
      </c>
      <c r="F1395" s="93">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$N1395*IF($O$1372=1,$O1395/$F$1372,1)</f>
        <v/>
      </c>
      <c r="T1395" s="95">
        <f>IF($G1395&lt;nr_MStartP,$S1395,$T1383*(1+IF($G1395&lt;nr_MStartP1,$M$1372,$N$1372)))</f>
        <v/>
      </c>
      <c r="U1395" s="95">
        <f>IF($L$1372,$T1395,$N1395)</f>
        <v/>
      </c>
    </row>
    <row r="1396">
      <c r="A1396" s="90" t="n">
        <v>22</v>
      </c>
      <c r="B1396" s="91">
        <f>EDATE($B1395,1)</f>
        <v/>
      </c>
      <c r="C1396" s="92">
        <f>EOMONTH($B1396,0)</f>
        <v/>
      </c>
      <c r="D1396" s="87">
        <f>$C1396-$B1396+1</f>
        <v/>
      </c>
      <c r="E1396" s="87">
        <f>MONTH($B1396)</f>
        <v/>
      </c>
      <c r="F1396" s="93">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$N1396*IF($O$1372=1,$O1396/$F$1372,1)</f>
        <v/>
      </c>
      <c r="T1396" s="95">
        <f>IF($G1396&lt;nr_MStartP,$S1396,$T1384*(1+IF($G1396&lt;nr_MStartP1,$M$1372,$N$1372)))</f>
        <v/>
      </c>
      <c r="U1396" s="95">
        <f>IF($L$1372,$T1396,$N1396)</f>
        <v/>
      </c>
    </row>
    <row r="1397">
      <c r="A1397" s="90" t="n">
        <v>23</v>
      </c>
      <c r="B1397" s="91">
        <f>EDATE($B1396,1)</f>
        <v/>
      </c>
      <c r="C1397" s="92">
        <f>EOMONTH($B1397,0)</f>
        <v/>
      </c>
      <c r="D1397" s="87">
        <f>$C1397-$B1397+1</f>
        <v/>
      </c>
      <c r="E1397" s="87">
        <f>MONTH($B1397)</f>
        <v/>
      </c>
      <c r="F1397" s="93">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$N1397*IF($O$1372=1,$O1397/$F$1372,1)</f>
        <v/>
      </c>
      <c r="T1397" s="95">
        <f>IF($G1397&lt;nr_MStartP,$S1397,$T1385*(1+IF($G1397&lt;nr_MStartP1,$M$1372,$N$1372)))</f>
        <v/>
      </c>
      <c r="U1397" s="95">
        <f>IF($L$1372,$T1397,$N1397)</f>
        <v/>
      </c>
    </row>
    <row r="1398">
      <c r="A1398" s="90" t="n">
        <v>24</v>
      </c>
      <c r="B1398" s="91">
        <f>EDATE($B1397,1)</f>
        <v/>
      </c>
      <c r="C1398" s="92">
        <f>EOMONTH($B1398,0)</f>
        <v/>
      </c>
      <c r="D1398" s="87">
        <f>$C1398-$B1398+1</f>
        <v/>
      </c>
      <c r="E1398" s="87">
        <f>MONTH($B1398)</f>
        <v/>
      </c>
      <c r="F1398" s="93">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$N1398*IF($O$1372=1,$O1398/$F$1372,1)</f>
        <v/>
      </c>
      <c r="T1398" s="95">
        <f>IF($G1398&lt;nr_MStartP,$S1398,$T1386*(1+IF($G1398&lt;nr_MStartP1,$M$1372,$N$1372)))</f>
        <v/>
      </c>
      <c r="U1398" s="95">
        <f>IF($L$1372,$T1398,$N1398)</f>
        <v/>
      </c>
    </row>
    <row r="1399">
      <c r="A1399" s="90" t="n">
        <v>25</v>
      </c>
      <c r="B1399" s="91">
        <f>EDATE($B1398,1)</f>
        <v/>
      </c>
      <c r="C1399" s="92">
        <f>EOMONTH($B1399,0)</f>
        <v/>
      </c>
      <c r="D1399" s="87">
        <f>$C1399-$B1399+1</f>
        <v/>
      </c>
      <c r="E1399" s="87">
        <f>MONTH($B1399)</f>
        <v/>
      </c>
      <c r="F1399" s="93">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$N1399*IF($O$1372=1,$O1399/$F$1372,1)</f>
        <v/>
      </c>
      <c r="T1399" s="95">
        <f>IF($G1399&lt;nr_MStartP,$S1399,$T1387*(1+IF($G1399&lt;nr_MStartP1,$M$1372,$N$1372)))</f>
        <v/>
      </c>
      <c r="U1399" s="95">
        <f>IF($L$1372,$T1399,$N1399)</f>
        <v/>
      </c>
    </row>
    <row r="1400">
      <c r="A1400" s="90" t="n">
        <v>26</v>
      </c>
      <c r="B1400" s="91">
        <f>EDATE($B1399,1)</f>
        <v/>
      </c>
      <c r="C1400" s="92">
        <f>EOMONTH($B1400,0)</f>
        <v/>
      </c>
      <c r="D1400" s="87">
        <f>$C1400-$B1400+1</f>
        <v/>
      </c>
      <c r="E1400" s="87">
        <f>MONTH($B1400)</f>
        <v/>
      </c>
      <c r="F1400" s="93">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$N1400*IF($O$1372=1,$O1400/$F$1372,1)</f>
        <v/>
      </c>
      <c r="T1400" s="95">
        <f>IF($G1400&lt;nr_MStartP,$S1400,$T1388*(1+IF($G1400&lt;nr_MStartP1,$M$1372,$N$1372)))</f>
        <v/>
      </c>
      <c r="U1400" s="95">
        <f>IF($L$1372,$T1400,$N1400)</f>
        <v/>
      </c>
    </row>
    <row r="1401">
      <c r="A1401" s="90" t="n">
        <v>27</v>
      </c>
      <c r="B1401" s="91">
        <f>EDATE($B1400,1)</f>
        <v/>
      </c>
      <c r="C1401" s="92">
        <f>EOMONTH($B1401,0)</f>
        <v/>
      </c>
      <c r="D1401" s="87">
        <f>$C1401-$B1401+1</f>
        <v/>
      </c>
      <c r="E1401" s="87">
        <f>MONTH($B1401)</f>
        <v/>
      </c>
      <c r="F1401" s="93">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$N1401*IF($O$1372=1,$O1401/$F$1372,1)</f>
        <v/>
      </c>
      <c r="T1401" s="95">
        <f>IF($G1401&lt;nr_MStartP,$S1401,$T1389*(1+IF($G1401&lt;nr_MStartP1,$M$1372,$N$1372)))</f>
        <v/>
      </c>
      <c r="U1401" s="95">
        <f>IF($L$1372,$T1401,$N1401)</f>
        <v/>
      </c>
    </row>
    <row r="1402">
      <c r="A1402" s="90" t="n">
        <v>28</v>
      </c>
      <c r="B1402" s="91">
        <f>EDATE($B1401,1)</f>
        <v/>
      </c>
      <c r="C1402" s="92">
        <f>EOMONTH($B1402,0)</f>
        <v/>
      </c>
      <c r="D1402" s="87">
        <f>$C1402-$B1402+1</f>
        <v/>
      </c>
      <c r="E1402" s="87">
        <f>MONTH($B1402)</f>
        <v/>
      </c>
      <c r="F1402" s="93">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$N1402*IF($O$1372=1,$O1402/$F$1372,1)</f>
        <v/>
      </c>
      <c r="T1402" s="95">
        <f>IF($G1402&lt;nr_MStartP,$S1402,$T1390*(1+IF($G1402&lt;nr_MStartP1,$M$1372,$N$1372)))</f>
        <v/>
      </c>
      <c r="U1402" s="95">
        <f>IF($L$1372,$T1402,$N1402)</f>
        <v/>
      </c>
    </row>
    <row r="1403">
      <c r="A1403" s="90" t="n">
        <v>29</v>
      </c>
      <c r="B1403" s="91">
        <f>EDATE($B1402,1)</f>
        <v/>
      </c>
      <c r="C1403" s="92">
        <f>EOMONTH($B1403,0)</f>
        <v/>
      </c>
      <c r="D1403" s="87">
        <f>$C1403-$B1403+1</f>
        <v/>
      </c>
      <c r="E1403" s="87">
        <f>MONTH($B1403)</f>
        <v/>
      </c>
      <c r="F1403" s="93">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$N1403*IF($O$1372=1,$O1403/$F$1372,1)</f>
        <v/>
      </c>
      <c r="T1403" s="95">
        <f>IF($G1403&lt;nr_MStartP,$S1403,$T1391*(1+IF($G1403&lt;nr_MStartP1,$M$1372,$N$1372)))</f>
        <v/>
      </c>
      <c r="U1403" s="95">
        <f>IF($L$1372,$T1403,$N1403)</f>
        <v/>
      </c>
    </row>
    <row r="1404">
      <c r="A1404" s="90" t="n">
        <v>30</v>
      </c>
      <c r="B1404" s="91">
        <f>EDATE($B1403,1)</f>
        <v/>
      </c>
      <c r="C1404" s="92">
        <f>EOMONTH($B1404,0)</f>
        <v/>
      </c>
      <c r="D1404" s="87">
        <f>$C1404-$B1404+1</f>
        <v/>
      </c>
      <c r="E1404" s="87">
        <f>MONTH($B1404)</f>
        <v/>
      </c>
      <c r="F1404" s="93">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$N1404*IF($O$1372=1,$O1404/$F$1372,1)</f>
        <v/>
      </c>
      <c r="T1404" s="95">
        <f>IF($G1404&lt;nr_MStartP,$S1404,$T1392*(1+IF($G1404&lt;nr_MStartP1,$M$1372,$N$1372)))</f>
        <v/>
      </c>
      <c r="U1404" s="95">
        <f>IF($L$1372,$T1404,$N1404)</f>
        <v/>
      </c>
    </row>
    <row r="1405">
      <c r="A1405" s="90" t="n">
        <v>31</v>
      </c>
      <c r="B1405" s="91">
        <f>EDATE($B1404,1)</f>
        <v/>
      </c>
      <c r="C1405" s="92">
        <f>EOMONTH($B1405,0)</f>
        <v/>
      </c>
      <c r="D1405" s="87">
        <f>$C1405-$B1405+1</f>
        <v/>
      </c>
      <c r="E1405" s="87">
        <f>MONTH($B1405)</f>
        <v/>
      </c>
      <c r="F1405" s="93">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$N1405*IF($O$1372=1,$O1405/$F$1372,1)</f>
        <v/>
      </c>
      <c r="T1405" s="95">
        <f>IF($G1405&lt;nr_MStartP,$S1405,$T1393*(1+IF($G1405&lt;nr_MStartP1,$M$1372,$N$1372)))</f>
        <v/>
      </c>
      <c r="U1405" s="95">
        <f>IF($L$1372,$T1405,$N1405)</f>
        <v/>
      </c>
    </row>
    <row r="1406">
      <c r="A1406" s="90" t="n">
        <v>32</v>
      </c>
      <c r="B1406" s="91">
        <f>EDATE($B1405,1)</f>
        <v/>
      </c>
      <c r="C1406" s="92">
        <f>EOMONTH($B1406,0)</f>
        <v/>
      </c>
      <c r="D1406" s="87">
        <f>$C1406-$B1406+1</f>
        <v/>
      </c>
      <c r="E1406" s="87">
        <f>MONTH($B1406)</f>
        <v/>
      </c>
      <c r="F1406" s="93">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$N1406*IF($O$1372=1,$O1406/$F$1372,1)</f>
        <v/>
      </c>
      <c r="T1406" s="95">
        <f>IF($G1406&lt;nr_MStartP,$S1406,$T1394*(1+IF($G1406&lt;nr_MStartP1,$M$1372,$N$1372)))</f>
        <v/>
      </c>
      <c r="U1406" s="95">
        <f>IF($L$1372,$T1406,$N1406)</f>
        <v/>
      </c>
    </row>
    <row r="1407">
      <c r="A1407" s="90" t="n">
        <v>33</v>
      </c>
      <c r="B1407" s="91">
        <f>EDATE($B1406,1)</f>
        <v/>
      </c>
      <c r="C1407" s="92">
        <f>EOMONTH($B1407,0)</f>
        <v/>
      </c>
      <c r="D1407" s="87">
        <f>$C1407-$B1407+1</f>
        <v/>
      </c>
      <c r="E1407" s="87">
        <f>MONTH($B1407)</f>
        <v/>
      </c>
      <c r="F1407" s="93">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$N1407*IF($O$1372=1,$O1407/$F$1372,1)</f>
        <v/>
      </c>
      <c r="T1407" s="95">
        <f>IF($G1407&lt;nr_MStartP,$S1407,$T1395*(1+IF($G1407&lt;nr_MStartP1,$M$1372,$N$1372)))</f>
        <v/>
      </c>
      <c r="U1407" s="95">
        <f>IF($L$1372,$T1407,$N1407)</f>
        <v/>
      </c>
    </row>
    <row r="1408">
      <c r="A1408" s="90" t="n">
        <v>34</v>
      </c>
      <c r="B1408" s="91">
        <f>EDATE($B1407,1)</f>
        <v/>
      </c>
      <c r="C1408" s="92">
        <f>EOMONTH($B1408,0)</f>
        <v/>
      </c>
      <c r="D1408" s="87">
        <f>$C1408-$B1408+1</f>
        <v/>
      </c>
      <c r="E1408" s="87">
        <f>MONTH($B1408)</f>
        <v/>
      </c>
      <c r="F1408" s="93">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$N1408*IF($O$1372=1,$O1408/$F$1372,1)</f>
        <v/>
      </c>
      <c r="T1408" s="95">
        <f>IF($G1408&lt;nr_MStartP,$S1408,$T1396*(1+IF($G1408&lt;nr_MStartP1,$M$1372,$N$1372)))</f>
        <v/>
      </c>
      <c r="U1408" s="95">
        <f>IF($L$1372,$T1408,$N1408)</f>
        <v/>
      </c>
    </row>
    <row r="1409">
      <c r="A1409" s="90" t="n">
        <v>35</v>
      </c>
      <c r="B1409" s="91">
        <f>EDATE($B1408,1)</f>
        <v/>
      </c>
      <c r="C1409" s="92">
        <f>EOMONTH($B1409,0)</f>
        <v/>
      </c>
      <c r="D1409" s="87">
        <f>$C1409-$B1409+1</f>
        <v/>
      </c>
      <c r="E1409" s="87">
        <f>MONTH($B1409)</f>
        <v/>
      </c>
      <c r="F1409" s="93">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$N1409*IF($O$1372=1,$O1409/$F$1372,1)</f>
        <v/>
      </c>
      <c r="T1409" s="95">
        <f>IF($G1409&lt;nr_MStartP,$S1409,$T1397*(1+IF($G1409&lt;nr_MStartP1,$M$1372,$N$1372)))</f>
        <v/>
      </c>
      <c r="U1409" s="95">
        <f>IF($L$1372,$T1409,$N1409)</f>
        <v/>
      </c>
    </row>
    <row r="1410">
      <c r="A1410" s="90" t="n">
        <v>36</v>
      </c>
      <c r="B1410" s="91">
        <f>EDATE($B1409,1)</f>
        <v/>
      </c>
      <c r="C1410" s="92">
        <f>EOMONTH($B1410,0)</f>
        <v/>
      </c>
      <c r="D1410" s="87">
        <f>$C1410-$B1410+1</f>
        <v/>
      </c>
      <c r="E1410" s="87">
        <f>MONTH($B1410)</f>
        <v/>
      </c>
      <c r="F1410" s="93">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$N1410*IF($O$1372=1,$O1410/$F$1372,1)</f>
        <v/>
      </c>
      <c r="T1410" s="95">
        <f>IF($G1410&lt;nr_MStartP,$S1410,$T1398*(1+IF($G1410&lt;nr_MStartP1,$M$1372,$N$1372)))</f>
        <v/>
      </c>
      <c r="U1410" s="95">
        <f>IF($L$1372,$T1410,$N1410)</f>
        <v/>
      </c>
    </row>
    <row r="1411">
      <c r="A1411" s="90" t="n">
        <v>37</v>
      </c>
      <c r="B1411" s="91">
        <f>EDATE($B1410,1)</f>
        <v/>
      </c>
      <c r="C1411" s="92">
        <f>EOMONTH($B1411,0)</f>
        <v/>
      </c>
      <c r="D1411" s="87">
        <f>$C1411-$B1411+1</f>
        <v/>
      </c>
      <c r="E1411" s="87">
        <f>MONTH($B1411)</f>
        <v/>
      </c>
      <c r="F1411" s="93">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$N1411*IF($O$1372=1,$O1411/$F$1372,1)</f>
        <v/>
      </c>
      <c r="T1411" s="95">
        <f>IF($G1411&lt;nr_MStartP,$S1411,$T1399*(1+IF($G1411&lt;nr_MStartP1,$M$1372,$N$1372)))</f>
        <v/>
      </c>
      <c r="U1411" s="95">
        <f>IF($L$1372,$T1411,$N1411)</f>
        <v/>
      </c>
    </row>
    <row r="1412">
      <c r="A1412" s="90" t="n">
        <v>38</v>
      </c>
      <c r="B1412" s="91">
        <f>EDATE($B1411,1)</f>
        <v/>
      </c>
      <c r="C1412" s="92">
        <f>EOMONTH($B1412,0)</f>
        <v/>
      </c>
      <c r="D1412" s="87">
        <f>$C1412-$B1412+1</f>
        <v/>
      </c>
      <c r="E1412" s="87">
        <f>MONTH($B1412)</f>
        <v/>
      </c>
      <c r="F1412" s="93">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$N1412*IF($O$1372=1,$O1412/$F$1372,1)</f>
        <v/>
      </c>
      <c r="T1412" s="95">
        <f>IF($G1412&lt;nr_MStartP,$S1412,$T1400*(1+IF($G1412&lt;nr_MStartP1,$M$1372,$N$1372)))</f>
        <v/>
      </c>
      <c r="U1412" s="95">
        <f>IF($L$1372,$T1412,$N1412)</f>
        <v/>
      </c>
    </row>
    <row r="1413">
      <c r="A1413" s="90" t="n">
        <v>39</v>
      </c>
      <c r="B1413" s="91">
        <f>EDATE($B1412,1)</f>
        <v/>
      </c>
      <c r="C1413" s="92">
        <f>EOMONTH($B1413,0)</f>
        <v/>
      </c>
      <c r="D1413" s="87">
        <f>$C1413-$B1413+1</f>
        <v/>
      </c>
      <c r="E1413" s="87">
        <f>MONTH($B1413)</f>
        <v/>
      </c>
      <c r="F1413" s="93">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$N1413*IF($O$1372=1,$O1413/$F$1372,1)</f>
        <v/>
      </c>
      <c r="T1413" s="95">
        <f>IF($G1413&lt;nr_MStartP,$S1413,$T1401*(1+IF($G1413&lt;nr_MStartP1,$M$1372,$N$1372)))</f>
        <v/>
      </c>
      <c r="U1413" s="95">
        <f>IF($L$1372,$T1413,$N1413)</f>
        <v/>
      </c>
    </row>
    <row r="1414">
      <c r="A1414" s="90" t="n">
        <v>40</v>
      </c>
      <c r="B1414" s="91">
        <f>EDATE($B1413,1)</f>
        <v/>
      </c>
      <c r="C1414" s="92">
        <f>EOMONTH($B1414,0)</f>
        <v/>
      </c>
      <c r="D1414" s="87">
        <f>$C1414-$B1414+1</f>
        <v/>
      </c>
      <c r="E1414" s="87">
        <f>MONTH($B1414)</f>
        <v/>
      </c>
      <c r="F1414" s="93">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$N1414*IF($O$1372=1,$O1414/$F$1372,1)</f>
        <v/>
      </c>
      <c r="T1414" s="95">
        <f>IF($G1414&lt;nr_MStartP,$S1414,$T1402*(1+IF($G1414&lt;nr_MStartP1,$M$1372,$N$1372)))</f>
        <v/>
      </c>
      <c r="U1414" s="95">
        <f>IF($L$1372,$T1414,$N1414)</f>
        <v/>
      </c>
    </row>
    <row r="1415">
      <c r="A1415" s="90" t="n">
        <v>41</v>
      </c>
      <c r="B1415" s="91">
        <f>EDATE($B1414,1)</f>
        <v/>
      </c>
      <c r="C1415" s="92">
        <f>EOMONTH($B1415,0)</f>
        <v/>
      </c>
      <c r="D1415" s="87">
        <f>$C1415-$B1415+1</f>
        <v/>
      </c>
      <c r="E1415" s="87">
        <f>MONTH($B1415)</f>
        <v/>
      </c>
      <c r="F1415" s="93">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$N1415*IF($O$1372=1,$O1415/$F$1372,1)</f>
        <v/>
      </c>
      <c r="T1415" s="95">
        <f>IF($G1415&lt;nr_MStartP,$S1415,$T1403*(1+IF($G1415&lt;nr_MStartP1,$M$1372,$N$1372)))</f>
        <v/>
      </c>
      <c r="U1415" s="95">
        <f>IF($L$1372,$T1415,$N1415)</f>
        <v/>
      </c>
    </row>
    <row r="1416">
      <c r="A1416" s="90" t="n">
        <v>42</v>
      </c>
      <c r="B1416" s="91">
        <f>EDATE($B1415,1)</f>
        <v/>
      </c>
      <c r="C1416" s="92">
        <f>EOMONTH($B1416,0)</f>
        <v/>
      </c>
      <c r="D1416" s="87">
        <f>$C1416-$B1416+1</f>
        <v/>
      </c>
      <c r="E1416" s="87">
        <f>MONTH($B1416)</f>
        <v/>
      </c>
      <c r="F1416" s="93">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$N1416*IF($O$1372=1,$O1416/$F$1372,1)</f>
        <v/>
      </c>
      <c r="T1416" s="95">
        <f>IF($G1416&lt;nr_MStartP,$S1416,$T1404*(1+IF($G1416&lt;nr_MStartP1,$M$1372,$N$1372)))</f>
        <v/>
      </c>
      <c r="U1416" s="95">
        <f>IF($L$1372,$T1416,$N1416)</f>
        <v/>
      </c>
    </row>
    <row r="1417">
      <c r="A1417" s="90" t="n">
        <v>43</v>
      </c>
      <c r="B1417" s="91">
        <f>EDATE($B1416,1)</f>
        <v/>
      </c>
      <c r="C1417" s="92">
        <f>EOMONTH($B1417,0)</f>
        <v/>
      </c>
      <c r="D1417" s="87">
        <f>$C1417-$B1417+1</f>
        <v/>
      </c>
      <c r="E1417" s="87">
        <f>MONTH($B1417)</f>
        <v/>
      </c>
      <c r="F1417" s="93">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$N1417*IF($O$1372=1,$O1417/$F$1372,1)</f>
        <v/>
      </c>
      <c r="T1417" s="95">
        <f>IF($G1417&lt;nr_MStartP,$S1417,$T1405*(1+IF($G1417&lt;nr_MStartP1,$M$1372,$N$1372)))</f>
        <v/>
      </c>
      <c r="U1417" s="95">
        <f>IF($L$1372,$T1417,$N1417)</f>
        <v/>
      </c>
    </row>
    <row r="1418">
      <c r="A1418" s="90" t="n">
        <v>44</v>
      </c>
      <c r="B1418" s="91">
        <f>EDATE($B1417,1)</f>
        <v/>
      </c>
      <c r="C1418" s="92">
        <f>EOMONTH($B1418,0)</f>
        <v/>
      </c>
      <c r="D1418" s="87">
        <f>$C1418-$B1418+1</f>
        <v/>
      </c>
      <c r="E1418" s="87">
        <f>MONTH($B1418)</f>
        <v/>
      </c>
      <c r="F1418" s="93">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$N1418*IF($O$1372=1,$O1418/$F$1372,1)</f>
        <v/>
      </c>
      <c r="T1418" s="95">
        <f>IF($G1418&lt;nr_MStartP,$S1418,$T1406*(1+IF($G1418&lt;nr_MStartP1,$M$1372,$N$1372)))</f>
        <v/>
      </c>
      <c r="U1418" s="95">
        <f>IF($L$1372,$T1418,$N1418)</f>
        <v/>
      </c>
    </row>
    <row r="1419">
      <c r="A1419" s="90" t="n">
        <v>45</v>
      </c>
      <c r="B1419" s="91">
        <f>EDATE($B1418,1)</f>
        <v/>
      </c>
      <c r="C1419" s="92">
        <f>EOMONTH($B1419,0)</f>
        <v/>
      </c>
      <c r="D1419" s="87">
        <f>$C1419-$B1419+1</f>
        <v/>
      </c>
      <c r="E1419" s="87">
        <f>MONTH($B1419)</f>
        <v/>
      </c>
      <c r="F1419" s="93">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$N1419*IF($O$1372=1,$O1419/$F$1372,1)</f>
        <v/>
      </c>
      <c r="T1419" s="95">
        <f>IF($G1419&lt;nr_MStartP,$S1419,$T1407*(1+IF($G1419&lt;nr_MStartP1,$M$1372,$N$1372)))</f>
        <v/>
      </c>
      <c r="U1419" s="95">
        <f>IF($L$1372,$T1419,$N1419)</f>
        <v/>
      </c>
    </row>
    <row r="1420">
      <c r="A1420" s="90" t="n">
        <v>46</v>
      </c>
      <c r="B1420" s="91">
        <f>EDATE($B1419,1)</f>
        <v/>
      </c>
      <c r="C1420" s="92">
        <f>EOMONTH($B1420,0)</f>
        <v/>
      </c>
      <c r="D1420" s="87">
        <f>$C1420-$B1420+1</f>
        <v/>
      </c>
      <c r="E1420" s="87">
        <f>MONTH($B1420)</f>
        <v/>
      </c>
      <c r="F1420" s="93">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$N1420*IF($O$1372=1,$O1420/$F$1372,1)</f>
        <v/>
      </c>
      <c r="T1420" s="95">
        <f>IF($G1420&lt;nr_MStartP,$S1420,$T1408*(1+IF($G1420&lt;nr_MStartP1,$M$1372,$N$1372)))</f>
        <v/>
      </c>
      <c r="U1420" s="95">
        <f>IF($L$1372,$T1420,$N1420)</f>
        <v/>
      </c>
    </row>
    <row r="1421">
      <c r="A1421" s="90" t="n">
        <v>47</v>
      </c>
      <c r="B1421" s="91">
        <f>EDATE($B1420,1)</f>
        <v/>
      </c>
      <c r="C1421" s="92">
        <f>EOMONTH($B1421,0)</f>
        <v/>
      </c>
      <c r="D1421" s="87">
        <f>$C1421-$B1421+1</f>
        <v/>
      </c>
      <c r="E1421" s="87">
        <f>MONTH($B1421)</f>
        <v/>
      </c>
      <c r="F1421" s="93">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$N1421*IF($O$1372=1,$O1421/$F$1372,1)</f>
        <v/>
      </c>
      <c r="T1421" s="95">
        <f>IF($G1421&lt;nr_MStartP,$S1421,$T1409*(1+IF($G1421&lt;nr_MStartP1,$M$1372,$N$1372)))</f>
        <v/>
      </c>
      <c r="U1421" s="95">
        <f>IF($L$1372,$T1421,$N1421)</f>
        <v/>
      </c>
    </row>
    <row r="1422">
      <c r="A1422" s="90" t="n">
        <v>48</v>
      </c>
      <c r="B1422" s="91">
        <f>EDATE($B1421,1)</f>
        <v/>
      </c>
      <c r="C1422" s="92">
        <f>EOMONTH($B1422,0)</f>
        <v/>
      </c>
      <c r="D1422" s="87">
        <f>$C1422-$B1422+1</f>
        <v/>
      </c>
      <c r="E1422" s="87">
        <f>MONTH($B1422)</f>
        <v/>
      </c>
      <c r="F1422" s="93">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$N1422*IF($O$1372=1,$O1422/$F$1372,1)</f>
        <v/>
      </c>
      <c r="T1422" s="95">
        <f>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04">
        <f>SUMPRODUCT($H$1375:$H$1422,$Q$1375:$Q$1422,$O$1375:$O$1422)/SUMPRODUCT($H$1375:$H$1422,$Q$1375:$Q$1422)</f>
        <v/>
      </c>
      <c r="G1423" s="20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04">
        <f>IF(N(INDEX(lr_mind,26))=0,1,INDEX(lr_mind,26))</f>
        <v/>
      </c>
      <c r="G1426" s="204">
        <f>IF(N(INDEX(lr_m0,26))=0,1,INDEX(lr_m0,26))</f>
        <v/>
      </c>
      <c r="H1426" s="73">
        <f>IF(N(INDEX(lr_m0asof,26))=0,DATE(nr_PlanYear-1,10,1),INDEX(lr_m0asof,26))</f>
        <v/>
      </c>
      <c r="I1426" s="204">
        <f>IF(N(INDEX(lr_m1,26))=0,1,INDEX(lr_m1,26))</f>
        <v/>
      </c>
      <c r="J1426" s="204">
        <f>INDEX(lr_mprior,26)</f>
        <v/>
      </c>
      <c r="K1426" s="20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93">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$N1429*IF($O$1426=1,$O1429/$F$1426,1)</f>
        <v/>
      </c>
      <c r="T1429" s="95">
        <f>IF($G1429&lt;nr_MStartP,$S1429,$T1417*(1+IF($G1429&lt;nr_MStartP1,$M$1426,$N$1426)))</f>
        <v/>
      </c>
      <c r="U1429" s="95">
        <f>IF($L$1426,$T1429,$N1429)</f>
        <v/>
      </c>
    </row>
    <row r="1430">
      <c r="A1430" s="90" t="n">
        <v>2</v>
      </c>
      <c r="B1430" s="91">
        <f>EDATE($B1429,1)</f>
        <v/>
      </c>
      <c r="C1430" s="92">
        <f>EOMONTH($B1430,0)</f>
        <v/>
      </c>
      <c r="D1430" s="87">
        <f>$C1430-$B1430+1</f>
        <v/>
      </c>
      <c r="E1430" s="87">
        <f>MONTH($B1430)</f>
        <v/>
      </c>
      <c r="F1430" s="93">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$N1430*IF($O$1426=1,$O1430/$F$1426,1)</f>
        <v/>
      </c>
      <c r="T1430" s="95">
        <f>IF($G1430&lt;nr_MStartP,$S1430,$T1418*(1+IF($G1430&lt;nr_MStartP1,$M$1426,$N$1426)))</f>
        <v/>
      </c>
      <c r="U1430" s="95">
        <f>IF($L$1426,$T1430,$N1430)</f>
        <v/>
      </c>
    </row>
    <row r="1431">
      <c r="A1431" s="90" t="n">
        <v>3</v>
      </c>
      <c r="B1431" s="91">
        <f>EDATE($B1430,1)</f>
        <v/>
      </c>
      <c r="C1431" s="92">
        <f>EOMONTH($B1431,0)</f>
        <v/>
      </c>
      <c r="D1431" s="87">
        <f>$C1431-$B1431+1</f>
        <v/>
      </c>
      <c r="E1431" s="87">
        <f>MONTH($B1431)</f>
        <v/>
      </c>
      <c r="F1431" s="93">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$N1431*IF($O$1426=1,$O1431/$F$1426,1)</f>
        <v/>
      </c>
      <c r="T1431" s="95">
        <f>IF($G1431&lt;nr_MStartP,$S1431,$T1419*(1+IF($G1431&lt;nr_MStartP1,$M$1426,$N$1426)))</f>
        <v/>
      </c>
      <c r="U1431" s="95">
        <f>IF($L$1426,$T1431,$N1431)</f>
        <v/>
      </c>
    </row>
    <row r="1432">
      <c r="A1432" s="90" t="n">
        <v>4</v>
      </c>
      <c r="B1432" s="91">
        <f>EDATE($B1431,1)</f>
        <v/>
      </c>
      <c r="C1432" s="92">
        <f>EOMONTH($B1432,0)</f>
        <v/>
      </c>
      <c r="D1432" s="87">
        <f>$C1432-$B1432+1</f>
        <v/>
      </c>
      <c r="E1432" s="87">
        <f>MONTH($B1432)</f>
        <v/>
      </c>
      <c r="F1432" s="93">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$N1432*IF($O$1426=1,$O1432/$F$1426,1)</f>
        <v/>
      </c>
      <c r="T1432" s="95">
        <f>IF($G1432&lt;nr_MStartP,$S1432,$T1420*(1+IF($G1432&lt;nr_MStartP1,$M$1426,$N$1426)))</f>
        <v/>
      </c>
      <c r="U1432" s="95">
        <f>IF($L$1426,$T1432,$N1432)</f>
        <v/>
      </c>
    </row>
    <row r="1433">
      <c r="A1433" s="90" t="n">
        <v>5</v>
      </c>
      <c r="B1433" s="91">
        <f>EDATE($B1432,1)</f>
        <v/>
      </c>
      <c r="C1433" s="92">
        <f>EOMONTH($B1433,0)</f>
        <v/>
      </c>
      <c r="D1433" s="87">
        <f>$C1433-$B1433+1</f>
        <v/>
      </c>
      <c r="E1433" s="87">
        <f>MONTH($B1433)</f>
        <v/>
      </c>
      <c r="F1433" s="93">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$N1433*IF($O$1426=1,$O1433/$F$1426,1)</f>
        <v/>
      </c>
      <c r="T1433" s="95">
        <f>IF($G1433&lt;nr_MStartP,$S1433,$T1421*(1+IF($G1433&lt;nr_MStartP1,$M$1426,$N$1426)))</f>
        <v/>
      </c>
      <c r="U1433" s="95">
        <f>IF($L$1426,$T1433,$N1433)</f>
        <v/>
      </c>
    </row>
    <row r="1434">
      <c r="A1434" s="90" t="n">
        <v>6</v>
      </c>
      <c r="B1434" s="91">
        <f>EDATE($B1433,1)</f>
        <v/>
      </c>
      <c r="C1434" s="92">
        <f>EOMONTH($B1434,0)</f>
        <v/>
      </c>
      <c r="D1434" s="87">
        <f>$C1434-$B1434+1</f>
        <v/>
      </c>
      <c r="E1434" s="87">
        <f>MONTH($B1434)</f>
        <v/>
      </c>
      <c r="F1434" s="93">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$N1434*IF($O$1426=1,$O1434/$F$1426,1)</f>
        <v/>
      </c>
      <c r="T1434" s="95">
        <f>IF($G1434&lt;nr_MStartP,$S1434,$T1422*(1+IF($G1434&lt;nr_MStartP1,$M$1426,$N$1426)))</f>
        <v/>
      </c>
      <c r="U1434" s="95">
        <f>IF($L$1426,$T1434,$N1434)</f>
        <v/>
      </c>
    </row>
    <row r="1435">
      <c r="A1435" s="90" t="n">
        <v>7</v>
      </c>
      <c r="B1435" s="91">
        <f>EDATE($B1434,1)</f>
        <v/>
      </c>
      <c r="C1435" s="92">
        <f>EOMONTH($B1435,0)</f>
        <v/>
      </c>
      <c r="D1435" s="87">
        <f>$C1435-$B1435+1</f>
        <v/>
      </c>
      <c r="E1435" s="87">
        <f>MONTH($B1435)</f>
        <v/>
      </c>
      <c r="F1435" s="93">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$N1435*IF($O$1426=1,$O1435/$F$1426,1)</f>
        <v/>
      </c>
      <c r="T1435" s="95">
        <f>IF($G1435&lt;nr_MStartP,$S1435,$T1423*(1+IF($G1435&lt;nr_MStartP1,$M$1426,$N$1426)))</f>
        <v/>
      </c>
      <c r="U1435" s="95">
        <f>IF($L$1426,$T1435,$N1435)</f>
        <v/>
      </c>
    </row>
    <row r="1436">
      <c r="A1436" s="90" t="n">
        <v>8</v>
      </c>
      <c r="B1436" s="91">
        <f>EDATE($B1435,1)</f>
        <v/>
      </c>
      <c r="C1436" s="92">
        <f>EOMONTH($B1436,0)</f>
        <v/>
      </c>
      <c r="D1436" s="87">
        <f>$C1436-$B1436+1</f>
        <v/>
      </c>
      <c r="E1436" s="87">
        <f>MONTH($B1436)</f>
        <v/>
      </c>
      <c r="F1436" s="93">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$N1436*IF($O$1426=1,$O1436/$F$1426,1)</f>
        <v/>
      </c>
      <c r="T1436" s="95">
        <f>IF($G1436&lt;nr_MStartP,$S1436,$T1424*(1+IF($G1436&lt;nr_MStartP1,$M$1426,$N$1426)))</f>
        <v/>
      </c>
      <c r="U1436" s="95">
        <f>IF($L$1426,$T1436,$N1436)</f>
        <v/>
      </c>
    </row>
    <row r="1437">
      <c r="A1437" s="90" t="n">
        <v>9</v>
      </c>
      <c r="B1437" s="91">
        <f>EDATE($B1436,1)</f>
        <v/>
      </c>
      <c r="C1437" s="92">
        <f>EOMONTH($B1437,0)</f>
        <v/>
      </c>
      <c r="D1437" s="87">
        <f>$C1437-$B1437+1</f>
        <v/>
      </c>
      <c r="E1437" s="87">
        <f>MONTH($B1437)</f>
        <v/>
      </c>
      <c r="F1437" s="93">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$N1437*IF($O$1426=1,$O1437/$F$1426,1)</f>
        <v/>
      </c>
      <c r="T1437" s="95">
        <f>IF($G1437&lt;nr_MStartP,$S1437,$T1425*(1+IF($G1437&lt;nr_MStartP1,$M$1426,$N$1426)))</f>
        <v/>
      </c>
      <c r="U1437" s="95">
        <f>IF($L$1426,$T1437,$N1437)</f>
        <v/>
      </c>
    </row>
    <row r="1438">
      <c r="A1438" s="90" t="n">
        <v>10</v>
      </c>
      <c r="B1438" s="91">
        <f>EDATE($B1437,1)</f>
        <v/>
      </c>
      <c r="C1438" s="92">
        <f>EOMONTH($B1438,0)</f>
        <v/>
      </c>
      <c r="D1438" s="87">
        <f>$C1438-$B1438+1</f>
        <v/>
      </c>
      <c r="E1438" s="87">
        <f>MONTH($B1438)</f>
        <v/>
      </c>
      <c r="F1438" s="93">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$N1438*IF($O$1426=1,$O1438/$F$1426,1)</f>
        <v/>
      </c>
      <c r="T1438" s="95">
        <f>IF($G1438&lt;nr_MStartP,$S1438,$T1426*(1+IF($G1438&lt;nr_MStartP1,$M$1426,$N$1426)))</f>
        <v/>
      </c>
      <c r="U1438" s="95">
        <f>IF($L$1426,$T1438,$N1438)</f>
        <v/>
      </c>
    </row>
    <row r="1439">
      <c r="A1439" s="90" t="n">
        <v>11</v>
      </c>
      <c r="B1439" s="91">
        <f>EDATE($B1438,1)</f>
        <v/>
      </c>
      <c r="C1439" s="92">
        <f>EOMONTH($B1439,0)</f>
        <v/>
      </c>
      <c r="D1439" s="87">
        <f>$C1439-$B1439+1</f>
        <v/>
      </c>
      <c r="E1439" s="87">
        <f>MONTH($B1439)</f>
        <v/>
      </c>
      <c r="F1439" s="93">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$N1439*IF($O$1426=1,$O1439/$F$1426,1)</f>
        <v/>
      </c>
      <c r="T1439" s="95">
        <f>IF($G1439&lt;nr_MStartP,$S1439,$T1427*(1+IF($G1439&lt;nr_MStartP1,$M$1426,$N$1426)))</f>
        <v/>
      </c>
      <c r="U1439" s="95">
        <f>IF($L$1426,$T1439,$N1439)</f>
        <v/>
      </c>
    </row>
    <row r="1440">
      <c r="A1440" s="90" t="n">
        <v>12</v>
      </c>
      <c r="B1440" s="91">
        <f>EDATE($B1439,1)</f>
        <v/>
      </c>
      <c r="C1440" s="92">
        <f>EOMONTH($B1440,0)</f>
        <v/>
      </c>
      <c r="D1440" s="87">
        <f>$C1440-$B1440+1</f>
        <v/>
      </c>
      <c r="E1440" s="87">
        <f>MONTH($B1440)</f>
        <v/>
      </c>
      <c r="F1440" s="93">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$N1440*IF($O$1426=1,$O1440/$F$1426,1)</f>
        <v/>
      </c>
      <c r="T1440" s="95">
        <f>IF($G1440&lt;nr_MStartP,$S1440,$T1428*(1+IF($G1440&lt;nr_MStartP1,$M$1426,$N$1426)))</f>
        <v/>
      </c>
      <c r="U1440" s="95">
        <f>IF($L$1426,$T1440,$N1440)</f>
        <v/>
      </c>
    </row>
    <row r="1441">
      <c r="A1441" s="90" t="n">
        <v>13</v>
      </c>
      <c r="B1441" s="91">
        <f>EDATE($B1440,1)</f>
        <v/>
      </c>
      <c r="C1441" s="92">
        <f>EOMONTH($B1441,0)</f>
        <v/>
      </c>
      <c r="D1441" s="87">
        <f>$C1441-$B1441+1</f>
        <v/>
      </c>
      <c r="E1441" s="87">
        <f>MONTH($B1441)</f>
        <v/>
      </c>
      <c r="F1441" s="93">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$N1441*IF($O$1426=1,$O1441/$F$1426,1)</f>
        <v/>
      </c>
      <c r="T1441" s="95">
        <f>IF($G1441&lt;nr_MStartP,$S1441,$T1429*(1+IF($G1441&lt;nr_MStartP1,$M$1426,$N$1426)))</f>
        <v/>
      </c>
      <c r="U1441" s="95">
        <f>IF($L$1426,$T1441,$N1441)</f>
        <v/>
      </c>
    </row>
    <row r="1442">
      <c r="A1442" s="90" t="n">
        <v>14</v>
      </c>
      <c r="B1442" s="91">
        <f>EDATE($B1441,1)</f>
        <v/>
      </c>
      <c r="C1442" s="92">
        <f>EOMONTH($B1442,0)</f>
        <v/>
      </c>
      <c r="D1442" s="87">
        <f>$C1442-$B1442+1</f>
        <v/>
      </c>
      <c r="E1442" s="87">
        <f>MONTH($B1442)</f>
        <v/>
      </c>
      <c r="F1442" s="93">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$N1442*IF($O$1426=1,$O1442/$F$1426,1)</f>
        <v/>
      </c>
      <c r="T1442" s="95">
        <f>IF($G1442&lt;nr_MStartP,$S1442,$T1430*(1+IF($G1442&lt;nr_MStartP1,$M$1426,$N$1426)))</f>
        <v/>
      </c>
      <c r="U1442" s="95">
        <f>IF($L$1426,$T1442,$N1442)</f>
        <v/>
      </c>
    </row>
    <row r="1443">
      <c r="A1443" s="90" t="n">
        <v>15</v>
      </c>
      <c r="B1443" s="91">
        <f>EDATE($B1442,1)</f>
        <v/>
      </c>
      <c r="C1443" s="92">
        <f>EOMONTH($B1443,0)</f>
        <v/>
      </c>
      <c r="D1443" s="87">
        <f>$C1443-$B1443+1</f>
        <v/>
      </c>
      <c r="E1443" s="87">
        <f>MONTH($B1443)</f>
        <v/>
      </c>
      <c r="F1443" s="93">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$N1443*IF($O$1426=1,$O1443/$F$1426,1)</f>
        <v/>
      </c>
      <c r="T1443" s="95">
        <f>IF($G1443&lt;nr_MStartP,$S1443,$T1431*(1+IF($G1443&lt;nr_MStartP1,$M$1426,$N$1426)))</f>
        <v/>
      </c>
      <c r="U1443" s="95">
        <f>IF($L$1426,$T1443,$N1443)</f>
        <v/>
      </c>
    </row>
    <row r="1444">
      <c r="A1444" s="90" t="n">
        <v>16</v>
      </c>
      <c r="B1444" s="91">
        <f>EDATE($B1443,1)</f>
        <v/>
      </c>
      <c r="C1444" s="92">
        <f>EOMONTH($B1444,0)</f>
        <v/>
      </c>
      <c r="D1444" s="87">
        <f>$C1444-$B1444+1</f>
        <v/>
      </c>
      <c r="E1444" s="87">
        <f>MONTH($B1444)</f>
        <v/>
      </c>
      <c r="F1444" s="93">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$N1444*IF($O$1426=1,$O1444/$F$1426,1)</f>
        <v/>
      </c>
      <c r="T1444" s="95">
        <f>IF($G1444&lt;nr_MStartP,$S1444,$T1432*(1+IF($G1444&lt;nr_MStartP1,$M$1426,$N$1426)))</f>
        <v/>
      </c>
      <c r="U1444" s="95">
        <f>IF($L$1426,$T1444,$N1444)</f>
        <v/>
      </c>
    </row>
    <row r="1445">
      <c r="A1445" s="90" t="n">
        <v>17</v>
      </c>
      <c r="B1445" s="91">
        <f>EDATE($B1444,1)</f>
        <v/>
      </c>
      <c r="C1445" s="92">
        <f>EOMONTH($B1445,0)</f>
        <v/>
      </c>
      <c r="D1445" s="87">
        <f>$C1445-$B1445+1</f>
        <v/>
      </c>
      <c r="E1445" s="87">
        <f>MONTH($B1445)</f>
        <v/>
      </c>
      <c r="F1445" s="93">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$N1445*IF($O$1426=1,$O1445/$F$1426,1)</f>
        <v/>
      </c>
      <c r="T1445" s="95">
        <f>IF($G1445&lt;nr_MStartP,$S1445,$T1433*(1+IF($G1445&lt;nr_MStartP1,$M$1426,$N$1426)))</f>
        <v/>
      </c>
      <c r="U1445" s="95">
        <f>IF($L$1426,$T1445,$N1445)</f>
        <v/>
      </c>
    </row>
    <row r="1446">
      <c r="A1446" s="90" t="n">
        <v>18</v>
      </c>
      <c r="B1446" s="91">
        <f>EDATE($B1445,1)</f>
        <v/>
      </c>
      <c r="C1446" s="92">
        <f>EOMONTH($B1446,0)</f>
        <v/>
      </c>
      <c r="D1446" s="87">
        <f>$C1446-$B1446+1</f>
        <v/>
      </c>
      <c r="E1446" s="87">
        <f>MONTH($B1446)</f>
        <v/>
      </c>
      <c r="F1446" s="93">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$N1446*IF($O$1426=1,$O1446/$F$1426,1)</f>
        <v/>
      </c>
      <c r="T1446" s="95">
        <f>IF($G1446&lt;nr_MStartP,$S1446,$T1434*(1+IF($G1446&lt;nr_MStartP1,$M$1426,$N$1426)))</f>
        <v/>
      </c>
      <c r="U1446" s="95">
        <f>IF($L$1426,$T1446,$N1446)</f>
        <v/>
      </c>
    </row>
    <row r="1447">
      <c r="A1447" s="90" t="n">
        <v>19</v>
      </c>
      <c r="B1447" s="91">
        <f>EDATE($B1446,1)</f>
        <v/>
      </c>
      <c r="C1447" s="92">
        <f>EOMONTH($B1447,0)</f>
        <v/>
      </c>
      <c r="D1447" s="87">
        <f>$C1447-$B1447+1</f>
        <v/>
      </c>
      <c r="E1447" s="87">
        <f>MONTH($B1447)</f>
        <v/>
      </c>
      <c r="F1447" s="93">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$N1447*IF($O$1426=1,$O1447/$F$1426,1)</f>
        <v/>
      </c>
      <c r="T1447" s="95">
        <f>IF($G1447&lt;nr_MStartP,$S1447,$T1435*(1+IF($G1447&lt;nr_MStartP1,$M$1426,$N$1426)))</f>
        <v/>
      </c>
      <c r="U1447" s="95">
        <f>IF($L$1426,$T1447,$N1447)</f>
        <v/>
      </c>
    </row>
    <row r="1448">
      <c r="A1448" s="90" t="n">
        <v>20</v>
      </c>
      <c r="B1448" s="91">
        <f>EDATE($B1447,1)</f>
        <v/>
      </c>
      <c r="C1448" s="92">
        <f>EOMONTH($B1448,0)</f>
        <v/>
      </c>
      <c r="D1448" s="87">
        <f>$C1448-$B1448+1</f>
        <v/>
      </c>
      <c r="E1448" s="87">
        <f>MONTH($B1448)</f>
        <v/>
      </c>
      <c r="F1448" s="93">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$N1448*IF($O$1426=1,$O1448/$F$1426,1)</f>
        <v/>
      </c>
      <c r="T1448" s="95">
        <f>IF($G1448&lt;nr_MStartP,$S1448,$T1436*(1+IF($G1448&lt;nr_MStartP1,$M$1426,$N$1426)))</f>
        <v/>
      </c>
      <c r="U1448" s="95">
        <f>IF($L$1426,$T1448,$N1448)</f>
        <v/>
      </c>
    </row>
    <row r="1449">
      <c r="A1449" s="90" t="n">
        <v>21</v>
      </c>
      <c r="B1449" s="91">
        <f>EDATE($B1448,1)</f>
        <v/>
      </c>
      <c r="C1449" s="92">
        <f>EOMONTH($B1449,0)</f>
        <v/>
      </c>
      <c r="D1449" s="87">
        <f>$C1449-$B1449+1</f>
        <v/>
      </c>
      <c r="E1449" s="87">
        <f>MONTH($B1449)</f>
        <v/>
      </c>
      <c r="F1449" s="93">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$N1449*IF($O$1426=1,$O1449/$F$1426,1)</f>
        <v/>
      </c>
      <c r="T1449" s="95">
        <f>IF($G1449&lt;nr_MStartP,$S1449,$T1437*(1+IF($G1449&lt;nr_MStartP1,$M$1426,$N$1426)))</f>
        <v/>
      </c>
      <c r="U1449" s="95">
        <f>IF($L$1426,$T1449,$N1449)</f>
        <v/>
      </c>
    </row>
    <row r="1450">
      <c r="A1450" s="90" t="n">
        <v>22</v>
      </c>
      <c r="B1450" s="91">
        <f>EDATE($B1449,1)</f>
        <v/>
      </c>
      <c r="C1450" s="92">
        <f>EOMONTH($B1450,0)</f>
        <v/>
      </c>
      <c r="D1450" s="87">
        <f>$C1450-$B1450+1</f>
        <v/>
      </c>
      <c r="E1450" s="87">
        <f>MONTH($B1450)</f>
        <v/>
      </c>
      <c r="F1450" s="93">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$N1450*IF($O$1426=1,$O1450/$F$1426,1)</f>
        <v/>
      </c>
      <c r="T1450" s="95">
        <f>IF($G1450&lt;nr_MStartP,$S1450,$T1438*(1+IF($G1450&lt;nr_MStartP1,$M$1426,$N$1426)))</f>
        <v/>
      </c>
      <c r="U1450" s="95">
        <f>IF($L$1426,$T1450,$N1450)</f>
        <v/>
      </c>
    </row>
    <row r="1451">
      <c r="A1451" s="90" t="n">
        <v>23</v>
      </c>
      <c r="B1451" s="91">
        <f>EDATE($B1450,1)</f>
        <v/>
      </c>
      <c r="C1451" s="92">
        <f>EOMONTH($B1451,0)</f>
        <v/>
      </c>
      <c r="D1451" s="87">
        <f>$C1451-$B1451+1</f>
        <v/>
      </c>
      <c r="E1451" s="87">
        <f>MONTH($B1451)</f>
        <v/>
      </c>
      <c r="F1451" s="93">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$N1451*IF($O$1426=1,$O1451/$F$1426,1)</f>
        <v/>
      </c>
      <c r="T1451" s="95">
        <f>IF($G1451&lt;nr_MStartP,$S1451,$T1439*(1+IF($G1451&lt;nr_MStartP1,$M$1426,$N$1426)))</f>
        <v/>
      </c>
      <c r="U1451" s="95">
        <f>IF($L$1426,$T1451,$N1451)</f>
        <v/>
      </c>
    </row>
    <row r="1452">
      <c r="A1452" s="90" t="n">
        <v>24</v>
      </c>
      <c r="B1452" s="91">
        <f>EDATE($B1451,1)</f>
        <v/>
      </c>
      <c r="C1452" s="92">
        <f>EOMONTH($B1452,0)</f>
        <v/>
      </c>
      <c r="D1452" s="87">
        <f>$C1452-$B1452+1</f>
        <v/>
      </c>
      <c r="E1452" s="87">
        <f>MONTH($B1452)</f>
        <v/>
      </c>
      <c r="F1452" s="93">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$N1452*IF($O$1426=1,$O1452/$F$1426,1)</f>
        <v/>
      </c>
      <c r="T1452" s="95">
        <f>IF($G1452&lt;nr_MStartP,$S1452,$T1440*(1+IF($G1452&lt;nr_MStartP1,$M$1426,$N$1426)))</f>
        <v/>
      </c>
      <c r="U1452" s="95">
        <f>IF($L$1426,$T1452,$N1452)</f>
        <v/>
      </c>
    </row>
    <row r="1453">
      <c r="A1453" s="90" t="n">
        <v>25</v>
      </c>
      <c r="B1453" s="91">
        <f>EDATE($B1452,1)</f>
        <v/>
      </c>
      <c r="C1453" s="92">
        <f>EOMONTH($B1453,0)</f>
        <v/>
      </c>
      <c r="D1453" s="87">
        <f>$C1453-$B1453+1</f>
        <v/>
      </c>
      <c r="E1453" s="87">
        <f>MONTH($B1453)</f>
        <v/>
      </c>
      <c r="F1453" s="93">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$N1453*IF($O$1426=1,$O1453/$F$1426,1)</f>
        <v/>
      </c>
      <c r="T1453" s="95">
        <f>IF($G1453&lt;nr_MStartP,$S1453,$T1441*(1+IF($G1453&lt;nr_MStartP1,$M$1426,$N$1426)))</f>
        <v/>
      </c>
      <c r="U1453" s="95">
        <f>IF($L$1426,$T1453,$N1453)</f>
        <v/>
      </c>
    </row>
    <row r="1454">
      <c r="A1454" s="90" t="n">
        <v>26</v>
      </c>
      <c r="B1454" s="91">
        <f>EDATE($B1453,1)</f>
        <v/>
      </c>
      <c r="C1454" s="92">
        <f>EOMONTH($B1454,0)</f>
        <v/>
      </c>
      <c r="D1454" s="87">
        <f>$C1454-$B1454+1</f>
        <v/>
      </c>
      <c r="E1454" s="87">
        <f>MONTH($B1454)</f>
        <v/>
      </c>
      <c r="F1454" s="93">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$N1454*IF($O$1426=1,$O1454/$F$1426,1)</f>
        <v/>
      </c>
      <c r="T1454" s="95">
        <f>IF($G1454&lt;nr_MStartP,$S1454,$T1442*(1+IF($G1454&lt;nr_MStartP1,$M$1426,$N$1426)))</f>
        <v/>
      </c>
      <c r="U1454" s="95">
        <f>IF($L$1426,$T1454,$N1454)</f>
        <v/>
      </c>
    </row>
    <row r="1455">
      <c r="A1455" s="90" t="n">
        <v>27</v>
      </c>
      <c r="B1455" s="91">
        <f>EDATE($B1454,1)</f>
        <v/>
      </c>
      <c r="C1455" s="92">
        <f>EOMONTH($B1455,0)</f>
        <v/>
      </c>
      <c r="D1455" s="87">
        <f>$C1455-$B1455+1</f>
        <v/>
      </c>
      <c r="E1455" s="87">
        <f>MONTH($B1455)</f>
        <v/>
      </c>
      <c r="F1455" s="93">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$N1455*IF($O$1426=1,$O1455/$F$1426,1)</f>
        <v/>
      </c>
      <c r="T1455" s="95">
        <f>IF($G1455&lt;nr_MStartP,$S1455,$T1443*(1+IF($G1455&lt;nr_MStartP1,$M$1426,$N$1426)))</f>
        <v/>
      </c>
      <c r="U1455" s="95">
        <f>IF($L$1426,$T1455,$N1455)</f>
        <v/>
      </c>
    </row>
    <row r="1456">
      <c r="A1456" s="90" t="n">
        <v>28</v>
      </c>
      <c r="B1456" s="91">
        <f>EDATE($B1455,1)</f>
        <v/>
      </c>
      <c r="C1456" s="92">
        <f>EOMONTH($B1456,0)</f>
        <v/>
      </c>
      <c r="D1456" s="87">
        <f>$C1456-$B1456+1</f>
        <v/>
      </c>
      <c r="E1456" s="87">
        <f>MONTH($B1456)</f>
        <v/>
      </c>
      <c r="F1456" s="93">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$N1456*IF($O$1426=1,$O1456/$F$1426,1)</f>
        <v/>
      </c>
      <c r="T1456" s="95">
        <f>IF($G1456&lt;nr_MStartP,$S1456,$T1444*(1+IF($G1456&lt;nr_MStartP1,$M$1426,$N$1426)))</f>
        <v/>
      </c>
      <c r="U1456" s="95">
        <f>IF($L$1426,$T1456,$N1456)</f>
        <v/>
      </c>
    </row>
    <row r="1457">
      <c r="A1457" s="90" t="n">
        <v>29</v>
      </c>
      <c r="B1457" s="91">
        <f>EDATE($B1456,1)</f>
        <v/>
      </c>
      <c r="C1457" s="92">
        <f>EOMONTH($B1457,0)</f>
        <v/>
      </c>
      <c r="D1457" s="87">
        <f>$C1457-$B1457+1</f>
        <v/>
      </c>
      <c r="E1457" s="87">
        <f>MONTH($B1457)</f>
        <v/>
      </c>
      <c r="F1457" s="93">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$N1457*IF($O$1426=1,$O1457/$F$1426,1)</f>
        <v/>
      </c>
      <c r="T1457" s="95">
        <f>IF($G1457&lt;nr_MStartP,$S1457,$T1445*(1+IF($G1457&lt;nr_MStartP1,$M$1426,$N$1426)))</f>
        <v/>
      </c>
      <c r="U1457" s="95">
        <f>IF($L$1426,$T1457,$N1457)</f>
        <v/>
      </c>
    </row>
    <row r="1458">
      <c r="A1458" s="90" t="n">
        <v>30</v>
      </c>
      <c r="B1458" s="91">
        <f>EDATE($B1457,1)</f>
        <v/>
      </c>
      <c r="C1458" s="92">
        <f>EOMONTH($B1458,0)</f>
        <v/>
      </c>
      <c r="D1458" s="87">
        <f>$C1458-$B1458+1</f>
        <v/>
      </c>
      <c r="E1458" s="87">
        <f>MONTH($B1458)</f>
        <v/>
      </c>
      <c r="F1458" s="93">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$N1458*IF($O$1426=1,$O1458/$F$1426,1)</f>
        <v/>
      </c>
      <c r="T1458" s="95">
        <f>IF($G1458&lt;nr_MStartP,$S1458,$T1446*(1+IF($G1458&lt;nr_MStartP1,$M$1426,$N$1426)))</f>
        <v/>
      </c>
      <c r="U1458" s="95">
        <f>IF($L$1426,$T1458,$N1458)</f>
        <v/>
      </c>
    </row>
    <row r="1459">
      <c r="A1459" s="90" t="n">
        <v>31</v>
      </c>
      <c r="B1459" s="91">
        <f>EDATE($B1458,1)</f>
        <v/>
      </c>
      <c r="C1459" s="92">
        <f>EOMONTH($B1459,0)</f>
        <v/>
      </c>
      <c r="D1459" s="87">
        <f>$C1459-$B1459+1</f>
        <v/>
      </c>
      <c r="E1459" s="87">
        <f>MONTH($B1459)</f>
        <v/>
      </c>
      <c r="F1459" s="93">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$N1459*IF($O$1426=1,$O1459/$F$1426,1)</f>
        <v/>
      </c>
      <c r="T1459" s="95">
        <f>IF($G1459&lt;nr_MStartP,$S1459,$T1447*(1+IF($G1459&lt;nr_MStartP1,$M$1426,$N$1426)))</f>
        <v/>
      </c>
      <c r="U1459" s="95">
        <f>IF($L$1426,$T1459,$N1459)</f>
        <v/>
      </c>
    </row>
    <row r="1460">
      <c r="A1460" s="90" t="n">
        <v>32</v>
      </c>
      <c r="B1460" s="91">
        <f>EDATE($B1459,1)</f>
        <v/>
      </c>
      <c r="C1460" s="92">
        <f>EOMONTH($B1460,0)</f>
        <v/>
      </c>
      <c r="D1460" s="87">
        <f>$C1460-$B1460+1</f>
        <v/>
      </c>
      <c r="E1460" s="87">
        <f>MONTH($B1460)</f>
        <v/>
      </c>
      <c r="F1460" s="93">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$N1460*IF($O$1426=1,$O1460/$F$1426,1)</f>
        <v/>
      </c>
      <c r="T1460" s="95">
        <f>IF($G1460&lt;nr_MStartP,$S1460,$T1448*(1+IF($G1460&lt;nr_MStartP1,$M$1426,$N$1426)))</f>
        <v/>
      </c>
      <c r="U1460" s="95">
        <f>IF($L$1426,$T1460,$N1460)</f>
        <v/>
      </c>
    </row>
    <row r="1461">
      <c r="A1461" s="90" t="n">
        <v>33</v>
      </c>
      <c r="B1461" s="91">
        <f>EDATE($B1460,1)</f>
        <v/>
      </c>
      <c r="C1461" s="92">
        <f>EOMONTH($B1461,0)</f>
        <v/>
      </c>
      <c r="D1461" s="87">
        <f>$C1461-$B1461+1</f>
        <v/>
      </c>
      <c r="E1461" s="87">
        <f>MONTH($B1461)</f>
        <v/>
      </c>
      <c r="F1461" s="93">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$N1461*IF($O$1426=1,$O1461/$F$1426,1)</f>
        <v/>
      </c>
      <c r="T1461" s="95">
        <f>IF($G1461&lt;nr_MStartP,$S1461,$T1449*(1+IF($G1461&lt;nr_MStartP1,$M$1426,$N$1426)))</f>
        <v/>
      </c>
      <c r="U1461" s="95">
        <f>IF($L$1426,$T1461,$N1461)</f>
        <v/>
      </c>
    </row>
    <row r="1462">
      <c r="A1462" s="90" t="n">
        <v>34</v>
      </c>
      <c r="B1462" s="91">
        <f>EDATE($B1461,1)</f>
        <v/>
      </c>
      <c r="C1462" s="92">
        <f>EOMONTH($B1462,0)</f>
        <v/>
      </c>
      <c r="D1462" s="87">
        <f>$C1462-$B1462+1</f>
        <v/>
      </c>
      <c r="E1462" s="87">
        <f>MONTH($B1462)</f>
        <v/>
      </c>
      <c r="F1462" s="93">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$N1462*IF($O$1426=1,$O1462/$F$1426,1)</f>
        <v/>
      </c>
      <c r="T1462" s="95">
        <f>IF($G1462&lt;nr_MStartP,$S1462,$T1450*(1+IF($G1462&lt;nr_MStartP1,$M$1426,$N$1426)))</f>
        <v/>
      </c>
      <c r="U1462" s="95">
        <f>IF($L$1426,$T1462,$N1462)</f>
        <v/>
      </c>
    </row>
    <row r="1463">
      <c r="A1463" s="90" t="n">
        <v>35</v>
      </c>
      <c r="B1463" s="91">
        <f>EDATE($B1462,1)</f>
        <v/>
      </c>
      <c r="C1463" s="92">
        <f>EOMONTH($B1463,0)</f>
        <v/>
      </c>
      <c r="D1463" s="87">
        <f>$C1463-$B1463+1</f>
        <v/>
      </c>
      <c r="E1463" s="87">
        <f>MONTH($B1463)</f>
        <v/>
      </c>
      <c r="F1463" s="93">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$N1463*IF($O$1426=1,$O1463/$F$1426,1)</f>
        <v/>
      </c>
      <c r="T1463" s="95">
        <f>IF($G1463&lt;nr_MStartP,$S1463,$T1451*(1+IF($G1463&lt;nr_MStartP1,$M$1426,$N$1426)))</f>
        <v/>
      </c>
      <c r="U1463" s="95">
        <f>IF($L$1426,$T1463,$N1463)</f>
        <v/>
      </c>
    </row>
    <row r="1464">
      <c r="A1464" s="90" t="n">
        <v>36</v>
      </c>
      <c r="B1464" s="91">
        <f>EDATE($B1463,1)</f>
        <v/>
      </c>
      <c r="C1464" s="92">
        <f>EOMONTH($B1464,0)</f>
        <v/>
      </c>
      <c r="D1464" s="87">
        <f>$C1464-$B1464+1</f>
        <v/>
      </c>
      <c r="E1464" s="87">
        <f>MONTH($B1464)</f>
        <v/>
      </c>
      <c r="F1464" s="93">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$N1464*IF($O$1426=1,$O1464/$F$1426,1)</f>
        <v/>
      </c>
      <c r="T1464" s="95">
        <f>IF($G1464&lt;nr_MStartP,$S1464,$T1452*(1+IF($G1464&lt;nr_MStartP1,$M$1426,$N$1426)))</f>
        <v/>
      </c>
      <c r="U1464" s="95">
        <f>IF($L$1426,$T1464,$N1464)</f>
        <v/>
      </c>
    </row>
    <row r="1465">
      <c r="A1465" s="90" t="n">
        <v>37</v>
      </c>
      <c r="B1465" s="91">
        <f>EDATE($B1464,1)</f>
        <v/>
      </c>
      <c r="C1465" s="92">
        <f>EOMONTH($B1465,0)</f>
        <v/>
      </c>
      <c r="D1465" s="87">
        <f>$C1465-$B1465+1</f>
        <v/>
      </c>
      <c r="E1465" s="87">
        <f>MONTH($B1465)</f>
        <v/>
      </c>
      <c r="F1465" s="93">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$N1465*IF($O$1426=1,$O1465/$F$1426,1)</f>
        <v/>
      </c>
      <c r="T1465" s="95">
        <f>IF($G1465&lt;nr_MStartP,$S1465,$T1453*(1+IF($G1465&lt;nr_MStartP1,$M$1426,$N$1426)))</f>
        <v/>
      </c>
      <c r="U1465" s="95">
        <f>IF($L$1426,$T1465,$N1465)</f>
        <v/>
      </c>
    </row>
    <row r="1466">
      <c r="A1466" s="90" t="n">
        <v>38</v>
      </c>
      <c r="B1466" s="91">
        <f>EDATE($B1465,1)</f>
        <v/>
      </c>
      <c r="C1466" s="92">
        <f>EOMONTH($B1466,0)</f>
        <v/>
      </c>
      <c r="D1466" s="87">
        <f>$C1466-$B1466+1</f>
        <v/>
      </c>
      <c r="E1466" s="87">
        <f>MONTH($B1466)</f>
        <v/>
      </c>
      <c r="F1466" s="93">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$N1466*IF($O$1426=1,$O1466/$F$1426,1)</f>
        <v/>
      </c>
      <c r="T1466" s="95">
        <f>IF($G1466&lt;nr_MStartP,$S1466,$T1454*(1+IF($G1466&lt;nr_MStartP1,$M$1426,$N$1426)))</f>
        <v/>
      </c>
      <c r="U1466" s="95">
        <f>IF($L$1426,$T1466,$N1466)</f>
        <v/>
      </c>
    </row>
    <row r="1467">
      <c r="A1467" s="90" t="n">
        <v>39</v>
      </c>
      <c r="B1467" s="91">
        <f>EDATE($B1466,1)</f>
        <v/>
      </c>
      <c r="C1467" s="92">
        <f>EOMONTH($B1467,0)</f>
        <v/>
      </c>
      <c r="D1467" s="87">
        <f>$C1467-$B1467+1</f>
        <v/>
      </c>
      <c r="E1467" s="87">
        <f>MONTH($B1467)</f>
        <v/>
      </c>
      <c r="F1467" s="93">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$N1467*IF($O$1426=1,$O1467/$F$1426,1)</f>
        <v/>
      </c>
      <c r="T1467" s="95">
        <f>IF($G1467&lt;nr_MStartP,$S1467,$T1455*(1+IF($G1467&lt;nr_MStartP1,$M$1426,$N$1426)))</f>
        <v/>
      </c>
      <c r="U1467" s="95">
        <f>IF($L$1426,$T1467,$N1467)</f>
        <v/>
      </c>
    </row>
    <row r="1468">
      <c r="A1468" s="90" t="n">
        <v>40</v>
      </c>
      <c r="B1468" s="91">
        <f>EDATE($B1467,1)</f>
        <v/>
      </c>
      <c r="C1468" s="92">
        <f>EOMONTH($B1468,0)</f>
        <v/>
      </c>
      <c r="D1468" s="87">
        <f>$C1468-$B1468+1</f>
        <v/>
      </c>
      <c r="E1468" s="87">
        <f>MONTH($B1468)</f>
        <v/>
      </c>
      <c r="F1468" s="93">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$N1468*IF($O$1426=1,$O1468/$F$1426,1)</f>
        <v/>
      </c>
      <c r="T1468" s="95">
        <f>IF($G1468&lt;nr_MStartP,$S1468,$T1456*(1+IF($G1468&lt;nr_MStartP1,$M$1426,$N$1426)))</f>
        <v/>
      </c>
      <c r="U1468" s="95">
        <f>IF($L$1426,$T1468,$N1468)</f>
        <v/>
      </c>
    </row>
    <row r="1469">
      <c r="A1469" s="90" t="n">
        <v>41</v>
      </c>
      <c r="B1469" s="91">
        <f>EDATE($B1468,1)</f>
        <v/>
      </c>
      <c r="C1469" s="92">
        <f>EOMONTH($B1469,0)</f>
        <v/>
      </c>
      <c r="D1469" s="87">
        <f>$C1469-$B1469+1</f>
        <v/>
      </c>
      <c r="E1469" s="87">
        <f>MONTH($B1469)</f>
        <v/>
      </c>
      <c r="F1469" s="93">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$N1469*IF($O$1426=1,$O1469/$F$1426,1)</f>
        <v/>
      </c>
      <c r="T1469" s="95">
        <f>IF($G1469&lt;nr_MStartP,$S1469,$T1457*(1+IF($G1469&lt;nr_MStartP1,$M$1426,$N$1426)))</f>
        <v/>
      </c>
      <c r="U1469" s="95">
        <f>IF($L$1426,$T1469,$N1469)</f>
        <v/>
      </c>
    </row>
    <row r="1470">
      <c r="A1470" s="90" t="n">
        <v>42</v>
      </c>
      <c r="B1470" s="91">
        <f>EDATE($B1469,1)</f>
        <v/>
      </c>
      <c r="C1470" s="92">
        <f>EOMONTH($B1470,0)</f>
        <v/>
      </c>
      <c r="D1470" s="87">
        <f>$C1470-$B1470+1</f>
        <v/>
      </c>
      <c r="E1470" s="87">
        <f>MONTH($B1470)</f>
        <v/>
      </c>
      <c r="F1470" s="93">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$N1470*IF($O$1426=1,$O1470/$F$1426,1)</f>
        <v/>
      </c>
      <c r="T1470" s="95">
        <f>IF($G1470&lt;nr_MStartP,$S1470,$T1458*(1+IF($G1470&lt;nr_MStartP1,$M$1426,$N$1426)))</f>
        <v/>
      </c>
      <c r="U1470" s="95">
        <f>IF($L$1426,$T1470,$N1470)</f>
        <v/>
      </c>
    </row>
    <row r="1471">
      <c r="A1471" s="90" t="n">
        <v>43</v>
      </c>
      <c r="B1471" s="91">
        <f>EDATE($B1470,1)</f>
        <v/>
      </c>
      <c r="C1471" s="92">
        <f>EOMONTH($B1471,0)</f>
        <v/>
      </c>
      <c r="D1471" s="87">
        <f>$C1471-$B1471+1</f>
        <v/>
      </c>
      <c r="E1471" s="87">
        <f>MONTH($B1471)</f>
        <v/>
      </c>
      <c r="F1471" s="93">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$N1471*IF($O$1426=1,$O1471/$F$1426,1)</f>
        <v/>
      </c>
      <c r="T1471" s="95">
        <f>IF($G1471&lt;nr_MStartP,$S1471,$T1459*(1+IF($G1471&lt;nr_MStartP1,$M$1426,$N$1426)))</f>
        <v/>
      </c>
      <c r="U1471" s="95">
        <f>IF($L$1426,$T1471,$N1471)</f>
        <v/>
      </c>
    </row>
    <row r="1472">
      <c r="A1472" s="90" t="n">
        <v>44</v>
      </c>
      <c r="B1472" s="91">
        <f>EDATE($B1471,1)</f>
        <v/>
      </c>
      <c r="C1472" s="92">
        <f>EOMONTH($B1472,0)</f>
        <v/>
      </c>
      <c r="D1472" s="87">
        <f>$C1472-$B1472+1</f>
        <v/>
      </c>
      <c r="E1472" s="87">
        <f>MONTH($B1472)</f>
        <v/>
      </c>
      <c r="F1472" s="93">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$N1472*IF($O$1426=1,$O1472/$F$1426,1)</f>
        <v/>
      </c>
      <c r="T1472" s="95">
        <f>IF($G1472&lt;nr_MStartP,$S1472,$T1460*(1+IF($G1472&lt;nr_MStartP1,$M$1426,$N$1426)))</f>
        <v/>
      </c>
      <c r="U1472" s="95">
        <f>IF($L$1426,$T1472,$N1472)</f>
        <v/>
      </c>
    </row>
    <row r="1473">
      <c r="A1473" s="90" t="n">
        <v>45</v>
      </c>
      <c r="B1473" s="91">
        <f>EDATE($B1472,1)</f>
        <v/>
      </c>
      <c r="C1473" s="92">
        <f>EOMONTH($B1473,0)</f>
        <v/>
      </c>
      <c r="D1473" s="87">
        <f>$C1473-$B1473+1</f>
        <v/>
      </c>
      <c r="E1473" s="87">
        <f>MONTH($B1473)</f>
        <v/>
      </c>
      <c r="F1473" s="93">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$N1473*IF($O$1426=1,$O1473/$F$1426,1)</f>
        <v/>
      </c>
      <c r="T1473" s="95">
        <f>IF($G1473&lt;nr_MStartP,$S1473,$T1461*(1+IF($G1473&lt;nr_MStartP1,$M$1426,$N$1426)))</f>
        <v/>
      </c>
      <c r="U1473" s="95">
        <f>IF($L$1426,$T1473,$N1473)</f>
        <v/>
      </c>
    </row>
    <row r="1474">
      <c r="A1474" s="90" t="n">
        <v>46</v>
      </c>
      <c r="B1474" s="91">
        <f>EDATE($B1473,1)</f>
        <v/>
      </c>
      <c r="C1474" s="92">
        <f>EOMONTH($B1474,0)</f>
        <v/>
      </c>
      <c r="D1474" s="87">
        <f>$C1474-$B1474+1</f>
        <v/>
      </c>
      <c r="E1474" s="87">
        <f>MONTH($B1474)</f>
        <v/>
      </c>
      <c r="F1474" s="93">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$N1474*IF($O$1426=1,$O1474/$F$1426,1)</f>
        <v/>
      </c>
      <c r="T1474" s="95">
        <f>IF($G1474&lt;nr_MStartP,$S1474,$T1462*(1+IF($G1474&lt;nr_MStartP1,$M$1426,$N$1426)))</f>
        <v/>
      </c>
      <c r="U1474" s="95">
        <f>IF($L$1426,$T1474,$N1474)</f>
        <v/>
      </c>
    </row>
    <row r="1475">
      <c r="A1475" s="90" t="n">
        <v>47</v>
      </c>
      <c r="B1475" s="91">
        <f>EDATE($B1474,1)</f>
        <v/>
      </c>
      <c r="C1475" s="92">
        <f>EOMONTH($B1475,0)</f>
        <v/>
      </c>
      <c r="D1475" s="87">
        <f>$C1475-$B1475+1</f>
        <v/>
      </c>
      <c r="E1475" s="87">
        <f>MONTH($B1475)</f>
        <v/>
      </c>
      <c r="F1475" s="93">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$N1475*IF($O$1426=1,$O1475/$F$1426,1)</f>
        <v/>
      </c>
      <c r="T1475" s="95">
        <f>IF($G1475&lt;nr_MStartP,$S1475,$T1463*(1+IF($G1475&lt;nr_MStartP1,$M$1426,$N$1426)))</f>
        <v/>
      </c>
      <c r="U1475" s="95">
        <f>IF($L$1426,$T1475,$N1475)</f>
        <v/>
      </c>
    </row>
    <row r="1476">
      <c r="A1476" s="90" t="n">
        <v>48</v>
      </c>
      <c r="B1476" s="91">
        <f>EDATE($B1475,1)</f>
        <v/>
      </c>
      <c r="C1476" s="92">
        <f>EOMONTH($B1476,0)</f>
        <v/>
      </c>
      <c r="D1476" s="87">
        <f>$C1476-$B1476+1</f>
        <v/>
      </c>
      <c r="E1476" s="87">
        <f>MONTH($B1476)</f>
        <v/>
      </c>
      <c r="F1476" s="93">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$N1476*IF($O$1426=1,$O1476/$F$1426,1)</f>
        <v/>
      </c>
      <c r="T1476" s="95">
        <f>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04">
        <f>SUMPRODUCT($H$1429:$H$1476,$Q$1429:$Q$1476,$O$1429:$O$1476)/SUMPRODUCT($H$1429:$H$1476,$Q$1429:$Q$1476)</f>
        <v/>
      </c>
      <c r="G1477" s="20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04">
        <f>IF(N(INDEX(lr_mind,27))=0,1,INDEX(lr_mind,27))</f>
        <v/>
      </c>
      <c r="G1480" s="204">
        <f>IF(N(INDEX(lr_m0,27))=0,1,INDEX(lr_m0,27))</f>
        <v/>
      </c>
      <c r="H1480" s="73">
        <f>IF(N(INDEX(lr_m0asof,27))=0,DATE(nr_PlanYear-1,10,1),INDEX(lr_m0asof,27))</f>
        <v/>
      </c>
      <c r="I1480" s="204">
        <f>IF(N(INDEX(lr_m1,27))=0,1,INDEX(lr_m1,27))</f>
        <v/>
      </c>
      <c r="J1480" s="204">
        <f>INDEX(lr_mprior,27)</f>
        <v/>
      </c>
      <c r="K1480" s="20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93">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$N1483*IF($O$1480=1,$O1483/$F$1480,1)</f>
        <v/>
      </c>
      <c r="T1483" s="95">
        <f>IF($G1483&lt;nr_MStartP,$S1483,$T1471*(1+IF($G1483&lt;nr_MStartP1,$M$1480,$N$1480)))</f>
        <v/>
      </c>
      <c r="U1483" s="95">
        <f>IF($L$1480,$T1483,$N1483)</f>
        <v/>
      </c>
    </row>
    <row r="1484">
      <c r="A1484" s="90" t="n">
        <v>2</v>
      </c>
      <c r="B1484" s="91">
        <f>EDATE($B1483,1)</f>
        <v/>
      </c>
      <c r="C1484" s="92">
        <f>EOMONTH($B1484,0)</f>
        <v/>
      </c>
      <c r="D1484" s="87">
        <f>$C1484-$B1484+1</f>
        <v/>
      </c>
      <c r="E1484" s="87">
        <f>MONTH($B1484)</f>
        <v/>
      </c>
      <c r="F1484" s="93">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$N1484*IF($O$1480=1,$O1484/$F$1480,1)</f>
        <v/>
      </c>
      <c r="T1484" s="95">
        <f>IF($G1484&lt;nr_MStartP,$S1484,$T1472*(1+IF($G1484&lt;nr_MStartP1,$M$1480,$N$1480)))</f>
        <v/>
      </c>
      <c r="U1484" s="95">
        <f>IF($L$1480,$T1484,$N1484)</f>
        <v/>
      </c>
    </row>
    <row r="1485">
      <c r="A1485" s="90" t="n">
        <v>3</v>
      </c>
      <c r="B1485" s="91">
        <f>EDATE($B1484,1)</f>
        <v/>
      </c>
      <c r="C1485" s="92">
        <f>EOMONTH($B1485,0)</f>
        <v/>
      </c>
      <c r="D1485" s="87">
        <f>$C1485-$B1485+1</f>
        <v/>
      </c>
      <c r="E1485" s="87">
        <f>MONTH($B1485)</f>
        <v/>
      </c>
      <c r="F1485" s="93">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$N1485*IF($O$1480=1,$O1485/$F$1480,1)</f>
        <v/>
      </c>
      <c r="T1485" s="95">
        <f>IF($G1485&lt;nr_MStartP,$S1485,$T1473*(1+IF($G1485&lt;nr_MStartP1,$M$1480,$N$1480)))</f>
        <v/>
      </c>
      <c r="U1485" s="95">
        <f>IF($L$1480,$T1485,$N1485)</f>
        <v/>
      </c>
    </row>
    <row r="1486">
      <c r="A1486" s="90" t="n">
        <v>4</v>
      </c>
      <c r="B1486" s="91">
        <f>EDATE($B1485,1)</f>
        <v/>
      </c>
      <c r="C1486" s="92">
        <f>EOMONTH($B1486,0)</f>
        <v/>
      </c>
      <c r="D1486" s="87">
        <f>$C1486-$B1486+1</f>
        <v/>
      </c>
      <c r="E1486" s="87">
        <f>MONTH($B1486)</f>
        <v/>
      </c>
      <c r="F1486" s="93">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$N1486*IF($O$1480=1,$O1486/$F$1480,1)</f>
        <v/>
      </c>
      <c r="T1486" s="95">
        <f>IF($G1486&lt;nr_MStartP,$S1486,$T1474*(1+IF($G1486&lt;nr_MStartP1,$M$1480,$N$1480)))</f>
        <v/>
      </c>
      <c r="U1486" s="95">
        <f>IF($L$1480,$T1486,$N1486)</f>
        <v/>
      </c>
    </row>
    <row r="1487">
      <c r="A1487" s="90" t="n">
        <v>5</v>
      </c>
      <c r="B1487" s="91">
        <f>EDATE($B1486,1)</f>
        <v/>
      </c>
      <c r="C1487" s="92">
        <f>EOMONTH($B1487,0)</f>
        <v/>
      </c>
      <c r="D1487" s="87">
        <f>$C1487-$B1487+1</f>
        <v/>
      </c>
      <c r="E1487" s="87">
        <f>MONTH($B1487)</f>
        <v/>
      </c>
      <c r="F1487" s="93">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$N1487*IF($O$1480=1,$O1487/$F$1480,1)</f>
        <v/>
      </c>
      <c r="T1487" s="95">
        <f>IF($G1487&lt;nr_MStartP,$S1487,$T1475*(1+IF($G1487&lt;nr_MStartP1,$M$1480,$N$1480)))</f>
        <v/>
      </c>
      <c r="U1487" s="95">
        <f>IF($L$1480,$T1487,$N1487)</f>
        <v/>
      </c>
    </row>
    <row r="1488">
      <c r="A1488" s="90" t="n">
        <v>6</v>
      </c>
      <c r="B1488" s="91">
        <f>EDATE($B1487,1)</f>
        <v/>
      </c>
      <c r="C1488" s="92">
        <f>EOMONTH($B1488,0)</f>
        <v/>
      </c>
      <c r="D1488" s="87">
        <f>$C1488-$B1488+1</f>
        <v/>
      </c>
      <c r="E1488" s="87">
        <f>MONTH($B1488)</f>
        <v/>
      </c>
      <c r="F1488" s="93">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$N1488*IF($O$1480=1,$O1488/$F$1480,1)</f>
        <v/>
      </c>
      <c r="T1488" s="95">
        <f>IF($G1488&lt;nr_MStartP,$S1488,$T1476*(1+IF($G1488&lt;nr_MStartP1,$M$1480,$N$1480)))</f>
        <v/>
      </c>
      <c r="U1488" s="95">
        <f>IF($L$1480,$T1488,$N1488)</f>
        <v/>
      </c>
    </row>
    <row r="1489">
      <c r="A1489" s="90" t="n">
        <v>7</v>
      </c>
      <c r="B1489" s="91">
        <f>EDATE($B1488,1)</f>
        <v/>
      </c>
      <c r="C1489" s="92">
        <f>EOMONTH($B1489,0)</f>
        <v/>
      </c>
      <c r="D1489" s="87">
        <f>$C1489-$B1489+1</f>
        <v/>
      </c>
      <c r="E1489" s="87">
        <f>MONTH($B1489)</f>
        <v/>
      </c>
      <c r="F1489" s="93">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$N1489*IF($O$1480=1,$O1489/$F$1480,1)</f>
        <v/>
      </c>
      <c r="T1489" s="95">
        <f>IF($G1489&lt;nr_MStartP,$S1489,$T1477*(1+IF($G1489&lt;nr_MStartP1,$M$1480,$N$1480)))</f>
        <v/>
      </c>
      <c r="U1489" s="95">
        <f>IF($L$1480,$T1489,$N1489)</f>
        <v/>
      </c>
    </row>
    <row r="1490">
      <c r="A1490" s="90" t="n">
        <v>8</v>
      </c>
      <c r="B1490" s="91">
        <f>EDATE($B1489,1)</f>
        <v/>
      </c>
      <c r="C1490" s="92">
        <f>EOMONTH($B1490,0)</f>
        <v/>
      </c>
      <c r="D1490" s="87">
        <f>$C1490-$B1490+1</f>
        <v/>
      </c>
      <c r="E1490" s="87">
        <f>MONTH($B1490)</f>
        <v/>
      </c>
      <c r="F1490" s="93">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$N1490*IF($O$1480=1,$O1490/$F$1480,1)</f>
        <v/>
      </c>
      <c r="T1490" s="95">
        <f>IF($G1490&lt;nr_MStartP,$S1490,$T1478*(1+IF($G1490&lt;nr_MStartP1,$M$1480,$N$1480)))</f>
        <v/>
      </c>
      <c r="U1490" s="95">
        <f>IF($L$1480,$T1490,$N1490)</f>
        <v/>
      </c>
    </row>
    <row r="1491">
      <c r="A1491" s="90" t="n">
        <v>9</v>
      </c>
      <c r="B1491" s="91">
        <f>EDATE($B1490,1)</f>
        <v/>
      </c>
      <c r="C1491" s="92">
        <f>EOMONTH($B1491,0)</f>
        <v/>
      </c>
      <c r="D1491" s="87">
        <f>$C1491-$B1491+1</f>
        <v/>
      </c>
      <c r="E1491" s="87">
        <f>MONTH($B1491)</f>
        <v/>
      </c>
      <c r="F1491" s="93">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$N1491*IF($O$1480=1,$O1491/$F$1480,1)</f>
        <v/>
      </c>
      <c r="T1491" s="95">
        <f>IF($G1491&lt;nr_MStartP,$S1491,$T1479*(1+IF($G1491&lt;nr_MStartP1,$M$1480,$N$1480)))</f>
        <v/>
      </c>
      <c r="U1491" s="95">
        <f>IF($L$1480,$T1491,$N1491)</f>
        <v/>
      </c>
    </row>
    <row r="1492">
      <c r="A1492" s="90" t="n">
        <v>10</v>
      </c>
      <c r="B1492" s="91">
        <f>EDATE($B1491,1)</f>
        <v/>
      </c>
      <c r="C1492" s="92">
        <f>EOMONTH($B1492,0)</f>
        <v/>
      </c>
      <c r="D1492" s="87">
        <f>$C1492-$B1492+1</f>
        <v/>
      </c>
      <c r="E1492" s="87">
        <f>MONTH($B1492)</f>
        <v/>
      </c>
      <c r="F1492" s="93">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$N1492*IF($O$1480=1,$O1492/$F$1480,1)</f>
        <v/>
      </c>
      <c r="T1492" s="95">
        <f>IF($G1492&lt;nr_MStartP,$S1492,$T1480*(1+IF($G1492&lt;nr_MStartP1,$M$1480,$N$1480)))</f>
        <v/>
      </c>
      <c r="U1492" s="95">
        <f>IF($L$1480,$T1492,$N1492)</f>
        <v/>
      </c>
    </row>
    <row r="1493">
      <c r="A1493" s="90" t="n">
        <v>11</v>
      </c>
      <c r="B1493" s="91">
        <f>EDATE($B1492,1)</f>
        <v/>
      </c>
      <c r="C1493" s="92">
        <f>EOMONTH($B1493,0)</f>
        <v/>
      </c>
      <c r="D1493" s="87">
        <f>$C1493-$B1493+1</f>
        <v/>
      </c>
      <c r="E1493" s="87">
        <f>MONTH($B1493)</f>
        <v/>
      </c>
      <c r="F1493" s="93">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$N1493*IF($O$1480=1,$O1493/$F$1480,1)</f>
        <v/>
      </c>
      <c r="T1493" s="95">
        <f>IF($G1493&lt;nr_MStartP,$S1493,$T1481*(1+IF($G1493&lt;nr_MStartP1,$M$1480,$N$1480)))</f>
        <v/>
      </c>
      <c r="U1493" s="95">
        <f>IF($L$1480,$T1493,$N1493)</f>
        <v/>
      </c>
    </row>
    <row r="1494">
      <c r="A1494" s="90" t="n">
        <v>12</v>
      </c>
      <c r="B1494" s="91">
        <f>EDATE($B1493,1)</f>
        <v/>
      </c>
      <c r="C1494" s="92">
        <f>EOMONTH($B1494,0)</f>
        <v/>
      </c>
      <c r="D1494" s="87">
        <f>$C1494-$B1494+1</f>
        <v/>
      </c>
      <c r="E1494" s="87">
        <f>MONTH($B1494)</f>
        <v/>
      </c>
      <c r="F1494" s="93">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$N1494*IF($O$1480=1,$O1494/$F$1480,1)</f>
        <v/>
      </c>
      <c r="T1494" s="95">
        <f>IF($G1494&lt;nr_MStartP,$S1494,$T1482*(1+IF($G1494&lt;nr_MStartP1,$M$1480,$N$1480)))</f>
        <v/>
      </c>
      <c r="U1494" s="95">
        <f>IF($L$1480,$T1494,$N1494)</f>
        <v/>
      </c>
    </row>
    <row r="1495">
      <c r="A1495" s="90" t="n">
        <v>13</v>
      </c>
      <c r="B1495" s="91">
        <f>EDATE($B1494,1)</f>
        <v/>
      </c>
      <c r="C1495" s="92">
        <f>EOMONTH($B1495,0)</f>
        <v/>
      </c>
      <c r="D1495" s="87">
        <f>$C1495-$B1495+1</f>
        <v/>
      </c>
      <c r="E1495" s="87">
        <f>MONTH($B1495)</f>
        <v/>
      </c>
      <c r="F1495" s="93">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$N1495*IF($O$1480=1,$O1495/$F$1480,1)</f>
        <v/>
      </c>
      <c r="T1495" s="95">
        <f>IF($G1495&lt;nr_MStartP,$S1495,$T1483*(1+IF($G1495&lt;nr_MStartP1,$M$1480,$N$1480)))</f>
        <v/>
      </c>
      <c r="U1495" s="95">
        <f>IF($L$1480,$T1495,$N1495)</f>
        <v/>
      </c>
    </row>
    <row r="1496">
      <c r="A1496" s="90" t="n">
        <v>14</v>
      </c>
      <c r="B1496" s="91">
        <f>EDATE($B1495,1)</f>
        <v/>
      </c>
      <c r="C1496" s="92">
        <f>EOMONTH($B1496,0)</f>
        <v/>
      </c>
      <c r="D1496" s="87">
        <f>$C1496-$B1496+1</f>
        <v/>
      </c>
      <c r="E1496" s="87">
        <f>MONTH($B1496)</f>
        <v/>
      </c>
      <c r="F1496" s="93">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$N1496*IF($O$1480=1,$O1496/$F$1480,1)</f>
        <v/>
      </c>
      <c r="T1496" s="95">
        <f>IF($G1496&lt;nr_MStartP,$S1496,$T1484*(1+IF($G1496&lt;nr_MStartP1,$M$1480,$N$1480)))</f>
        <v/>
      </c>
      <c r="U1496" s="95">
        <f>IF($L$1480,$T1496,$N1496)</f>
        <v/>
      </c>
    </row>
    <row r="1497">
      <c r="A1497" s="90" t="n">
        <v>15</v>
      </c>
      <c r="B1497" s="91">
        <f>EDATE($B1496,1)</f>
        <v/>
      </c>
      <c r="C1497" s="92">
        <f>EOMONTH($B1497,0)</f>
        <v/>
      </c>
      <c r="D1497" s="87">
        <f>$C1497-$B1497+1</f>
        <v/>
      </c>
      <c r="E1497" s="87">
        <f>MONTH($B1497)</f>
        <v/>
      </c>
      <c r="F1497" s="93">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$N1497*IF($O$1480=1,$O1497/$F$1480,1)</f>
        <v/>
      </c>
      <c r="T1497" s="95">
        <f>IF($G1497&lt;nr_MStartP,$S1497,$T1485*(1+IF($G1497&lt;nr_MStartP1,$M$1480,$N$1480)))</f>
        <v/>
      </c>
      <c r="U1497" s="95">
        <f>IF($L$1480,$T1497,$N1497)</f>
        <v/>
      </c>
    </row>
    <row r="1498">
      <c r="A1498" s="90" t="n">
        <v>16</v>
      </c>
      <c r="B1498" s="91">
        <f>EDATE($B1497,1)</f>
        <v/>
      </c>
      <c r="C1498" s="92">
        <f>EOMONTH($B1498,0)</f>
        <v/>
      </c>
      <c r="D1498" s="87">
        <f>$C1498-$B1498+1</f>
        <v/>
      </c>
      <c r="E1498" s="87">
        <f>MONTH($B1498)</f>
        <v/>
      </c>
      <c r="F1498" s="93">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$N1498*IF($O$1480=1,$O1498/$F$1480,1)</f>
        <v/>
      </c>
      <c r="T1498" s="95">
        <f>IF($G1498&lt;nr_MStartP,$S1498,$T1486*(1+IF($G1498&lt;nr_MStartP1,$M$1480,$N$1480)))</f>
        <v/>
      </c>
      <c r="U1498" s="95">
        <f>IF($L$1480,$T1498,$N1498)</f>
        <v/>
      </c>
    </row>
    <row r="1499">
      <c r="A1499" s="90" t="n">
        <v>17</v>
      </c>
      <c r="B1499" s="91">
        <f>EDATE($B1498,1)</f>
        <v/>
      </c>
      <c r="C1499" s="92">
        <f>EOMONTH($B1499,0)</f>
        <v/>
      </c>
      <c r="D1499" s="87">
        <f>$C1499-$B1499+1</f>
        <v/>
      </c>
      <c r="E1499" s="87">
        <f>MONTH($B1499)</f>
        <v/>
      </c>
      <c r="F1499" s="93">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$N1499*IF($O$1480=1,$O1499/$F$1480,1)</f>
        <v/>
      </c>
      <c r="T1499" s="95">
        <f>IF($G1499&lt;nr_MStartP,$S1499,$T1487*(1+IF($G1499&lt;nr_MStartP1,$M$1480,$N$1480)))</f>
        <v/>
      </c>
      <c r="U1499" s="95">
        <f>IF($L$1480,$T1499,$N1499)</f>
        <v/>
      </c>
    </row>
    <row r="1500">
      <c r="A1500" s="90" t="n">
        <v>18</v>
      </c>
      <c r="B1500" s="91">
        <f>EDATE($B1499,1)</f>
        <v/>
      </c>
      <c r="C1500" s="92">
        <f>EOMONTH($B1500,0)</f>
        <v/>
      </c>
      <c r="D1500" s="87">
        <f>$C1500-$B1500+1</f>
        <v/>
      </c>
      <c r="E1500" s="87">
        <f>MONTH($B1500)</f>
        <v/>
      </c>
      <c r="F1500" s="93">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$N1500*IF($O$1480=1,$O1500/$F$1480,1)</f>
        <v/>
      </c>
      <c r="T1500" s="95">
        <f>IF($G1500&lt;nr_MStartP,$S1500,$T1488*(1+IF($G1500&lt;nr_MStartP1,$M$1480,$N$1480)))</f>
        <v/>
      </c>
      <c r="U1500" s="95">
        <f>IF($L$1480,$T1500,$N1500)</f>
        <v/>
      </c>
    </row>
    <row r="1501">
      <c r="A1501" s="90" t="n">
        <v>19</v>
      </c>
      <c r="B1501" s="91">
        <f>EDATE($B1500,1)</f>
        <v/>
      </c>
      <c r="C1501" s="92">
        <f>EOMONTH($B1501,0)</f>
        <v/>
      </c>
      <c r="D1501" s="87">
        <f>$C1501-$B1501+1</f>
        <v/>
      </c>
      <c r="E1501" s="87">
        <f>MONTH($B1501)</f>
        <v/>
      </c>
      <c r="F1501" s="93">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$N1501*IF($O$1480=1,$O1501/$F$1480,1)</f>
        <v/>
      </c>
      <c r="T1501" s="95">
        <f>IF($G1501&lt;nr_MStartP,$S1501,$T1489*(1+IF($G1501&lt;nr_MStartP1,$M$1480,$N$1480)))</f>
        <v/>
      </c>
      <c r="U1501" s="95">
        <f>IF($L$1480,$T1501,$N1501)</f>
        <v/>
      </c>
    </row>
    <row r="1502">
      <c r="A1502" s="90" t="n">
        <v>20</v>
      </c>
      <c r="B1502" s="91">
        <f>EDATE($B1501,1)</f>
        <v/>
      </c>
      <c r="C1502" s="92">
        <f>EOMONTH($B1502,0)</f>
        <v/>
      </c>
      <c r="D1502" s="87">
        <f>$C1502-$B1502+1</f>
        <v/>
      </c>
      <c r="E1502" s="87">
        <f>MONTH($B1502)</f>
        <v/>
      </c>
      <c r="F1502" s="93">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$N1502*IF($O$1480=1,$O1502/$F$1480,1)</f>
        <v/>
      </c>
      <c r="T1502" s="95">
        <f>IF($G1502&lt;nr_MStartP,$S1502,$T1490*(1+IF($G1502&lt;nr_MStartP1,$M$1480,$N$1480)))</f>
        <v/>
      </c>
      <c r="U1502" s="95">
        <f>IF($L$1480,$T1502,$N1502)</f>
        <v/>
      </c>
    </row>
    <row r="1503">
      <c r="A1503" s="90" t="n">
        <v>21</v>
      </c>
      <c r="B1503" s="91">
        <f>EDATE($B1502,1)</f>
        <v/>
      </c>
      <c r="C1503" s="92">
        <f>EOMONTH($B1503,0)</f>
        <v/>
      </c>
      <c r="D1503" s="87">
        <f>$C1503-$B1503+1</f>
        <v/>
      </c>
      <c r="E1503" s="87">
        <f>MONTH($B1503)</f>
        <v/>
      </c>
      <c r="F1503" s="93">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$N1503*IF($O$1480=1,$O1503/$F$1480,1)</f>
        <v/>
      </c>
      <c r="T1503" s="95">
        <f>IF($G1503&lt;nr_MStartP,$S1503,$T1491*(1+IF($G1503&lt;nr_MStartP1,$M$1480,$N$1480)))</f>
        <v/>
      </c>
      <c r="U1503" s="95">
        <f>IF($L$1480,$T1503,$N1503)</f>
        <v/>
      </c>
    </row>
    <row r="1504">
      <c r="A1504" s="90" t="n">
        <v>22</v>
      </c>
      <c r="B1504" s="91">
        <f>EDATE($B1503,1)</f>
        <v/>
      </c>
      <c r="C1504" s="92">
        <f>EOMONTH($B1504,0)</f>
        <v/>
      </c>
      <c r="D1504" s="87">
        <f>$C1504-$B1504+1</f>
        <v/>
      </c>
      <c r="E1504" s="87">
        <f>MONTH($B1504)</f>
        <v/>
      </c>
      <c r="F1504" s="93">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$N1504*IF($O$1480=1,$O1504/$F$1480,1)</f>
        <v/>
      </c>
      <c r="T1504" s="95">
        <f>IF($G1504&lt;nr_MStartP,$S1504,$T1492*(1+IF($G1504&lt;nr_MStartP1,$M$1480,$N$1480)))</f>
        <v/>
      </c>
      <c r="U1504" s="95">
        <f>IF($L$1480,$T1504,$N1504)</f>
        <v/>
      </c>
    </row>
    <row r="1505">
      <c r="A1505" s="90" t="n">
        <v>23</v>
      </c>
      <c r="B1505" s="91">
        <f>EDATE($B1504,1)</f>
        <v/>
      </c>
      <c r="C1505" s="92">
        <f>EOMONTH($B1505,0)</f>
        <v/>
      </c>
      <c r="D1505" s="87">
        <f>$C1505-$B1505+1</f>
        <v/>
      </c>
      <c r="E1505" s="87">
        <f>MONTH($B1505)</f>
        <v/>
      </c>
      <c r="F1505" s="93">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$N1505*IF($O$1480=1,$O1505/$F$1480,1)</f>
        <v/>
      </c>
      <c r="T1505" s="95">
        <f>IF($G1505&lt;nr_MStartP,$S1505,$T1493*(1+IF($G1505&lt;nr_MStartP1,$M$1480,$N$1480)))</f>
        <v/>
      </c>
      <c r="U1505" s="95">
        <f>IF($L$1480,$T1505,$N1505)</f>
        <v/>
      </c>
    </row>
    <row r="1506">
      <c r="A1506" s="90" t="n">
        <v>24</v>
      </c>
      <c r="B1506" s="91">
        <f>EDATE($B1505,1)</f>
        <v/>
      </c>
      <c r="C1506" s="92">
        <f>EOMONTH($B1506,0)</f>
        <v/>
      </c>
      <c r="D1506" s="87">
        <f>$C1506-$B1506+1</f>
        <v/>
      </c>
      <c r="E1506" s="87">
        <f>MONTH($B1506)</f>
        <v/>
      </c>
      <c r="F1506" s="93">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$N1506*IF($O$1480=1,$O1506/$F$1480,1)</f>
        <v/>
      </c>
      <c r="T1506" s="95">
        <f>IF($G1506&lt;nr_MStartP,$S1506,$T1494*(1+IF($G1506&lt;nr_MStartP1,$M$1480,$N$1480)))</f>
        <v/>
      </c>
      <c r="U1506" s="95">
        <f>IF($L$1480,$T1506,$N1506)</f>
        <v/>
      </c>
    </row>
    <row r="1507">
      <c r="A1507" s="90" t="n">
        <v>25</v>
      </c>
      <c r="B1507" s="91">
        <f>EDATE($B1506,1)</f>
        <v/>
      </c>
      <c r="C1507" s="92">
        <f>EOMONTH($B1507,0)</f>
        <v/>
      </c>
      <c r="D1507" s="87">
        <f>$C1507-$B1507+1</f>
        <v/>
      </c>
      <c r="E1507" s="87">
        <f>MONTH($B1507)</f>
        <v/>
      </c>
      <c r="F1507" s="93">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$N1507*IF($O$1480=1,$O1507/$F$1480,1)</f>
        <v/>
      </c>
      <c r="T1507" s="95">
        <f>IF($G1507&lt;nr_MStartP,$S1507,$T1495*(1+IF($G1507&lt;nr_MStartP1,$M$1480,$N$1480)))</f>
        <v/>
      </c>
      <c r="U1507" s="95">
        <f>IF($L$1480,$T1507,$N1507)</f>
        <v/>
      </c>
    </row>
    <row r="1508">
      <c r="A1508" s="90" t="n">
        <v>26</v>
      </c>
      <c r="B1508" s="91">
        <f>EDATE($B1507,1)</f>
        <v/>
      </c>
      <c r="C1508" s="92">
        <f>EOMONTH($B1508,0)</f>
        <v/>
      </c>
      <c r="D1508" s="87">
        <f>$C1508-$B1508+1</f>
        <v/>
      </c>
      <c r="E1508" s="87">
        <f>MONTH($B1508)</f>
        <v/>
      </c>
      <c r="F1508" s="93">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$N1508*IF($O$1480=1,$O1508/$F$1480,1)</f>
        <v/>
      </c>
      <c r="T1508" s="95">
        <f>IF($G1508&lt;nr_MStartP,$S1508,$T1496*(1+IF($G1508&lt;nr_MStartP1,$M$1480,$N$1480)))</f>
        <v/>
      </c>
      <c r="U1508" s="95">
        <f>IF($L$1480,$T1508,$N1508)</f>
        <v/>
      </c>
    </row>
    <row r="1509">
      <c r="A1509" s="90" t="n">
        <v>27</v>
      </c>
      <c r="B1509" s="91">
        <f>EDATE($B1508,1)</f>
        <v/>
      </c>
      <c r="C1509" s="92">
        <f>EOMONTH($B1509,0)</f>
        <v/>
      </c>
      <c r="D1509" s="87">
        <f>$C1509-$B1509+1</f>
        <v/>
      </c>
      <c r="E1509" s="87">
        <f>MONTH($B1509)</f>
        <v/>
      </c>
      <c r="F1509" s="93">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$N1509*IF($O$1480=1,$O1509/$F$1480,1)</f>
        <v/>
      </c>
      <c r="T1509" s="95">
        <f>IF($G1509&lt;nr_MStartP,$S1509,$T1497*(1+IF($G1509&lt;nr_MStartP1,$M$1480,$N$1480)))</f>
        <v/>
      </c>
      <c r="U1509" s="95">
        <f>IF($L$1480,$T1509,$N1509)</f>
        <v/>
      </c>
    </row>
    <row r="1510">
      <c r="A1510" s="90" t="n">
        <v>28</v>
      </c>
      <c r="B1510" s="91">
        <f>EDATE($B1509,1)</f>
        <v/>
      </c>
      <c r="C1510" s="92">
        <f>EOMONTH($B1510,0)</f>
        <v/>
      </c>
      <c r="D1510" s="87">
        <f>$C1510-$B1510+1</f>
        <v/>
      </c>
      <c r="E1510" s="87">
        <f>MONTH($B1510)</f>
        <v/>
      </c>
      <c r="F1510" s="93">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$N1510*IF($O$1480=1,$O1510/$F$1480,1)</f>
        <v/>
      </c>
      <c r="T1510" s="95">
        <f>IF($G1510&lt;nr_MStartP,$S1510,$T1498*(1+IF($G1510&lt;nr_MStartP1,$M$1480,$N$1480)))</f>
        <v/>
      </c>
      <c r="U1510" s="95">
        <f>IF($L$1480,$T1510,$N1510)</f>
        <v/>
      </c>
    </row>
    <row r="1511">
      <c r="A1511" s="90" t="n">
        <v>29</v>
      </c>
      <c r="B1511" s="91">
        <f>EDATE($B1510,1)</f>
        <v/>
      </c>
      <c r="C1511" s="92">
        <f>EOMONTH($B1511,0)</f>
        <v/>
      </c>
      <c r="D1511" s="87">
        <f>$C1511-$B1511+1</f>
        <v/>
      </c>
      <c r="E1511" s="87">
        <f>MONTH($B1511)</f>
        <v/>
      </c>
      <c r="F1511" s="93">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$N1511*IF($O$1480=1,$O1511/$F$1480,1)</f>
        <v/>
      </c>
      <c r="T1511" s="95">
        <f>IF($G1511&lt;nr_MStartP,$S1511,$T1499*(1+IF($G1511&lt;nr_MStartP1,$M$1480,$N$1480)))</f>
        <v/>
      </c>
      <c r="U1511" s="95">
        <f>IF($L$1480,$T1511,$N1511)</f>
        <v/>
      </c>
    </row>
    <row r="1512">
      <c r="A1512" s="90" t="n">
        <v>30</v>
      </c>
      <c r="B1512" s="91">
        <f>EDATE($B1511,1)</f>
        <v/>
      </c>
      <c r="C1512" s="92">
        <f>EOMONTH($B1512,0)</f>
        <v/>
      </c>
      <c r="D1512" s="87">
        <f>$C1512-$B1512+1</f>
        <v/>
      </c>
      <c r="E1512" s="87">
        <f>MONTH($B1512)</f>
        <v/>
      </c>
      <c r="F1512" s="93">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$N1512*IF($O$1480=1,$O1512/$F$1480,1)</f>
        <v/>
      </c>
      <c r="T1512" s="95">
        <f>IF($G1512&lt;nr_MStartP,$S1512,$T1500*(1+IF($G1512&lt;nr_MStartP1,$M$1480,$N$1480)))</f>
        <v/>
      </c>
      <c r="U1512" s="95">
        <f>IF($L$1480,$T1512,$N1512)</f>
        <v/>
      </c>
    </row>
    <row r="1513">
      <c r="A1513" s="90" t="n">
        <v>31</v>
      </c>
      <c r="B1513" s="91">
        <f>EDATE($B1512,1)</f>
        <v/>
      </c>
      <c r="C1513" s="92">
        <f>EOMONTH($B1513,0)</f>
        <v/>
      </c>
      <c r="D1513" s="87">
        <f>$C1513-$B1513+1</f>
        <v/>
      </c>
      <c r="E1513" s="87">
        <f>MONTH($B1513)</f>
        <v/>
      </c>
      <c r="F1513" s="93">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$N1513*IF($O$1480=1,$O1513/$F$1480,1)</f>
        <v/>
      </c>
      <c r="T1513" s="95">
        <f>IF($G1513&lt;nr_MStartP,$S1513,$T1501*(1+IF($G1513&lt;nr_MStartP1,$M$1480,$N$1480)))</f>
        <v/>
      </c>
      <c r="U1513" s="95">
        <f>IF($L$1480,$T1513,$N1513)</f>
        <v/>
      </c>
    </row>
    <row r="1514">
      <c r="A1514" s="90" t="n">
        <v>32</v>
      </c>
      <c r="B1514" s="91">
        <f>EDATE($B1513,1)</f>
        <v/>
      </c>
      <c r="C1514" s="92">
        <f>EOMONTH($B1514,0)</f>
        <v/>
      </c>
      <c r="D1514" s="87">
        <f>$C1514-$B1514+1</f>
        <v/>
      </c>
      <c r="E1514" s="87">
        <f>MONTH($B1514)</f>
        <v/>
      </c>
      <c r="F1514" s="93">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$N1514*IF($O$1480=1,$O1514/$F$1480,1)</f>
        <v/>
      </c>
      <c r="T1514" s="95">
        <f>IF($G1514&lt;nr_MStartP,$S1514,$T1502*(1+IF($G1514&lt;nr_MStartP1,$M$1480,$N$1480)))</f>
        <v/>
      </c>
      <c r="U1514" s="95">
        <f>IF($L$1480,$T1514,$N1514)</f>
        <v/>
      </c>
    </row>
    <row r="1515">
      <c r="A1515" s="90" t="n">
        <v>33</v>
      </c>
      <c r="B1515" s="91">
        <f>EDATE($B1514,1)</f>
        <v/>
      </c>
      <c r="C1515" s="92">
        <f>EOMONTH($B1515,0)</f>
        <v/>
      </c>
      <c r="D1515" s="87">
        <f>$C1515-$B1515+1</f>
        <v/>
      </c>
      <c r="E1515" s="87">
        <f>MONTH($B1515)</f>
        <v/>
      </c>
      <c r="F1515" s="93">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$N1515*IF($O$1480=1,$O1515/$F$1480,1)</f>
        <v/>
      </c>
      <c r="T1515" s="95">
        <f>IF($G1515&lt;nr_MStartP,$S1515,$T1503*(1+IF($G1515&lt;nr_MStartP1,$M$1480,$N$1480)))</f>
        <v/>
      </c>
      <c r="U1515" s="95">
        <f>IF($L$1480,$T1515,$N1515)</f>
        <v/>
      </c>
    </row>
    <row r="1516">
      <c r="A1516" s="90" t="n">
        <v>34</v>
      </c>
      <c r="B1516" s="91">
        <f>EDATE($B1515,1)</f>
        <v/>
      </c>
      <c r="C1516" s="92">
        <f>EOMONTH($B1516,0)</f>
        <v/>
      </c>
      <c r="D1516" s="87">
        <f>$C1516-$B1516+1</f>
        <v/>
      </c>
      <c r="E1516" s="87">
        <f>MONTH($B1516)</f>
        <v/>
      </c>
      <c r="F1516" s="93">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$N1516*IF($O$1480=1,$O1516/$F$1480,1)</f>
        <v/>
      </c>
      <c r="T1516" s="95">
        <f>IF($G1516&lt;nr_MStartP,$S1516,$T1504*(1+IF($G1516&lt;nr_MStartP1,$M$1480,$N$1480)))</f>
        <v/>
      </c>
      <c r="U1516" s="95">
        <f>IF($L$1480,$T1516,$N1516)</f>
        <v/>
      </c>
    </row>
    <row r="1517">
      <c r="A1517" s="90" t="n">
        <v>35</v>
      </c>
      <c r="B1517" s="91">
        <f>EDATE($B1516,1)</f>
        <v/>
      </c>
      <c r="C1517" s="92">
        <f>EOMONTH($B1517,0)</f>
        <v/>
      </c>
      <c r="D1517" s="87">
        <f>$C1517-$B1517+1</f>
        <v/>
      </c>
      <c r="E1517" s="87">
        <f>MONTH($B1517)</f>
        <v/>
      </c>
      <c r="F1517" s="93">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$N1517*IF($O$1480=1,$O1517/$F$1480,1)</f>
        <v/>
      </c>
      <c r="T1517" s="95">
        <f>IF($G1517&lt;nr_MStartP,$S1517,$T1505*(1+IF($G1517&lt;nr_MStartP1,$M$1480,$N$1480)))</f>
        <v/>
      </c>
      <c r="U1517" s="95">
        <f>IF($L$1480,$T1517,$N1517)</f>
        <v/>
      </c>
    </row>
    <row r="1518">
      <c r="A1518" s="90" t="n">
        <v>36</v>
      </c>
      <c r="B1518" s="91">
        <f>EDATE($B1517,1)</f>
        <v/>
      </c>
      <c r="C1518" s="92">
        <f>EOMONTH($B1518,0)</f>
        <v/>
      </c>
      <c r="D1518" s="87">
        <f>$C1518-$B1518+1</f>
        <v/>
      </c>
      <c r="E1518" s="87">
        <f>MONTH($B1518)</f>
        <v/>
      </c>
      <c r="F1518" s="93">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$N1518*IF($O$1480=1,$O1518/$F$1480,1)</f>
        <v/>
      </c>
      <c r="T1518" s="95">
        <f>IF($G1518&lt;nr_MStartP,$S1518,$T1506*(1+IF($G1518&lt;nr_MStartP1,$M$1480,$N$1480)))</f>
        <v/>
      </c>
      <c r="U1518" s="95">
        <f>IF($L$1480,$T1518,$N1518)</f>
        <v/>
      </c>
    </row>
    <row r="1519">
      <c r="A1519" s="90" t="n">
        <v>37</v>
      </c>
      <c r="B1519" s="91">
        <f>EDATE($B1518,1)</f>
        <v/>
      </c>
      <c r="C1519" s="92">
        <f>EOMONTH($B1519,0)</f>
        <v/>
      </c>
      <c r="D1519" s="87">
        <f>$C1519-$B1519+1</f>
        <v/>
      </c>
      <c r="E1519" s="87">
        <f>MONTH($B1519)</f>
        <v/>
      </c>
      <c r="F1519" s="93">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$N1519*IF($O$1480=1,$O1519/$F$1480,1)</f>
        <v/>
      </c>
      <c r="T1519" s="95">
        <f>IF($G1519&lt;nr_MStartP,$S1519,$T1507*(1+IF($G1519&lt;nr_MStartP1,$M$1480,$N$1480)))</f>
        <v/>
      </c>
      <c r="U1519" s="95">
        <f>IF($L$1480,$T1519,$N1519)</f>
        <v/>
      </c>
    </row>
    <row r="1520">
      <c r="A1520" s="90" t="n">
        <v>38</v>
      </c>
      <c r="B1520" s="91">
        <f>EDATE($B1519,1)</f>
        <v/>
      </c>
      <c r="C1520" s="92">
        <f>EOMONTH($B1520,0)</f>
        <v/>
      </c>
      <c r="D1520" s="87">
        <f>$C1520-$B1520+1</f>
        <v/>
      </c>
      <c r="E1520" s="87">
        <f>MONTH($B1520)</f>
        <v/>
      </c>
      <c r="F1520" s="93">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$N1520*IF($O$1480=1,$O1520/$F$1480,1)</f>
        <v/>
      </c>
      <c r="T1520" s="95">
        <f>IF($G1520&lt;nr_MStartP,$S1520,$T1508*(1+IF($G1520&lt;nr_MStartP1,$M$1480,$N$1480)))</f>
        <v/>
      </c>
      <c r="U1520" s="95">
        <f>IF($L$1480,$T1520,$N1520)</f>
        <v/>
      </c>
    </row>
    <row r="1521">
      <c r="A1521" s="90" t="n">
        <v>39</v>
      </c>
      <c r="B1521" s="91">
        <f>EDATE($B1520,1)</f>
        <v/>
      </c>
      <c r="C1521" s="92">
        <f>EOMONTH($B1521,0)</f>
        <v/>
      </c>
      <c r="D1521" s="87">
        <f>$C1521-$B1521+1</f>
        <v/>
      </c>
      <c r="E1521" s="87">
        <f>MONTH($B1521)</f>
        <v/>
      </c>
      <c r="F1521" s="93">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$N1521*IF($O$1480=1,$O1521/$F$1480,1)</f>
        <v/>
      </c>
      <c r="T1521" s="95">
        <f>IF($G1521&lt;nr_MStartP,$S1521,$T1509*(1+IF($G1521&lt;nr_MStartP1,$M$1480,$N$1480)))</f>
        <v/>
      </c>
      <c r="U1521" s="95">
        <f>IF($L$1480,$T1521,$N1521)</f>
        <v/>
      </c>
    </row>
    <row r="1522">
      <c r="A1522" s="90" t="n">
        <v>40</v>
      </c>
      <c r="B1522" s="91">
        <f>EDATE($B1521,1)</f>
        <v/>
      </c>
      <c r="C1522" s="92">
        <f>EOMONTH($B1522,0)</f>
        <v/>
      </c>
      <c r="D1522" s="87">
        <f>$C1522-$B1522+1</f>
        <v/>
      </c>
      <c r="E1522" s="87">
        <f>MONTH($B1522)</f>
        <v/>
      </c>
      <c r="F1522" s="93">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$N1522*IF($O$1480=1,$O1522/$F$1480,1)</f>
        <v/>
      </c>
      <c r="T1522" s="95">
        <f>IF($G1522&lt;nr_MStartP,$S1522,$T1510*(1+IF($G1522&lt;nr_MStartP1,$M$1480,$N$1480)))</f>
        <v/>
      </c>
      <c r="U1522" s="95">
        <f>IF($L$1480,$T1522,$N1522)</f>
        <v/>
      </c>
    </row>
    <row r="1523">
      <c r="A1523" s="90" t="n">
        <v>41</v>
      </c>
      <c r="B1523" s="91">
        <f>EDATE($B1522,1)</f>
        <v/>
      </c>
      <c r="C1523" s="92">
        <f>EOMONTH($B1523,0)</f>
        <v/>
      </c>
      <c r="D1523" s="87">
        <f>$C1523-$B1523+1</f>
        <v/>
      </c>
      <c r="E1523" s="87">
        <f>MONTH($B1523)</f>
        <v/>
      </c>
      <c r="F1523" s="93">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$N1523*IF($O$1480=1,$O1523/$F$1480,1)</f>
        <v/>
      </c>
      <c r="T1523" s="95">
        <f>IF($G1523&lt;nr_MStartP,$S1523,$T1511*(1+IF($G1523&lt;nr_MStartP1,$M$1480,$N$1480)))</f>
        <v/>
      </c>
      <c r="U1523" s="95">
        <f>IF($L$1480,$T1523,$N1523)</f>
        <v/>
      </c>
    </row>
    <row r="1524">
      <c r="A1524" s="90" t="n">
        <v>42</v>
      </c>
      <c r="B1524" s="91">
        <f>EDATE($B1523,1)</f>
        <v/>
      </c>
      <c r="C1524" s="92">
        <f>EOMONTH($B1524,0)</f>
        <v/>
      </c>
      <c r="D1524" s="87">
        <f>$C1524-$B1524+1</f>
        <v/>
      </c>
      <c r="E1524" s="87">
        <f>MONTH($B1524)</f>
        <v/>
      </c>
      <c r="F1524" s="93">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$N1524*IF($O$1480=1,$O1524/$F$1480,1)</f>
        <v/>
      </c>
      <c r="T1524" s="95">
        <f>IF($G1524&lt;nr_MStartP,$S1524,$T1512*(1+IF($G1524&lt;nr_MStartP1,$M$1480,$N$1480)))</f>
        <v/>
      </c>
      <c r="U1524" s="95">
        <f>IF($L$1480,$T1524,$N1524)</f>
        <v/>
      </c>
    </row>
    <row r="1525">
      <c r="A1525" s="90" t="n">
        <v>43</v>
      </c>
      <c r="B1525" s="91">
        <f>EDATE($B1524,1)</f>
        <v/>
      </c>
      <c r="C1525" s="92">
        <f>EOMONTH($B1525,0)</f>
        <v/>
      </c>
      <c r="D1525" s="87">
        <f>$C1525-$B1525+1</f>
        <v/>
      </c>
      <c r="E1525" s="87">
        <f>MONTH($B1525)</f>
        <v/>
      </c>
      <c r="F1525" s="93">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$N1525*IF($O$1480=1,$O1525/$F$1480,1)</f>
        <v/>
      </c>
      <c r="T1525" s="95">
        <f>IF($G1525&lt;nr_MStartP,$S1525,$T1513*(1+IF($G1525&lt;nr_MStartP1,$M$1480,$N$1480)))</f>
        <v/>
      </c>
      <c r="U1525" s="95">
        <f>IF($L$1480,$T1525,$N1525)</f>
        <v/>
      </c>
    </row>
    <row r="1526">
      <c r="A1526" s="90" t="n">
        <v>44</v>
      </c>
      <c r="B1526" s="91">
        <f>EDATE($B1525,1)</f>
        <v/>
      </c>
      <c r="C1526" s="92">
        <f>EOMONTH($B1526,0)</f>
        <v/>
      </c>
      <c r="D1526" s="87">
        <f>$C1526-$B1526+1</f>
        <v/>
      </c>
      <c r="E1526" s="87">
        <f>MONTH($B1526)</f>
        <v/>
      </c>
      <c r="F1526" s="93">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$N1526*IF($O$1480=1,$O1526/$F$1480,1)</f>
        <v/>
      </c>
      <c r="T1526" s="95">
        <f>IF($G1526&lt;nr_MStartP,$S1526,$T1514*(1+IF($G1526&lt;nr_MStartP1,$M$1480,$N$1480)))</f>
        <v/>
      </c>
      <c r="U1526" s="95">
        <f>IF($L$1480,$T1526,$N1526)</f>
        <v/>
      </c>
    </row>
    <row r="1527">
      <c r="A1527" s="90" t="n">
        <v>45</v>
      </c>
      <c r="B1527" s="91">
        <f>EDATE($B1526,1)</f>
        <v/>
      </c>
      <c r="C1527" s="92">
        <f>EOMONTH($B1527,0)</f>
        <v/>
      </c>
      <c r="D1527" s="87">
        <f>$C1527-$B1527+1</f>
        <v/>
      </c>
      <c r="E1527" s="87">
        <f>MONTH($B1527)</f>
        <v/>
      </c>
      <c r="F1527" s="93">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$N1527*IF($O$1480=1,$O1527/$F$1480,1)</f>
        <v/>
      </c>
      <c r="T1527" s="95">
        <f>IF($G1527&lt;nr_MStartP,$S1527,$T1515*(1+IF($G1527&lt;nr_MStartP1,$M$1480,$N$1480)))</f>
        <v/>
      </c>
      <c r="U1527" s="95">
        <f>IF($L$1480,$T1527,$N1527)</f>
        <v/>
      </c>
    </row>
    <row r="1528">
      <c r="A1528" s="90" t="n">
        <v>46</v>
      </c>
      <c r="B1528" s="91">
        <f>EDATE($B1527,1)</f>
        <v/>
      </c>
      <c r="C1528" s="92">
        <f>EOMONTH($B1528,0)</f>
        <v/>
      </c>
      <c r="D1528" s="87">
        <f>$C1528-$B1528+1</f>
        <v/>
      </c>
      <c r="E1528" s="87">
        <f>MONTH($B1528)</f>
        <v/>
      </c>
      <c r="F1528" s="93">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$N1528*IF($O$1480=1,$O1528/$F$1480,1)</f>
        <v/>
      </c>
      <c r="T1528" s="95">
        <f>IF($G1528&lt;nr_MStartP,$S1528,$T1516*(1+IF($G1528&lt;nr_MStartP1,$M$1480,$N$1480)))</f>
        <v/>
      </c>
      <c r="U1528" s="95">
        <f>IF($L$1480,$T1528,$N1528)</f>
        <v/>
      </c>
    </row>
    <row r="1529">
      <c r="A1529" s="90" t="n">
        <v>47</v>
      </c>
      <c r="B1529" s="91">
        <f>EDATE($B1528,1)</f>
        <v/>
      </c>
      <c r="C1529" s="92">
        <f>EOMONTH($B1529,0)</f>
        <v/>
      </c>
      <c r="D1529" s="87">
        <f>$C1529-$B1529+1</f>
        <v/>
      </c>
      <c r="E1529" s="87">
        <f>MONTH($B1529)</f>
        <v/>
      </c>
      <c r="F1529" s="93">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$N1529*IF($O$1480=1,$O1529/$F$1480,1)</f>
        <v/>
      </c>
      <c r="T1529" s="95">
        <f>IF($G1529&lt;nr_MStartP,$S1529,$T1517*(1+IF($G1529&lt;nr_MStartP1,$M$1480,$N$1480)))</f>
        <v/>
      </c>
      <c r="U1529" s="95">
        <f>IF($L$1480,$T1529,$N1529)</f>
        <v/>
      </c>
    </row>
    <row r="1530">
      <c r="A1530" s="90" t="n">
        <v>48</v>
      </c>
      <c r="B1530" s="91">
        <f>EDATE($B1529,1)</f>
        <v/>
      </c>
      <c r="C1530" s="92">
        <f>EOMONTH($B1530,0)</f>
        <v/>
      </c>
      <c r="D1530" s="87">
        <f>$C1530-$B1530+1</f>
        <v/>
      </c>
      <c r="E1530" s="87">
        <f>MONTH($B1530)</f>
        <v/>
      </c>
      <c r="F1530" s="93">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$N1530*IF($O$1480=1,$O1530/$F$1480,1)</f>
        <v/>
      </c>
      <c r="T1530" s="95">
        <f>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04">
        <f>SUMPRODUCT($H$1483:$H$1530,$Q$1483:$Q$1530,$O$1483:$O$1530)/SUMPRODUCT($H$1483:$H$1530,$Q$1483:$Q$1530)</f>
        <v/>
      </c>
      <c r="G1531" s="20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04">
        <f>IF(N(INDEX(lr_mind,28))=0,1,INDEX(lr_mind,28))</f>
        <v/>
      </c>
      <c r="G1534" s="204">
        <f>IF(N(INDEX(lr_m0,28))=0,1,INDEX(lr_m0,28))</f>
        <v/>
      </c>
      <c r="H1534" s="73">
        <f>IF(N(INDEX(lr_m0asof,28))=0,DATE(nr_PlanYear-1,10,1),INDEX(lr_m0asof,28))</f>
        <v/>
      </c>
      <c r="I1534" s="204">
        <f>IF(N(INDEX(lr_m1,28))=0,1,INDEX(lr_m1,28))</f>
        <v/>
      </c>
      <c r="J1534" s="204">
        <f>INDEX(lr_mprior,28)</f>
        <v/>
      </c>
      <c r="K1534" s="20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93">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$N1537*IF($O$1534=1,$O1537/$F$1534,1)</f>
        <v/>
      </c>
      <c r="T1537" s="95">
        <f>IF($G1537&lt;nr_MStartP,$S1537,$T1525*(1+IF($G1537&lt;nr_MStartP1,$M$1534,$N$1534)))</f>
        <v/>
      </c>
      <c r="U1537" s="95">
        <f>IF($L$1534,$T1537,$N1537)</f>
        <v/>
      </c>
    </row>
    <row r="1538">
      <c r="A1538" s="90" t="n">
        <v>2</v>
      </c>
      <c r="B1538" s="91">
        <f>EDATE($B1537,1)</f>
        <v/>
      </c>
      <c r="C1538" s="92">
        <f>EOMONTH($B1538,0)</f>
        <v/>
      </c>
      <c r="D1538" s="87">
        <f>$C1538-$B1538+1</f>
        <v/>
      </c>
      <c r="E1538" s="87">
        <f>MONTH($B1538)</f>
        <v/>
      </c>
      <c r="F1538" s="93">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$N1538*IF($O$1534=1,$O1538/$F$1534,1)</f>
        <v/>
      </c>
      <c r="T1538" s="95">
        <f>IF($G1538&lt;nr_MStartP,$S1538,$T1526*(1+IF($G1538&lt;nr_MStartP1,$M$1534,$N$1534)))</f>
        <v/>
      </c>
      <c r="U1538" s="95">
        <f>IF($L$1534,$T1538,$N1538)</f>
        <v/>
      </c>
    </row>
    <row r="1539">
      <c r="A1539" s="90" t="n">
        <v>3</v>
      </c>
      <c r="B1539" s="91">
        <f>EDATE($B1538,1)</f>
        <v/>
      </c>
      <c r="C1539" s="92">
        <f>EOMONTH($B1539,0)</f>
        <v/>
      </c>
      <c r="D1539" s="87">
        <f>$C1539-$B1539+1</f>
        <v/>
      </c>
      <c r="E1539" s="87">
        <f>MONTH($B1539)</f>
        <v/>
      </c>
      <c r="F1539" s="93">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$N1539*IF($O$1534=1,$O1539/$F$1534,1)</f>
        <v/>
      </c>
      <c r="T1539" s="95">
        <f>IF($G1539&lt;nr_MStartP,$S1539,$T1527*(1+IF($G1539&lt;nr_MStartP1,$M$1534,$N$1534)))</f>
        <v/>
      </c>
      <c r="U1539" s="95">
        <f>IF($L$1534,$T1539,$N1539)</f>
        <v/>
      </c>
    </row>
    <row r="1540">
      <c r="A1540" s="90" t="n">
        <v>4</v>
      </c>
      <c r="B1540" s="91">
        <f>EDATE($B1539,1)</f>
        <v/>
      </c>
      <c r="C1540" s="92">
        <f>EOMONTH($B1540,0)</f>
        <v/>
      </c>
      <c r="D1540" s="87">
        <f>$C1540-$B1540+1</f>
        <v/>
      </c>
      <c r="E1540" s="87">
        <f>MONTH($B1540)</f>
        <v/>
      </c>
      <c r="F1540" s="93">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$N1540*IF($O$1534=1,$O1540/$F$1534,1)</f>
        <v/>
      </c>
      <c r="T1540" s="95">
        <f>IF($G1540&lt;nr_MStartP,$S1540,$T1528*(1+IF($G1540&lt;nr_MStartP1,$M$1534,$N$1534)))</f>
        <v/>
      </c>
      <c r="U1540" s="95">
        <f>IF($L$1534,$T1540,$N1540)</f>
        <v/>
      </c>
    </row>
    <row r="1541">
      <c r="A1541" s="90" t="n">
        <v>5</v>
      </c>
      <c r="B1541" s="91">
        <f>EDATE($B1540,1)</f>
        <v/>
      </c>
      <c r="C1541" s="92">
        <f>EOMONTH($B1541,0)</f>
        <v/>
      </c>
      <c r="D1541" s="87">
        <f>$C1541-$B1541+1</f>
        <v/>
      </c>
      <c r="E1541" s="87">
        <f>MONTH($B1541)</f>
        <v/>
      </c>
      <c r="F1541" s="93">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$N1541*IF($O$1534=1,$O1541/$F$1534,1)</f>
        <v/>
      </c>
      <c r="T1541" s="95">
        <f>IF($G1541&lt;nr_MStartP,$S1541,$T1529*(1+IF($G1541&lt;nr_MStartP1,$M$1534,$N$1534)))</f>
        <v/>
      </c>
      <c r="U1541" s="95">
        <f>IF($L$1534,$T1541,$N1541)</f>
        <v/>
      </c>
    </row>
    <row r="1542">
      <c r="A1542" s="90" t="n">
        <v>6</v>
      </c>
      <c r="B1542" s="91">
        <f>EDATE($B1541,1)</f>
        <v/>
      </c>
      <c r="C1542" s="92">
        <f>EOMONTH($B1542,0)</f>
        <v/>
      </c>
      <c r="D1542" s="87">
        <f>$C1542-$B1542+1</f>
        <v/>
      </c>
      <c r="E1542" s="87">
        <f>MONTH($B1542)</f>
        <v/>
      </c>
      <c r="F1542" s="93">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$N1542*IF($O$1534=1,$O1542/$F$1534,1)</f>
        <v/>
      </c>
      <c r="T1542" s="95">
        <f>IF($G1542&lt;nr_MStartP,$S1542,$T1530*(1+IF($G1542&lt;nr_MStartP1,$M$1534,$N$1534)))</f>
        <v/>
      </c>
      <c r="U1542" s="95">
        <f>IF($L$1534,$T1542,$N1542)</f>
        <v/>
      </c>
    </row>
    <row r="1543">
      <c r="A1543" s="90" t="n">
        <v>7</v>
      </c>
      <c r="B1543" s="91">
        <f>EDATE($B1542,1)</f>
        <v/>
      </c>
      <c r="C1543" s="92">
        <f>EOMONTH($B1543,0)</f>
        <v/>
      </c>
      <c r="D1543" s="87">
        <f>$C1543-$B1543+1</f>
        <v/>
      </c>
      <c r="E1543" s="87">
        <f>MONTH($B1543)</f>
        <v/>
      </c>
      <c r="F1543" s="93">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$N1543*IF($O$1534=1,$O1543/$F$1534,1)</f>
        <v/>
      </c>
      <c r="T1543" s="95">
        <f>IF($G1543&lt;nr_MStartP,$S1543,$T1531*(1+IF($G1543&lt;nr_MStartP1,$M$1534,$N$1534)))</f>
        <v/>
      </c>
      <c r="U1543" s="95">
        <f>IF($L$1534,$T1543,$N1543)</f>
        <v/>
      </c>
    </row>
    <row r="1544">
      <c r="A1544" s="90" t="n">
        <v>8</v>
      </c>
      <c r="B1544" s="91">
        <f>EDATE($B1543,1)</f>
        <v/>
      </c>
      <c r="C1544" s="92">
        <f>EOMONTH($B1544,0)</f>
        <v/>
      </c>
      <c r="D1544" s="87">
        <f>$C1544-$B1544+1</f>
        <v/>
      </c>
      <c r="E1544" s="87">
        <f>MONTH($B1544)</f>
        <v/>
      </c>
      <c r="F1544" s="93">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$N1544*IF($O$1534=1,$O1544/$F$1534,1)</f>
        <v/>
      </c>
      <c r="T1544" s="95">
        <f>IF($G1544&lt;nr_MStartP,$S1544,$T1532*(1+IF($G1544&lt;nr_MStartP1,$M$1534,$N$1534)))</f>
        <v/>
      </c>
      <c r="U1544" s="95">
        <f>IF($L$1534,$T1544,$N1544)</f>
        <v/>
      </c>
    </row>
    <row r="1545">
      <c r="A1545" s="90" t="n">
        <v>9</v>
      </c>
      <c r="B1545" s="91">
        <f>EDATE($B1544,1)</f>
        <v/>
      </c>
      <c r="C1545" s="92">
        <f>EOMONTH($B1545,0)</f>
        <v/>
      </c>
      <c r="D1545" s="87">
        <f>$C1545-$B1545+1</f>
        <v/>
      </c>
      <c r="E1545" s="87">
        <f>MONTH($B1545)</f>
        <v/>
      </c>
      <c r="F1545" s="93">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$N1545*IF($O$1534=1,$O1545/$F$1534,1)</f>
        <v/>
      </c>
      <c r="T1545" s="95">
        <f>IF($G1545&lt;nr_MStartP,$S1545,$T1533*(1+IF($G1545&lt;nr_MStartP1,$M$1534,$N$1534)))</f>
        <v/>
      </c>
      <c r="U1545" s="95">
        <f>IF($L$1534,$T1545,$N1545)</f>
        <v/>
      </c>
    </row>
    <row r="1546">
      <c r="A1546" s="90" t="n">
        <v>10</v>
      </c>
      <c r="B1546" s="91">
        <f>EDATE($B1545,1)</f>
        <v/>
      </c>
      <c r="C1546" s="92">
        <f>EOMONTH($B1546,0)</f>
        <v/>
      </c>
      <c r="D1546" s="87">
        <f>$C1546-$B1546+1</f>
        <v/>
      </c>
      <c r="E1546" s="87">
        <f>MONTH($B1546)</f>
        <v/>
      </c>
      <c r="F1546" s="93">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$N1546*IF($O$1534=1,$O1546/$F$1534,1)</f>
        <v/>
      </c>
      <c r="T1546" s="95">
        <f>IF($G1546&lt;nr_MStartP,$S1546,$T1534*(1+IF($G1546&lt;nr_MStartP1,$M$1534,$N$1534)))</f>
        <v/>
      </c>
      <c r="U1546" s="95">
        <f>IF($L$1534,$T1546,$N1546)</f>
        <v/>
      </c>
    </row>
    <row r="1547">
      <c r="A1547" s="90" t="n">
        <v>11</v>
      </c>
      <c r="B1547" s="91">
        <f>EDATE($B1546,1)</f>
        <v/>
      </c>
      <c r="C1547" s="92">
        <f>EOMONTH($B1547,0)</f>
        <v/>
      </c>
      <c r="D1547" s="87">
        <f>$C1547-$B1547+1</f>
        <v/>
      </c>
      <c r="E1547" s="87">
        <f>MONTH($B1547)</f>
        <v/>
      </c>
      <c r="F1547" s="93">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$N1547*IF($O$1534=1,$O1547/$F$1534,1)</f>
        <v/>
      </c>
      <c r="T1547" s="95">
        <f>IF($G1547&lt;nr_MStartP,$S1547,$T1535*(1+IF($G1547&lt;nr_MStartP1,$M$1534,$N$1534)))</f>
        <v/>
      </c>
      <c r="U1547" s="95">
        <f>IF($L$1534,$T1547,$N1547)</f>
        <v/>
      </c>
    </row>
    <row r="1548">
      <c r="A1548" s="90" t="n">
        <v>12</v>
      </c>
      <c r="B1548" s="91">
        <f>EDATE($B1547,1)</f>
        <v/>
      </c>
      <c r="C1548" s="92">
        <f>EOMONTH($B1548,0)</f>
        <v/>
      </c>
      <c r="D1548" s="87">
        <f>$C1548-$B1548+1</f>
        <v/>
      </c>
      <c r="E1548" s="87">
        <f>MONTH($B1548)</f>
        <v/>
      </c>
      <c r="F1548" s="93">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$N1548*IF($O$1534=1,$O1548/$F$1534,1)</f>
        <v/>
      </c>
      <c r="T1548" s="95">
        <f>IF($G1548&lt;nr_MStartP,$S1548,$T1536*(1+IF($G1548&lt;nr_MStartP1,$M$1534,$N$1534)))</f>
        <v/>
      </c>
      <c r="U1548" s="95">
        <f>IF($L$1534,$T1548,$N1548)</f>
        <v/>
      </c>
    </row>
    <row r="1549">
      <c r="A1549" s="90" t="n">
        <v>13</v>
      </c>
      <c r="B1549" s="91">
        <f>EDATE($B1548,1)</f>
        <v/>
      </c>
      <c r="C1549" s="92">
        <f>EOMONTH($B1549,0)</f>
        <v/>
      </c>
      <c r="D1549" s="87">
        <f>$C1549-$B1549+1</f>
        <v/>
      </c>
      <c r="E1549" s="87">
        <f>MONTH($B1549)</f>
        <v/>
      </c>
      <c r="F1549" s="93">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$N1549*IF($O$1534=1,$O1549/$F$1534,1)</f>
        <v/>
      </c>
      <c r="T1549" s="95">
        <f>IF($G1549&lt;nr_MStartP,$S1549,$T1537*(1+IF($G1549&lt;nr_MStartP1,$M$1534,$N$1534)))</f>
        <v/>
      </c>
      <c r="U1549" s="95">
        <f>IF($L$1534,$T1549,$N1549)</f>
        <v/>
      </c>
    </row>
    <row r="1550">
      <c r="A1550" s="90" t="n">
        <v>14</v>
      </c>
      <c r="B1550" s="91">
        <f>EDATE($B1549,1)</f>
        <v/>
      </c>
      <c r="C1550" s="92">
        <f>EOMONTH($B1550,0)</f>
        <v/>
      </c>
      <c r="D1550" s="87">
        <f>$C1550-$B1550+1</f>
        <v/>
      </c>
      <c r="E1550" s="87">
        <f>MONTH($B1550)</f>
        <v/>
      </c>
      <c r="F1550" s="93">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$N1550*IF($O$1534=1,$O1550/$F$1534,1)</f>
        <v/>
      </c>
      <c r="T1550" s="95">
        <f>IF($G1550&lt;nr_MStartP,$S1550,$T1538*(1+IF($G1550&lt;nr_MStartP1,$M$1534,$N$1534)))</f>
        <v/>
      </c>
      <c r="U1550" s="95">
        <f>IF($L$1534,$T1550,$N1550)</f>
        <v/>
      </c>
    </row>
    <row r="1551">
      <c r="A1551" s="90" t="n">
        <v>15</v>
      </c>
      <c r="B1551" s="91">
        <f>EDATE($B1550,1)</f>
        <v/>
      </c>
      <c r="C1551" s="92">
        <f>EOMONTH($B1551,0)</f>
        <v/>
      </c>
      <c r="D1551" s="87">
        <f>$C1551-$B1551+1</f>
        <v/>
      </c>
      <c r="E1551" s="87">
        <f>MONTH($B1551)</f>
        <v/>
      </c>
      <c r="F1551" s="93">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$N1551*IF($O$1534=1,$O1551/$F$1534,1)</f>
        <v/>
      </c>
      <c r="T1551" s="95">
        <f>IF($G1551&lt;nr_MStartP,$S1551,$T1539*(1+IF($G1551&lt;nr_MStartP1,$M$1534,$N$1534)))</f>
        <v/>
      </c>
      <c r="U1551" s="95">
        <f>IF($L$1534,$T1551,$N1551)</f>
        <v/>
      </c>
    </row>
    <row r="1552">
      <c r="A1552" s="90" t="n">
        <v>16</v>
      </c>
      <c r="B1552" s="91">
        <f>EDATE($B1551,1)</f>
        <v/>
      </c>
      <c r="C1552" s="92">
        <f>EOMONTH($B1552,0)</f>
        <v/>
      </c>
      <c r="D1552" s="87">
        <f>$C1552-$B1552+1</f>
        <v/>
      </c>
      <c r="E1552" s="87">
        <f>MONTH($B1552)</f>
        <v/>
      </c>
      <c r="F1552" s="93">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$N1552*IF($O$1534=1,$O1552/$F$1534,1)</f>
        <v/>
      </c>
      <c r="T1552" s="95">
        <f>IF($G1552&lt;nr_MStartP,$S1552,$T1540*(1+IF($G1552&lt;nr_MStartP1,$M$1534,$N$1534)))</f>
        <v/>
      </c>
      <c r="U1552" s="95">
        <f>IF($L$1534,$T1552,$N1552)</f>
        <v/>
      </c>
    </row>
    <row r="1553">
      <c r="A1553" s="90" t="n">
        <v>17</v>
      </c>
      <c r="B1553" s="91">
        <f>EDATE($B1552,1)</f>
        <v/>
      </c>
      <c r="C1553" s="92">
        <f>EOMONTH($B1553,0)</f>
        <v/>
      </c>
      <c r="D1553" s="87">
        <f>$C1553-$B1553+1</f>
        <v/>
      </c>
      <c r="E1553" s="87">
        <f>MONTH($B1553)</f>
        <v/>
      </c>
      <c r="F1553" s="93">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$N1553*IF($O$1534=1,$O1553/$F$1534,1)</f>
        <v/>
      </c>
      <c r="T1553" s="95">
        <f>IF($G1553&lt;nr_MStartP,$S1553,$T1541*(1+IF($G1553&lt;nr_MStartP1,$M$1534,$N$1534)))</f>
        <v/>
      </c>
      <c r="U1553" s="95">
        <f>IF($L$1534,$T1553,$N1553)</f>
        <v/>
      </c>
    </row>
    <row r="1554">
      <c r="A1554" s="90" t="n">
        <v>18</v>
      </c>
      <c r="B1554" s="91">
        <f>EDATE($B1553,1)</f>
        <v/>
      </c>
      <c r="C1554" s="92">
        <f>EOMONTH($B1554,0)</f>
        <v/>
      </c>
      <c r="D1554" s="87">
        <f>$C1554-$B1554+1</f>
        <v/>
      </c>
      <c r="E1554" s="87">
        <f>MONTH($B1554)</f>
        <v/>
      </c>
      <c r="F1554" s="93">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$N1554*IF($O$1534=1,$O1554/$F$1534,1)</f>
        <v/>
      </c>
      <c r="T1554" s="95">
        <f>IF($G1554&lt;nr_MStartP,$S1554,$T1542*(1+IF($G1554&lt;nr_MStartP1,$M$1534,$N$1534)))</f>
        <v/>
      </c>
      <c r="U1554" s="95">
        <f>IF($L$1534,$T1554,$N1554)</f>
        <v/>
      </c>
    </row>
    <row r="1555">
      <c r="A1555" s="90" t="n">
        <v>19</v>
      </c>
      <c r="B1555" s="91">
        <f>EDATE($B1554,1)</f>
        <v/>
      </c>
      <c r="C1555" s="92">
        <f>EOMONTH($B1555,0)</f>
        <v/>
      </c>
      <c r="D1555" s="87">
        <f>$C1555-$B1555+1</f>
        <v/>
      </c>
      <c r="E1555" s="87">
        <f>MONTH($B1555)</f>
        <v/>
      </c>
      <c r="F1555" s="93">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$N1555*IF($O$1534=1,$O1555/$F$1534,1)</f>
        <v/>
      </c>
      <c r="T1555" s="95">
        <f>IF($G1555&lt;nr_MStartP,$S1555,$T1543*(1+IF($G1555&lt;nr_MStartP1,$M$1534,$N$1534)))</f>
        <v/>
      </c>
      <c r="U1555" s="95">
        <f>IF($L$1534,$T1555,$N1555)</f>
        <v/>
      </c>
    </row>
    <row r="1556">
      <c r="A1556" s="90" t="n">
        <v>20</v>
      </c>
      <c r="B1556" s="91">
        <f>EDATE($B1555,1)</f>
        <v/>
      </c>
      <c r="C1556" s="92">
        <f>EOMONTH($B1556,0)</f>
        <v/>
      </c>
      <c r="D1556" s="87">
        <f>$C1556-$B1556+1</f>
        <v/>
      </c>
      <c r="E1556" s="87">
        <f>MONTH($B1556)</f>
        <v/>
      </c>
      <c r="F1556" s="93">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$N1556*IF($O$1534=1,$O1556/$F$1534,1)</f>
        <v/>
      </c>
      <c r="T1556" s="95">
        <f>IF($G1556&lt;nr_MStartP,$S1556,$T1544*(1+IF($G1556&lt;nr_MStartP1,$M$1534,$N$1534)))</f>
        <v/>
      </c>
      <c r="U1556" s="95">
        <f>IF($L$1534,$T1556,$N1556)</f>
        <v/>
      </c>
    </row>
    <row r="1557">
      <c r="A1557" s="90" t="n">
        <v>21</v>
      </c>
      <c r="B1557" s="91">
        <f>EDATE($B1556,1)</f>
        <v/>
      </c>
      <c r="C1557" s="92">
        <f>EOMONTH($B1557,0)</f>
        <v/>
      </c>
      <c r="D1557" s="87">
        <f>$C1557-$B1557+1</f>
        <v/>
      </c>
      <c r="E1557" s="87">
        <f>MONTH($B1557)</f>
        <v/>
      </c>
      <c r="F1557" s="93">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$N1557*IF($O$1534=1,$O1557/$F$1534,1)</f>
        <v/>
      </c>
      <c r="T1557" s="95">
        <f>IF($G1557&lt;nr_MStartP,$S1557,$T1545*(1+IF($G1557&lt;nr_MStartP1,$M$1534,$N$1534)))</f>
        <v/>
      </c>
      <c r="U1557" s="95">
        <f>IF($L$1534,$T1557,$N1557)</f>
        <v/>
      </c>
    </row>
    <row r="1558">
      <c r="A1558" s="90" t="n">
        <v>22</v>
      </c>
      <c r="B1558" s="91">
        <f>EDATE($B1557,1)</f>
        <v/>
      </c>
      <c r="C1558" s="92">
        <f>EOMONTH($B1558,0)</f>
        <v/>
      </c>
      <c r="D1558" s="87">
        <f>$C1558-$B1558+1</f>
        <v/>
      </c>
      <c r="E1558" s="87">
        <f>MONTH($B1558)</f>
        <v/>
      </c>
      <c r="F1558" s="93">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$N1558*IF($O$1534=1,$O1558/$F$1534,1)</f>
        <v/>
      </c>
      <c r="T1558" s="95">
        <f>IF($G1558&lt;nr_MStartP,$S1558,$T1546*(1+IF($G1558&lt;nr_MStartP1,$M$1534,$N$1534)))</f>
        <v/>
      </c>
      <c r="U1558" s="95">
        <f>IF($L$1534,$T1558,$N1558)</f>
        <v/>
      </c>
    </row>
    <row r="1559">
      <c r="A1559" s="90" t="n">
        <v>23</v>
      </c>
      <c r="B1559" s="91">
        <f>EDATE($B1558,1)</f>
        <v/>
      </c>
      <c r="C1559" s="92">
        <f>EOMONTH($B1559,0)</f>
        <v/>
      </c>
      <c r="D1559" s="87">
        <f>$C1559-$B1559+1</f>
        <v/>
      </c>
      <c r="E1559" s="87">
        <f>MONTH($B1559)</f>
        <v/>
      </c>
      <c r="F1559" s="93">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$N1559*IF($O$1534=1,$O1559/$F$1534,1)</f>
        <v/>
      </c>
      <c r="T1559" s="95">
        <f>IF($G1559&lt;nr_MStartP,$S1559,$T1547*(1+IF($G1559&lt;nr_MStartP1,$M$1534,$N$1534)))</f>
        <v/>
      </c>
      <c r="U1559" s="95">
        <f>IF($L$1534,$T1559,$N1559)</f>
        <v/>
      </c>
    </row>
    <row r="1560">
      <c r="A1560" s="90" t="n">
        <v>24</v>
      </c>
      <c r="B1560" s="91">
        <f>EDATE($B1559,1)</f>
        <v/>
      </c>
      <c r="C1560" s="92">
        <f>EOMONTH($B1560,0)</f>
        <v/>
      </c>
      <c r="D1560" s="87">
        <f>$C1560-$B1560+1</f>
        <v/>
      </c>
      <c r="E1560" s="87">
        <f>MONTH($B1560)</f>
        <v/>
      </c>
      <c r="F1560" s="93">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$N1560*IF($O$1534=1,$O1560/$F$1534,1)</f>
        <v/>
      </c>
      <c r="T1560" s="95">
        <f>IF($G1560&lt;nr_MStartP,$S1560,$T1548*(1+IF($G1560&lt;nr_MStartP1,$M$1534,$N$1534)))</f>
        <v/>
      </c>
      <c r="U1560" s="95">
        <f>IF($L$1534,$T1560,$N1560)</f>
        <v/>
      </c>
    </row>
    <row r="1561">
      <c r="A1561" s="90" t="n">
        <v>25</v>
      </c>
      <c r="B1561" s="91">
        <f>EDATE($B1560,1)</f>
        <v/>
      </c>
      <c r="C1561" s="92">
        <f>EOMONTH($B1561,0)</f>
        <v/>
      </c>
      <c r="D1561" s="87">
        <f>$C1561-$B1561+1</f>
        <v/>
      </c>
      <c r="E1561" s="87">
        <f>MONTH($B1561)</f>
        <v/>
      </c>
      <c r="F1561" s="93">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$N1561*IF($O$1534=1,$O1561/$F$1534,1)</f>
        <v/>
      </c>
      <c r="T1561" s="95">
        <f>IF($G1561&lt;nr_MStartP,$S1561,$T1549*(1+IF($G1561&lt;nr_MStartP1,$M$1534,$N$1534)))</f>
        <v/>
      </c>
      <c r="U1561" s="95">
        <f>IF($L$1534,$T1561,$N1561)</f>
        <v/>
      </c>
    </row>
    <row r="1562">
      <c r="A1562" s="90" t="n">
        <v>26</v>
      </c>
      <c r="B1562" s="91">
        <f>EDATE($B1561,1)</f>
        <v/>
      </c>
      <c r="C1562" s="92">
        <f>EOMONTH($B1562,0)</f>
        <v/>
      </c>
      <c r="D1562" s="87">
        <f>$C1562-$B1562+1</f>
        <v/>
      </c>
      <c r="E1562" s="87">
        <f>MONTH($B1562)</f>
        <v/>
      </c>
      <c r="F1562" s="93">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$N1562*IF($O$1534=1,$O1562/$F$1534,1)</f>
        <v/>
      </c>
      <c r="T1562" s="95">
        <f>IF($G1562&lt;nr_MStartP,$S1562,$T1550*(1+IF($G1562&lt;nr_MStartP1,$M$1534,$N$1534)))</f>
        <v/>
      </c>
      <c r="U1562" s="95">
        <f>IF($L$1534,$T1562,$N1562)</f>
        <v/>
      </c>
    </row>
    <row r="1563">
      <c r="A1563" s="90" t="n">
        <v>27</v>
      </c>
      <c r="B1563" s="91">
        <f>EDATE($B1562,1)</f>
        <v/>
      </c>
      <c r="C1563" s="92">
        <f>EOMONTH($B1563,0)</f>
        <v/>
      </c>
      <c r="D1563" s="87">
        <f>$C1563-$B1563+1</f>
        <v/>
      </c>
      <c r="E1563" s="87">
        <f>MONTH($B1563)</f>
        <v/>
      </c>
      <c r="F1563" s="93">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$N1563*IF($O$1534=1,$O1563/$F$1534,1)</f>
        <v/>
      </c>
      <c r="T1563" s="95">
        <f>IF($G1563&lt;nr_MStartP,$S1563,$T1551*(1+IF($G1563&lt;nr_MStartP1,$M$1534,$N$1534)))</f>
        <v/>
      </c>
      <c r="U1563" s="95">
        <f>IF($L$1534,$T1563,$N1563)</f>
        <v/>
      </c>
    </row>
    <row r="1564">
      <c r="A1564" s="90" t="n">
        <v>28</v>
      </c>
      <c r="B1564" s="91">
        <f>EDATE($B1563,1)</f>
        <v/>
      </c>
      <c r="C1564" s="92">
        <f>EOMONTH($B1564,0)</f>
        <v/>
      </c>
      <c r="D1564" s="87">
        <f>$C1564-$B1564+1</f>
        <v/>
      </c>
      <c r="E1564" s="87">
        <f>MONTH($B1564)</f>
        <v/>
      </c>
      <c r="F1564" s="93">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$N1564*IF($O$1534=1,$O1564/$F$1534,1)</f>
        <v/>
      </c>
      <c r="T1564" s="95">
        <f>IF($G1564&lt;nr_MStartP,$S1564,$T1552*(1+IF($G1564&lt;nr_MStartP1,$M$1534,$N$1534)))</f>
        <v/>
      </c>
      <c r="U1564" s="95">
        <f>IF($L$1534,$T1564,$N1564)</f>
        <v/>
      </c>
    </row>
    <row r="1565">
      <c r="A1565" s="90" t="n">
        <v>29</v>
      </c>
      <c r="B1565" s="91">
        <f>EDATE($B1564,1)</f>
        <v/>
      </c>
      <c r="C1565" s="92">
        <f>EOMONTH($B1565,0)</f>
        <v/>
      </c>
      <c r="D1565" s="87">
        <f>$C1565-$B1565+1</f>
        <v/>
      </c>
      <c r="E1565" s="87">
        <f>MONTH($B1565)</f>
        <v/>
      </c>
      <c r="F1565" s="93">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$N1565*IF($O$1534=1,$O1565/$F$1534,1)</f>
        <v/>
      </c>
      <c r="T1565" s="95">
        <f>IF($G1565&lt;nr_MStartP,$S1565,$T1553*(1+IF($G1565&lt;nr_MStartP1,$M$1534,$N$1534)))</f>
        <v/>
      </c>
      <c r="U1565" s="95">
        <f>IF($L$1534,$T1565,$N1565)</f>
        <v/>
      </c>
    </row>
    <row r="1566">
      <c r="A1566" s="90" t="n">
        <v>30</v>
      </c>
      <c r="B1566" s="91">
        <f>EDATE($B1565,1)</f>
        <v/>
      </c>
      <c r="C1566" s="92">
        <f>EOMONTH($B1566,0)</f>
        <v/>
      </c>
      <c r="D1566" s="87">
        <f>$C1566-$B1566+1</f>
        <v/>
      </c>
      <c r="E1566" s="87">
        <f>MONTH($B1566)</f>
        <v/>
      </c>
      <c r="F1566" s="93">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$N1566*IF($O$1534=1,$O1566/$F$1534,1)</f>
        <v/>
      </c>
      <c r="T1566" s="95">
        <f>IF($G1566&lt;nr_MStartP,$S1566,$T1554*(1+IF($G1566&lt;nr_MStartP1,$M$1534,$N$1534)))</f>
        <v/>
      </c>
      <c r="U1566" s="95">
        <f>IF($L$1534,$T1566,$N1566)</f>
        <v/>
      </c>
    </row>
    <row r="1567">
      <c r="A1567" s="90" t="n">
        <v>31</v>
      </c>
      <c r="B1567" s="91">
        <f>EDATE($B1566,1)</f>
        <v/>
      </c>
      <c r="C1567" s="92">
        <f>EOMONTH($B1567,0)</f>
        <v/>
      </c>
      <c r="D1567" s="87">
        <f>$C1567-$B1567+1</f>
        <v/>
      </c>
      <c r="E1567" s="87">
        <f>MONTH($B1567)</f>
        <v/>
      </c>
      <c r="F1567" s="93">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$N1567*IF($O$1534=1,$O1567/$F$1534,1)</f>
        <v/>
      </c>
      <c r="T1567" s="95">
        <f>IF($G1567&lt;nr_MStartP,$S1567,$T1555*(1+IF($G1567&lt;nr_MStartP1,$M$1534,$N$1534)))</f>
        <v/>
      </c>
      <c r="U1567" s="95">
        <f>IF($L$1534,$T1567,$N1567)</f>
        <v/>
      </c>
    </row>
    <row r="1568">
      <c r="A1568" s="90" t="n">
        <v>32</v>
      </c>
      <c r="B1568" s="91">
        <f>EDATE($B1567,1)</f>
        <v/>
      </c>
      <c r="C1568" s="92">
        <f>EOMONTH($B1568,0)</f>
        <v/>
      </c>
      <c r="D1568" s="87">
        <f>$C1568-$B1568+1</f>
        <v/>
      </c>
      <c r="E1568" s="87">
        <f>MONTH($B1568)</f>
        <v/>
      </c>
      <c r="F1568" s="93">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$N1568*IF($O$1534=1,$O1568/$F$1534,1)</f>
        <v/>
      </c>
      <c r="T1568" s="95">
        <f>IF($G1568&lt;nr_MStartP,$S1568,$T1556*(1+IF($G1568&lt;nr_MStartP1,$M$1534,$N$1534)))</f>
        <v/>
      </c>
      <c r="U1568" s="95">
        <f>IF($L$1534,$T1568,$N1568)</f>
        <v/>
      </c>
    </row>
    <row r="1569">
      <c r="A1569" s="90" t="n">
        <v>33</v>
      </c>
      <c r="B1569" s="91">
        <f>EDATE($B1568,1)</f>
        <v/>
      </c>
      <c r="C1569" s="92">
        <f>EOMONTH($B1569,0)</f>
        <v/>
      </c>
      <c r="D1569" s="87">
        <f>$C1569-$B1569+1</f>
        <v/>
      </c>
      <c r="E1569" s="87">
        <f>MONTH($B1569)</f>
        <v/>
      </c>
      <c r="F1569" s="93">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$N1569*IF($O$1534=1,$O1569/$F$1534,1)</f>
        <v/>
      </c>
      <c r="T1569" s="95">
        <f>IF($G1569&lt;nr_MStartP,$S1569,$T1557*(1+IF($G1569&lt;nr_MStartP1,$M$1534,$N$1534)))</f>
        <v/>
      </c>
      <c r="U1569" s="95">
        <f>IF($L$1534,$T1569,$N1569)</f>
        <v/>
      </c>
    </row>
    <row r="1570">
      <c r="A1570" s="90" t="n">
        <v>34</v>
      </c>
      <c r="B1570" s="91">
        <f>EDATE($B1569,1)</f>
        <v/>
      </c>
      <c r="C1570" s="92">
        <f>EOMONTH($B1570,0)</f>
        <v/>
      </c>
      <c r="D1570" s="87">
        <f>$C1570-$B1570+1</f>
        <v/>
      </c>
      <c r="E1570" s="87">
        <f>MONTH($B1570)</f>
        <v/>
      </c>
      <c r="F1570" s="93">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$N1570*IF($O$1534=1,$O1570/$F$1534,1)</f>
        <v/>
      </c>
      <c r="T1570" s="95">
        <f>IF($G1570&lt;nr_MStartP,$S1570,$T1558*(1+IF($G1570&lt;nr_MStartP1,$M$1534,$N$1534)))</f>
        <v/>
      </c>
      <c r="U1570" s="95">
        <f>IF($L$1534,$T1570,$N1570)</f>
        <v/>
      </c>
    </row>
    <row r="1571">
      <c r="A1571" s="90" t="n">
        <v>35</v>
      </c>
      <c r="B1571" s="91">
        <f>EDATE($B1570,1)</f>
        <v/>
      </c>
      <c r="C1571" s="92">
        <f>EOMONTH($B1571,0)</f>
        <v/>
      </c>
      <c r="D1571" s="87">
        <f>$C1571-$B1571+1</f>
        <v/>
      </c>
      <c r="E1571" s="87">
        <f>MONTH($B1571)</f>
        <v/>
      </c>
      <c r="F1571" s="93">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$N1571*IF($O$1534=1,$O1571/$F$1534,1)</f>
        <v/>
      </c>
      <c r="T1571" s="95">
        <f>IF($G1571&lt;nr_MStartP,$S1571,$T1559*(1+IF($G1571&lt;nr_MStartP1,$M$1534,$N$1534)))</f>
        <v/>
      </c>
      <c r="U1571" s="95">
        <f>IF($L$1534,$T1571,$N1571)</f>
        <v/>
      </c>
    </row>
    <row r="1572">
      <c r="A1572" s="90" t="n">
        <v>36</v>
      </c>
      <c r="B1572" s="91">
        <f>EDATE($B1571,1)</f>
        <v/>
      </c>
      <c r="C1572" s="92">
        <f>EOMONTH($B1572,0)</f>
        <v/>
      </c>
      <c r="D1572" s="87">
        <f>$C1572-$B1572+1</f>
        <v/>
      </c>
      <c r="E1572" s="87">
        <f>MONTH($B1572)</f>
        <v/>
      </c>
      <c r="F1572" s="93">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$N1572*IF($O$1534=1,$O1572/$F$1534,1)</f>
        <v/>
      </c>
      <c r="T1572" s="95">
        <f>IF($G1572&lt;nr_MStartP,$S1572,$T1560*(1+IF($G1572&lt;nr_MStartP1,$M$1534,$N$1534)))</f>
        <v/>
      </c>
      <c r="U1572" s="95">
        <f>IF($L$1534,$T1572,$N1572)</f>
        <v/>
      </c>
    </row>
    <row r="1573">
      <c r="A1573" s="90" t="n">
        <v>37</v>
      </c>
      <c r="B1573" s="91">
        <f>EDATE($B1572,1)</f>
        <v/>
      </c>
      <c r="C1573" s="92">
        <f>EOMONTH($B1573,0)</f>
        <v/>
      </c>
      <c r="D1573" s="87">
        <f>$C1573-$B1573+1</f>
        <v/>
      </c>
      <c r="E1573" s="87">
        <f>MONTH($B1573)</f>
        <v/>
      </c>
      <c r="F1573" s="93">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$N1573*IF($O$1534=1,$O1573/$F$1534,1)</f>
        <v/>
      </c>
      <c r="T1573" s="95">
        <f>IF($G1573&lt;nr_MStartP,$S1573,$T1561*(1+IF($G1573&lt;nr_MStartP1,$M$1534,$N$1534)))</f>
        <v/>
      </c>
      <c r="U1573" s="95">
        <f>IF($L$1534,$T1573,$N1573)</f>
        <v/>
      </c>
    </row>
    <row r="1574">
      <c r="A1574" s="90" t="n">
        <v>38</v>
      </c>
      <c r="B1574" s="91">
        <f>EDATE($B1573,1)</f>
        <v/>
      </c>
      <c r="C1574" s="92">
        <f>EOMONTH($B1574,0)</f>
        <v/>
      </c>
      <c r="D1574" s="87">
        <f>$C1574-$B1574+1</f>
        <v/>
      </c>
      <c r="E1574" s="87">
        <f>MONTH($B1574)</f>
        <v/>
      </c>
      <c r="F1574" s="93">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$N1574*IF($O$1534=1,$O1574/$F$1534,1)</f>
        <v/>
      </c>
      <c r="T1574" s="95">
        <f>IF($G1574&lt;nr_MStartP,$S1574,$T1562*(1+IF($G1574&lt;nr_MStartP1,$M$1534,$N$1534)))</f>
        <v/>
      </c>
      <c r="U1574" s="95">
        <f>IF($L$1534,$T1574,$N1574)</f>
        <v/>
      </c>
    </row>
    <row r="1575">
      <c r="A1575" s="90" t="n">
        <v>39</v>
      </c>
      <c r="B1575" s="91">
        <f>EDATE($B1574,1)</f>
        <v/>
      </c>
      <c r="C1575" s="92">
        <f>EOMONTH($B1575,0)</f>
        <v/>
      </c>
      <c r="D1575" s="87">
        <f>$C1575-$B1575+1</f>
        <v/>
      </c>
      <c r="E1575" s="87">
        <f>MONTH($B1575)</f>
        <v/>
      </c>
      <c r="F1575" s="93">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$N1575*IF($O$1534=1,$O1575/$F$1534,1)</f>
        <v/>
      </c>
      <c r="T1575" s="95">
        <f>IF($G1575&lt;nr_MStartP,$S1575,$T1563*(1+IF($G1575&lt;nr_MStartP1,$M$1534,$N$1534)))</f>
        <v/>
      </c>
      <c r="U1575" s="95">
        <f>IF($L$1534,$T1575,$N1575)</f>
        <v/>
      </c>
    </row>
    <row r="1576">
      <c r="A1576" s="90" t="n">
        <v>40</v>
      </c>
      <c r="B1576" s="91">
        <f>EDATE($B1575,1)</f>
        <v/>
      </c>
      <c r="C1576" s="92">
        <f>EOMONTH($B1576,0)</f>
        <v/>
      </c>
      <c r="D1576" s="87">
        <f>$C1576-$B1576+1</f>
        <v/>
      </c>
      <c r="E1576" s="87">
        <f>MONTH($B1576)</f>
        <v/>
      </c>
      <c r="F1576" s="93">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$N1576*IF($O$1534=1,$O1576/$F$1534,1)</f>
        <v/>
      </c>
      <c r="T1576" s="95">
        <f>IF($G1576&lt;nr_MStartP,$S1576,$T1564*(1+IF($G1576&lt;nr_MStartP1,$M$1534,$N$1534)))</f>
        <v/>
      </c>
      <c r="U1576" s="95">
        <f>IF($L$1534,$T1576,$N1576)</f>
        <v/>
      </c>
    </row>
    <row r="1577">
      <c r="A1577" s="90" t="n">
        <v>41</v>
      </c>
      <c r="B1577" s="91">
        <f>EDATE($B1576,1)</f>
        <v/>
      </c>
      <c r="C1577" s="92">
        <f>EOMONTH($B1577,0)</f>
        <v/>
      </c>
      <c r="D1577" s="87">
        <f>$C1577-$B1577+1</f>
        <v/>
      </c>
      <c r="E1577" s="87">
        <f>MONTH($B1577)</f>
        <v/>
      </c>
      <c r="F1577" s="93">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$N1577*IF($O$1534=1,$O1577/$F$1534,1)</f>
        <v/>
      </c>
      <c r="T1577" s="95">
        <f>IF($G1577&lt;nr_MStartP,$S1577,$T1565*(1+IF($G1577&lt;nr_MStartP1,$M$1534,$N$1534)))</f>
        <v/>
      </c>
      <c r="U1577" s="95">
        <f>IF($L$1534,$T1577,$N1577)</f>
        <v/>
      </c>
    </row>
    <row r="1578">
      <c r="A1578" s="90" t="n">
        <v>42</v>
      </c>
      <c r="B1578" s="91">
        <f>EDATE($B1577,1)</f>
        <v/>
      </c>
      <c r="C1578" s="92">
        <f>EOMONTH($B1578,0)</f>
        <v/>
      </c>
      <c r="D1578" s="87">
        <f>$C1578-$B1578+1</f>
        <v/>
      </c>
      <c r="E1578" s="87">
        <f>MONTH($B1578)</f>
        <v/>
      </c>
      <c r="F1578" s="93">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$N1578*IF($O$1534=1,$O1578/$F$1534,1)</f>
        <v/>
      </c>
      <c r="T1578" s="95">
        <f>IF($G1578&lt;nr_MStartP,$S1578,$T1566*(1+IF($G1578&lt;nr_MStartP1,$M$1534,$N$1534)))</f>
        <v/>
      </c>
      <c r="U1578" s="95">
        <f>IF($L$1534,$T1578,$N1578)</f>
        <v/>
      </c>
    </row>
    <row r="1579">
      <c r="A1579" s="90" t="n">
        <v>43</v>
      </c>
      <c r="B1579" s="91">
        <f>EDATE($B1578,1)</f>
        <v/>
      </c>
      <c r="C1579" s="92">
        <f>EOMONTH($B1579,0)</f>
        <v/>
      </c>
      <c r="D1579" s="87">
        <f>$C1579-$B1579+1</f>
        <v/>
      </c>
      <c r="E1579" s="87">
        <f>MONTH($B1579)</f>
        <v/>
      </c>
      <c r="F1579" s="93">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$N1579*IF($O$1534=1,$O1579/$F$1534,1)</f>
        <v/>
      </c>
      <c r="T1579" s="95">
        <f>IF($G1579&lt;nr_MStartP,$S1579,$T1567*(1+IF($G1579&lt;nr_MStartP1,$M$1534,$N$1534)))</f>
        <v/>
      </c>
      <c r="U1579" s="95">
        <f>IF($L$1534,$T1579,$N1579)</f>
        <v/>
      </c>
    </row>
    <row r="1580">
      <c r="A1580" s="90" t="n">
        <v>44</v>
      </c>
      <c r="B1580" s="91">
        <f>EDATE($B1579,1)</f>
        <v/>
      </c>
      <c r="C1580" s="92">
        <f>EOMONTH($B1580,0)</f>
        <v/>
      </c>
      <c r="D1580" s="87">
        <f>$C1580-$B1580+1</f>
        <v/>
      </c>
      <c r="E1580" s="87">
        <f>MONTH($B1580)</f>
        <v/>
      </c>
      <c r="F1580" s="93">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$N1580*IF($O$1534=1,$O1580/$F$1534,1)</f>
        <v/>
      </c>
      <c r="T1580" s="95">
        <f>IF($G1580&lt;nr_MStartP,$S1580,$T1568*(1+IF($G1580&lt;nr_MStartP1,$M$1534,$N$1534)))</f>
        <v/>
      </c>
      <c r="U1580" s="95">
        <f>IF($L$1534,$T1580,$N1580)</f>
        <v/>
      </c>
    </row>
    <row r="1581">
      <c r="A1581" s="90" t="n">
        <v>45</v>
      </c>
      <c r="B1581" s="91">
        <f>EDATE($B1580,1)</f>
        <v/>
      </c>
      <c r="C1581" s="92">
        <f>EOMONTH($B1581,0)</f>
        <v/>
      </c>
      <c r="D1581" s="87">
        <f>$C1581-$B1581+1</f>
        <v/>
      </c>
      <c r="E1581" s="87">
        <f>MONTH($B1581)</f>
        <v/>
      </c>
      <c r="F1581" s="93">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$N1581*IF($O$1534=1,$O1581/$F$1534,1)</f>
        <v/>
      </c>
      <c r="T1581" s="95">
        <f>IF($G1581&lt;nr_MStartP,$S1581,$T1569*(1+IF($G1581&lt;nr_MStartP1,$M$1534,$N$1534)))</f>
        <v/>
      </c>
      <c r="U1581" s="95">
        <f>IF($L$1534,$T1581,$N1581)</f>
        <v/>
      </c>
    </row>
    <row r="1582">
      <c r="A1582" s="90" t="n">
        <v>46</v>
      </c>
      <c r="B1582" s="91">
        <f>EDATE($B1581,1)</f>
        <v/>
      </c>
      <c r="C1582" s="92">
        <f>EOMONTH($B1582,0)</f>
        <v/>
      </c>
      <c r="D1582" s="87">
        <f>$C1582-$B1582+1</f>
        <v/>
      </c>
      <c r="E1582" s="87">
        <f>MONTH($B1582)</f>
        <v/>
      </c>
      <c r="F1582" s="93">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$N1582*IF($O$1534=1,$O1582/$F$1534,1)</f>
        <v/>
      </c>
      <c r="T1582" s="95">
        <f>IF($G1582&lt;nr_MStartP,$S1582,$T1570*(1+IF($G1582&lt;nr_MStartP1,$M$1534,$N$1534)))</f>
        <v/>
      </c>
      <c r="U1582" s="95">
        <f>IF($L$1534,$T1582,$N1582)</f>
        <v/>
      </c>
    </row>
    <row r="1583">
      <c r="A1583" s="90" t="n">
        <v>47</v>
      </c>
      <c r="B1583" s="91">
        <f>EDATE($B1582,1)</f>
        <v/>
      </c>
      <c r="C1583" s="92">
        <f>EOMONTH($B1583,0)</f>
        <v/>
      </c>
      <c r="D1583" s="87">
        <f>$C1583-$B1583+1</f>
        <v/>
      </c>
      <c r="E1583" s="87">
        <f>MONTH($B1583)</f>
        <v/>
      </c>
      <c r="F1583" s="93">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$N1583*IF($O$1534=1,$O1583/$F$1534,1)</f>
        <v/>
      </c>
      <c r="T1583" s="95">
        <f>IF($G1583&lt;nr_MStartP,$S1583,$T1571*(1+IF($G1583&lt;nr_MStartP1,$M$1534,$N$1534)))</f>
        <v/>
      </c>
      <c r="U1583" s="95">
        <f>IF($L$1534,$T1583,$N1583)</f>
        <v/>
      </c>
    </row>
    <row r="1584">
      <c r="A1584" s="90" t="n">
        <v>48</v>
      </c>
      <c r="B1584" s="91">
        <f>EDATE($B1583,1)</f>
        <v/>
      </c>
      <c r="C1584" s="92">
        <f>EOMONTH($B1584,0)</f>
        <v/>
      </c>
      <c r="D1584" s="87">
        <f>$C1584-$B1584+1</f>
        <v/>
      </c>
      <c r="E1584" s="87">
        <f>MONTH($B1584)</f>
        <v/>
      </c>
      <c r="F1584" s="93">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$N1584*IF($O$1534=1,$O1584/$F$1534,1)</f>
        <v/>
      </c>
      <c r="T1584" s="95">
        <f>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04">
        <f>SUMPRODUCT($H$1537:$H$1584,$Q$1537:$Q$1584,$O$1537:$O$1584)/SUMPRODUCT($H$1537:$H$1584,$Q$1537:$Q$1584)</f>
        <v/>
      </c>
      <c r="G1585" s="20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04">
        <f>IF(N(INDEX(lr_mind,29))=0,1,INDEX(lr_mind,29))</f>
        <v/>
      </c>
      <c r="G1588" s="204">
        <f>IF(N(INDEX(lr_m0,29))=0,1,INDEX(lr_m0,29))</f>
        <v/>
      </c>
      <c r="H1588" s="73">
        <f>IF(N(INDEX(lr_m0asof,29))=0,DATE(nr_PlanYear-1,10,1),INDEX(lr_m0asof,29))</f>
        <v/>
      </c>
      <c r="I1588" s="204">
        <f>IF(N(INDEX(lr_m1,29))=0,1,INDEX(lr_m1,29))</f>
        <v/>
      </c>
      <c r="J1588" s="204">
        <f>INDEX(lr_mprior,29)</f>
        <v/>
      </c>
      <c r="K1588" s="20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93">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$N1591*IF($O$1588=1,$O1591/$F$1588,1)</f>
        <v/>
      </c>
      <c r="T1591" s="95">
        <f>IF($G1591&lt;nr_MStartP,$S1591,$T1579*(1+IF($G1591&lt;nr_MStartP1,$M$1588,$N$1588)))</f>
        <v/>
      </c>
      <c r="U1591" s="95">
        <f>IF($L$1588,$T1591,$N1591)</f>
        <v/>
      </c>
    </row>
    <row r="1592">
      <c r="A1592" s="90" t="n">
        <v>2</v>
      </c>
      <c r="B1592" s="91">
        <f>EDATE($B1591,1)</f>
        <v/>
      </c>
      <c r="C1592" s="92">
        <f>EOMONTH($B1592,0)</f>
        <v/>
      </c>
      <c r="D1592" s="87">
        <f>$C1592-$B1592+1</f>
        <v/>
      </c>
      <c r="E1592" s="87">
        <f>MONTH($B1592)</f>
        <v/>
      </c>
      <c r="F1592" s="93">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$N1592*IF($O$1588=1,$O1592/$F$1588,1)</f>
        <v/>
      </c>
      <c r="T1592" s="95">
        <f>IF($G1592&lt;nr_MStartP,$S1592,$T1580*(1+IF($G1592&lt;nr_MStartP1,$M$1588,$N$1588)))</f>
        <v/>
      </c>
      <c r="U1592" s="95">
        <f>IF($L$1588,$T1592,$N1592)</f>
        <v/>
      </c>
    </row>
    <row r="1593">
      <c r="A1593" s="90" t="n">
        <v>3</v>
      </c>
      <c r="B1593" s="91">
        <f>EDATE($B1592,1)</f>
        <v/>
      </c>
      <c r="C1593" s="92">
        <f>EOMONTH($B1593,0)</f>
        <v/>
      </c>
      <c r="D1593" s="87">
        <f>$C1593-$B1593+1</f>
        <v/>
      </c>
      <c r="E1593" s="87">
        <f>MONTH($B1593)</f>
        <v/>
      </c>
      <c r="F1593" s="93">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$N1593*IF($O$1588=1,$O1593/$F$1588,1)</f>
        <v/>
      </c>
      <c r="T1593" s="95">
        <f>IF($G1593&lt;nr_MStartP,$S1593,$T1581*(1+IF($G1593&lt;nr_MStartP1,$M$1588,$N$1588)))</f>
        <v/>
      </c>
      <c r="U1593" s="95">
        <f>IF($L$1588,$T1593,$N1593)</f>
        <v/>
      </c>
    </row>
    <row r="1594">
      <c r="A1594" s="90" t="n">
        <v>4</v>
      </c>
      <c r="B1594" s="91">
        <f>EDATE($B1593,1)</f>
        <v/>
      </c>
      <c r="C1594" s="92">
        <f>EOMONTH($B1594,0)</f>
        <v/>
      </c>
      <c r="D1594" s="87">
        <f>$C1594-$B1594+1</f>
        <v/>
      </c>
      <c r="E1594" s="87">
        <f>MONTH($B1594)</f>
        <v/>
      </c>
      <c r="F1594" s="93">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$N1594*IF($O$1588=1,$O1594/$F$1588,1)</f>
        <v/>
      </c>
      <c r="T1594" s="95">
        <f>IF($G1594&lt;nr_MStartP,$S1594,$T1582*(1+IF($G1594&lt;nr_MStartP1,$M$1588,$N$1588)))</f>
        <v/>
      </c>
      <c r="U1594" s="95">
        <f>IF($L$1588,$T1594,$N1594)</f>
        <v/>
      </c>
    </row>
    <row r="1595">
      <c r="A1595" s="90" t="n">
        <v>5</v>
      </c>
      <c r="B1595" s="91">
        <f>EDATE($B1594,1)</f>
        <v/>
      </c>
      <c r="C1595" s="92">
        <f>EOMONTH($B1595,0)</f>
        <v/>
      </c>
      <c r="D1595" s="87">
        <f>$C1595-$B1595+1</f>
        <v/>
      </c>
      <c r="E1595" s="87">
        <f>MONTH($B1595)</f>
        <v/>
      </c>
      <c r="F1595" s="93">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$N1595*IF($O$1588=1,$O1595/$F$1588,1)</f>
        <v/>
      </c>
      <c r="T1595" s="95">
        <f>IF($G1595&lt;nr_MStartP,$S1595,$T1583*(1+IF($G1595&lt;nr_MStartP1,$M$1588,$N$1588)))</f>
        <v/>
      </c>
      <c r="U1595" s="95">
        <f>IF($L$1588,$T1595,$N1595)</f>
        <v/>
      </c>
    </row>
    <row r="1596">
      <c r="A1596" s="90" t="n">
        <v>6</v>
      </c>
      <c r="B1596" s="91">
        <f>EDATE($B1595,1)</f>
        <v/>
      </c>
      <c r="C1596" s="92">
        <f>EOMONTH($B1596,0)</f>
        <v/>
      </c>
      <c r="D1596" s="87">
        <f>$C1596-$B1596+1</f>
        <v/>
      </c>
      <c r="E1596" s="87">
        <f>MONTH($B1596)</f>
        <v/>
      </c>
      <c r="F1596" s="93">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$N1596*IF($O$1588=1,$O1596/$F$1588,1)</f>
        <v/>
      </c>
      <c r="T1596" s="95">
        <f>IF($G1596&lt;nr_MStartP,$S1596,$T1584*(1+IF($G1596&lt;nr_MStartP1,$M$1588,$N$1588)))</f>
        <v/>
      </c>
      <c r="U1596" s="95">
        <f>IF($L$1588,$T1596,$N1596)</f>
        <v/>
      </c>
    </row>
    <row r="1597">
      <c r="A1597" s="90" t="n">
        <v>7</v>
      </c>
      <c r="B1597" s="91">
        <f>EDATE($B1596,1)</f>
        <v/>
      </c>
      <c r="C1597" s="92">
        <f>EOMONTH($B1597,0)</f>
        <v/>
      </c>
      <c r="D1597" s="87">
        <f>$C1597-$B1597+1</f>
        <v/>
      </c>
      <c r="E1597" s="87">
        <f>MONTH($B1597)</f>
        <v/>
      </c>
      <c r="F1597" s="93">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$N1597*IF($O$1588=1,$O1597/$F$1588,1)</f>
        <v/>
      </c>
      <c r="T1597" s="95">
        <f>IF($G1597&lt;nr_MStartP,$S1597,$T1585*(1+IF($G1597&lt;nr_MStartP1,$M$1588,$N$1588)))</f>
        <v/>
      </c>
      <c r="U1597" s="95">
        <f>IF($L$1588,$T1597,$N1597)</f>
        <v/>
      </c>
    </row>
    <row r="1598">
      <c r="A1598" s="90" t="n">
        <v>8</v>
      </c>
      <c r="B1598" s="91">
        <f>EDATE($B1597,1)</f>
        <v/>
      </c>
      <c r="C1598" s="92">
        <f>EOMONTH($B1598,0)</f>
        <v/>
      </c>
      <c r="D1598" s="87">
        <f>$C1598-$B1598+1</f>
        <v/>
      </c>
      <c r="E1598" s="87">
        <f>MONTH($B1598)</f>
        <v/>
      </c>
      <c r="F1598" s="93">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$N1598*IF($O$1588=1,$O1598/$F$1588,1)</f>
        <v/>
      </c>
      <c r="T1598" s="95">
        <f>IF($G1598&lt;nr_MStartP,$S1598,$T1586*(1+IF($G1598&lt;nr_MStartP1,$M$1588,$N$1588)))</f>
        <v/>
      </c>
      <c r="U1598" s="95">
        <f>IF($L$1588,$T1598,$N1598)</f>
        <v/>
      </c>
    </row>
    <row r="1599">
      <c r="A1599" s="90" t="n">
        <v>9</v>
      </c>
      <c r="B1599" s="91">
        <f>EDATE($B1598,1)</f>
        <v/>
      </c>
      <c r="C1599" s="92">
        <f>EOMONTH($B1599,0)</f>
        <v/>
      </c>
      <c r="D1599" s="87">
        <f>$C1599-$B1599+1</f>
        <v/>
      </c>
      <c r="E1599" s="87">
        <f>MONTH($B1599)</f>
        <v/>
      </c>
      <c r="F1599" s="93">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$N1599*IF($O$1588=1,$O1599/$F$1588,1)</f>
        <v/>
      </c>
      <c r="T1599" s="95">
        <f>IF($G1599&lt;nr_MStartP,$S1599,$T1587*(1+IF($G1599&lt;nr_MStartP1,$M$1588,$N$1588)))</f>
        <v/>
      </c>
      <c r="U1599" s="95">
        <f>IF($L$1588,$T1599,$N1599)</f>
        <v/>
      </c>
    </row>
    <row r="1600">
      <c r="A1600" s="90" t="n">
        <v>10</v>
      </c>
      <c r="B1600" s="91">
        <f>EDATE($B1599,1)</f>
        <v/>
      </c>
      <c r="C1600" s="92">
        <f>EOMONTH($B1600,0)</f>
        <v/>
      </c>
      <c r="D1600" s="87">
        <f>$C1600-$B1600+1</f>
        <v/>
      </c>
      <c r="E1600" s="87">
        <f>MONTH($B1600)</f>
        <v/>
      </c>
      <c r="F1600" s="93">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$N1600*IF($O$1588=1,$O1600/$F$1588,1)</f>
        <v/>
      </c>
      <c r="T1600" s="95">
        <f>IF($G1600&lt;nr_MStartP,$S1600,$T1588*(1+IF($G1600&lt;nr_MStartP1,$M$1588,$N$1588)))</f>
        <v/>
      </c>
      <c r="U1600" s="95">
        <f>IF($L$1588,$T1600,$N1600)</f>
        <v/>
      </c>
    </row>
    <row r="1601">
      <c r="A1601" s="90" t="n">
        <v>11</v>
      </c>
      <c r="B1601" s="91">
        <f>EDATE($B1600,1)</f>
        <v/>
      </c>
      <c r="C1601" s="92">
        <f>EOMONTH($B1601,0)</f>
        <v/>
      </c>
      <c r="D1601" s="87">
        <f>$C1601-$B1601+1</f>
        <v/>
      </c>
      <c r="E1601" s="87">
        <f>MONTH($B1601)</f>
        <v/>
      </c>
      <c r="F1601" s="93">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$N1601*IF($O$1588=1,$O1601/$F$1588,1)</f>
        <v/>
      </c>
      <c r="T1601" s="95">
        <f>IF($G1601&lt;nr_MStartP,$S1601,$T1589*(1+IF($G1601&lt;nr_MStartP1,$M$1588,$N$1588)))</f>
        <v/>
      </c>
      <c r="U1601" s="95">
        <f>IF($L$1588,$T1601,$N1601)</f>
        <v/>
      </c>
    </row>
    <row r="1602">
      <c r="A1602" s="90" t="n">
        <v>12</v>
      </c>
      <c r="B1602" s="91">
        <f>EDATE($B1601,1)</f>
        <v/>
      </c>
      <c r="C1602" s="92">
        <f>EOMONTH($B1602,0)</f>
        <v/>
      </c>
      <c r="D1602" s="87">
        <f>$C1602-$B1602+1</f>
        <v/>
      </c>
      <c r="E1602" s="87">
        <f>MONTH($B1602)</f>
        <v/>
      </c>
      <c r="F1602" s="93">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$N1602*IF($O$1588=1,$O1602/$F$1588,1)</f>
        <v/>
      </c>
      <c r="T1602" s="95">
        <f>IF($G1602&lt;nr_MStartP,$S1602,$T1590*(1+IF($G1602&lt;nr_MStartP1,$M$1588,$N$1588)))</f>
        <v/>
      </c>
      <c r="U1602" s="95">
        <f>IF($L$1588,$T1602,$N1602)</f>
        <v/>
      </c>
    </row>
    <row r="1603">
      <c r="A1603" s="90" t="n">
        <v>13</v>
      </c>
      <c r="B1603" s="91">
        <f>EDATE($B1602,1)</f>
        <v/>
      </c>
      <c r="C1603" s="92">
        <f>EOMONTH($B1603,0)</f>
        <v/>
      </c>
      <c r="D1603" s="87">
        <f>$C1603-$B1603+1</f>
        <v/>
      </c>
      <c r="E1603" s="87">
        <f>MONTH($B1603)</f>
        <v/>
      </c>
      <c r="F1603" s="93">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$N1603*IF($O$1588=1,$O1603/$F$1588,1)</f>
        <v/>
      </c>
      <c r="T1603" s="95">
        <f>IF($G1603&lt;nr_MStartP,$S1603,$T1591*(1+IF($G1603&lt;nr_MStartP1,$M$1588,$N$1588)))</f>
        <v/>
      </c>
      <c r="U1603" s="95">
        <f>IF($L$1588,$T1603,$N1603)</f>
        <v/>
      </c>
    </row>
    <row r="1604">
      <c r="A1604" s="90" t="n">
        <v>14</v>
      </c>
      <c r="B1604" s="91">
        <f>EDATE($B1603,1)</f>
        <v/>
      </c>
      <c r="C1604" s="92">
        <f>EOMONTH($B1604,0)</f>
        <v/>
      </c>
      <c r="D1604" s="87">
        <f>$C1604-$B1604+1</f>
        <v/>
      </c>
      <c r="E1604" s="87">
        <f>MONTH($B1604)</f>
        <v/>
      </c>
      <c r="F1604" s="93">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$N1604*IF($O$1588=1,$O1604/$F$1588,1)</f>
        <v/>
      </c>
      <c r="T1604" s="95">
        <f>IF($G1604&lt;nr_MStartP,$S1604,$T1592*(1+IF($G1604&lt;nr_MStartP1,$M$1588,$N$1588)))</f>
        <v/>
      </c>
      <c r="U1604" s="95">
        <f>IF($L$1588,$T1604,$N1604)</f>
        <v/>
      </c>
    </row>
    <row r="1605">
      <c r="A1605" s="90" t="n">
        <v>15</v>
      </c>
      <c r="B1605" s="91">
        <f>EDATE($B1604,1)</f>
        <v/>
      </c>
      <c r="C1605" s="92">
        <f>EOMONTH($B1605,0)</f>
        <v/>
      </c>
      <c r="D1605" s="87">
        <f>$C1605-$B1605+1</f>
        <v/>
      </c>
      <c r="E1605" s="87">
        <f>MONTH($B1605)</f>
        <v/>
      </c>
      <c r="F1605" s="93">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$N1605*IF($O$1588=1,$O1605/$F$1588,1)</f>
        <v/>
      </c>
      <c r="T1605" s="95">
        <f>IF($G1605&lt;nr_MStartP,$S1605,$T1593*(1+IF($G1605&lt;nr_MStartP1,$M$1588,$N$1588)))</f>
        <v/>
      </c>
      <c r="U1605" s="95">
        <f>IF($L$1588,$T1605,$N1605)</f>
        <v/>
      </c>
    </row>
    <row r="1606">
      <c r="A1606" s="90" t="n">
        <v>16</v>
      </c>
      <c r="B1606" s="91">
        <f>EDATE($B1605,1)</f>
        <v/>
      </c>
      <c r="C1606" s="92">
        <f>EOMONTH($B1606,0)</f>
        <v/>
      </c>
      <c r="D1606" s="87">
        <f>$C1606-$B1606+1</f>
        <v/>
      </c>
      <c r="E1606" s="87">
        <f>MONTH($B1606)</f>
        <v/>
      </c>
      <c r="F1606" s="93">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$N1606*IF($O$1588=1,$O1606/$F$1588,1)</f>
        <v/>
      </c>
      <c r="T1606" s="95">
        <f>IF($G1606&lt;nr_MStartP,$S1606,$T1594*(1+IF($G1606&lt;nr_MStartP1,$M$1588,$N$1588)))</f>
        <v/>
      </c>
      <c r="U1606" s="95">
        <f>IF($L$1588,$T1606,$N1606)</f>
        <v/>
      </c>
    </row>
    <row r="1607">
      <c r="A1607" s="90" t="n">
        <v>17</v>
      </c>
      <c r="B1607" s="91">
        <f>EDATE($B1606,1)</f>
        <v/>
      </c>
      <c r="C1607" s="92">
        <f>EOMONTH($B1607,0)</f>
        <v/>
      </c>
      <c r="D1607" s="87">
        <f>$C1607-$B1607+1</f>
        <v/>
      </c>
      <c r="E1607" s="87">
        <f>MONTH($B1607)</f>
        <v/>
      </c>
      <c r="F1607" s="93">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$N1607*IF($O$1588=1,$O1607/$F$1588,1)</f>
        <v/>
      </c>
      <c r="T1607" s="95">
        <f>IF($G1607&lt;nr_MStartP,$S1607,$T1595*(1+IF($G1607&lt;nr_MStartP1,$M$1588,$N$1588)))</f>
        <v/>
      </c>
      <c r="U1607" s="95">
        <f>IF($L$1588,$T1607,$N1607)</f>
        <v/>
      </c>
    </row>
    <row r="1608">
      <c r="A1608" s="90" t="n">
        <v>18</v>
      </c>
      <c r="B1608" s="91">
        <f>EDATE($B1607,1)</f>
        <v/>
      </c>
      <c r="C1608" s="92">
        <f>EOMONTH($B1608,0)</f>
        <v/>
      </c>
      <c r="D1608" s="87">
        <f>$C1608-$B1608+1</f>
        <v/>
      </c>
      <c r="E1608" s="87">
        <f>MONTH($B1608)</f>
        <v/>
      </c>
      <c r="F1608" s="93">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$N1608*IF($O$1588=1,$O1608/$F$1588,1)</f>
        <v/>
      </c>
      <c r="T1608" s="95">
        <f>IF($G1608&lt;nr_MStartP,$S1608,$T1596*(1+IF($G1608&lt;nr_MStartP1,$M$1588,$N$1588)))</f>
        <v/>
      </c>
      <c r="U1608" s="95">
        <f>IF($L$1588,$T1608,$N1608)</f>
        <v/>
      </c>
    </row>
    <row r="1609">
      <c r="A1609" s="90" t="n">
        <v>19</v>
      </c>
      <c r="B1609" s="91">
        <f>EDATE($B1608,1)</f>
        <v/>
      </c>
      <c r="C1609" s="92">
        <f>EOMONTH($B1609,0)</f>
        <v/>
      </c>
      <c r="D1609" s="87">
        <f>$C1609-$B1609+1</f>
        <v/>
      </c>
      <c r="E1609" s="87">
        <f>MONTH($B1609)</f>
        <v/>
      </c>
      <c r="F1609" s="93">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$N1609*IF($O$1588=1,$O1609/$F$1588,1)</f>
        <v/>
      </c>
      <c r="T1609" s="95">
        <f>IF($G1609&lt;nr_MStartP,$S1609,$T1597*(1+IF($G1609&lt;nr_MStartP1,$M$1588,$N$1588)))</f>
        <v/>
      </c>
      <c r="U1609" s="95">
        <f>IF($L$1588,$T1609,$N1609)</f>
        <v/>
      </c>
    </row>
    <row r="1610">
      <c r="A1610" s="90" t="n">
        <v>20</v>
      </c>
      <c r="B1610" s="91">
        <f>EDATE($B1609,1)</f>
        <v/>
      </c>
      <c r="C1610" s="92">
        <f>EOMONTH($B1610,0)</f>
        <v/>
      </c>
      <c r="D1610" s="87">
        <f>$C1610-$B1610+1</f>
        <v/>
      </c>
      <c r="E1610" s="87">
        <f>MONTH($B1610)</f>
        <v/>
      </c>
      <c r="F1610" s="93">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$N1610*IF($O$1588=1,$O1610/$F$1588,1)</f>
        <v/>
      </c>
      <c r="T1610" s="95">
        <f>IF($G1610&lt;nr_MStartP,$S1610,$T1598*(1+IF($G1610&lt;nr_MStartP1,$M$1588,$N$1588)))</f>
        <v/>
      </c>
      <c r="U1610" s="95">
        <f>IF($L$1588,$T1610,$N1610)</f>
        <v/>
      </c>
    </row>
    <row r="1611">
      <c r="A1611" s="90" t="n">
        <v>21</v>
      </c>
      <c r="B1611" s="91">
        <f>EDATE($B1610,1)</f>
        <v/>
      </c>
      <c r="C1611" s="92">
        <f>EOMONTH($B1611,0)</f>
        <v/>
      </c>
      <c r="D1611" s="87">
        <f>$C1611-$B1611+1</f>
        <v/>
      </c>
      <c r="E1611" s="87">
        <f>MONTH($B1611)</f>
        <v/>
      </c>
      <c r="F1611" s="93">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$N1611*IF($O$1588=1,$O1611/$F$1588,1)</f>
        <v/>
      </c>
      <c r="T1611" s="95">
        <f>IF($G1611&lt;nr_MStartP,$S1611,$T1599*(1+IF($G1611&lt;nr_MStartP1,$M$1588,$N$1588)))</f>
        <v/>
      </c>
      <c r="U1611" s="95">
        <f>IF($L$1588,$T1611,$N1611)</f>
        <v/>
      </c>
    </row>
    <row r="1612">
      <c r="A1612" s="90" t="n">
        <v>22</v>
      </c>
      <c r="B1612" s="91">
        <f>EDATE($B1611,1)</f>
        <v/>
      </c>
      <c r="C1612" s="92">
        <f>EOMONTH($B1612,0)</f>
        <v/>
      </c>
      <c r="D1612" s="87">
        <f>$C1612-$B1612+1</f>
        <v/>
      </c>
      <c r="E1612" s="87">
        <f>MONTH($B1612)</f>
        <v/>
      </c>
      <c r="F1612" s="93">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$N1612*IF($O$1588=1,$O1612/$F$1588,1)</f>
        <v/>
      </c>
      <c r="T1612" s="95">
        <f>IF($G1612&lt;nr_MStartP,$S1612,$T1600*(1+IF($G1612&lt;nr_MStartP1,$M$1588,$N$1588)))</f>
        <v/>
      </c>
      <c r="U1612" s="95">
        <f>IF($L$1588,$T1612,$N1612)</f>
        <v/>
      </c>
    </row>
    <row r="1613">
      <c r="A1613" s="90" t="n">
        <v>23</v>
      </c>
      <c r="B1613" s="91">
        <f>EDATE($B1612,1)</f>
        <v/>
      </c>
      <c r="C1613" s="92">
        <f>EOMONTH($B1613,0)</f>
        <v/>
      </c>
      <c r="D1613" s="87">
        <f>$C1613-$B1613+1</f>
        <v/>
      </c>
      <c r="E1613" s="87">
        <f>MONTH($B1613)</f>
        <v/>
      </c>
      <c r="F1613" s="93">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$N1613*IF($O$1588=1,$O1613/$F$1588,1)</f>
        <v/>
      </c>
      <c r="T1613" s="95">
        <f>IF($G1613&lt;nr_MStartP,$S1613,$T1601*(1+IF($G1613&lt;nr_MStartP1,$M$1588,$N$1588)))</f>
        <v/>
      </c>
      <c r="U1613" s="95">
        <f>IF($L$1588,$T1613,$N1613)</f>
        <v/>
      </c>
    </row>
    <row r="1614">
      <c r="A1614" s="90" t="n">
        <v>24</v>
      </c>
      <c r="B1614" s="91">
        <f>EDATE($B1613,1)</f>
        <v/>
      </c>
      <c r="C1614" s="92">
        <f>EOMONTH($B1614,0)</f>
        <v/>
      </c>
      <c r="D1614" s="87">
        <f>$C1614-$B1614+1</f>
        <v/>
      </c>
      <c r="E1614" s="87">
        <f>MONTH($B1614)</f>
        <v/>
      </c>
      <c r="F1614" s="93">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$N1614*IF($O$1588=1,$O1614/$F$1588,1)</f>
        <v/>
      </c>
      <c r="T1614" s="95">
        <f>IF($G1614&lt;nr_MStartP,$S1614,$T1602*(1+IF($G1614&lt;nr_MStartP1,$M$1588,$N$1588)))</f>
        <v/>
      </c>
      <c r="U1614" s="95">
        <f>IF($L$1588,$T1614,$N1614)</f>
        <v/>
      </c>
    </row>
    <row r="1615">
      <c r="A1615" s="90" t="n">
        <v>25</v>
      </c>
      <c r="B1615" s="91">
        <f>EDATE($B1614,1)</f>
        <v/>
      </c>
      <c r="C1615" s="92">
        <f>EOMONTH($B1615,0)</f>
        <v/>
      </c>
      <c r="D1615" s="87">
        <f>$C1615-$B1615+1</f>
        <v/>
      </c>
      <c r="E1615" s="87">
        <f>MONTH($B1615)</f>
        <v/>
      </c>
      <c r="F1615" s="93">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$N1615*IF($O$1588=1,$O1615/$F$1588,1)</f>
        <v/>
      </c>
      <c r="T1615" s="95">
        <f>IF($G1615&lt;nr_MStartP,$S1615,$T1603*(1+IF($G1615&lt;nr_MStartP1,$M$1588,$N$1588)))</f>
        <v/>
      </c>
      <c r="U1615" s="95">
        <f>IF($L$1588,$T1615,$N1615)</f>
        <v/>
      </c>
    </row>
    <row r="1616">
      <c r="A1616" s="90" t="n">
        <v>26</v>
      </c>
      <c r="B1616" s="91">
        <f>EDATE($B1615,1)</f>
        <v/>
      </c>
      <c r="C1616" s="92">
        <f>EOMONTH($B1616,0)</f>
        <v/>
      </c>
      <c r="D1616" s="87">
        <f>$C1616-$B1616+1</f>
        <v/>
      </c>
      <c r="E1616" s="87">
        <f>MONTH($B1616)</f>
        <v/>
      </c>
      <c r="F1616" s="93">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$N1616*IF($O$1588=1,$O1616/$F$1588,1)</f>
        <v/>
      </c>
      <c r="T1616" s="95">
        <f>IF($G1616&lt;nr_MStartP,$S1616,$T1604*(1+IF($G1616&lt;nr_MStartP1,$M$1588,$N$1588)))</f>
        <v/>
      </c>
      <c r="U1616" s="95">
        <f>IF($L$1588,$T1616,$N1616)</f>
        <v/>
      </c>
    </row>
    <row r="1617">
      <c r="A1617" s="90" t="n">
        <v>27</v>
      </c>
      <c r="B1617" s="91">
        <f>EDATE($B1616,1)</f>
        <v/>
      </c>
      <c r="C1617" s="92">
        <f>EOMONTH($B1617,0)</f>
        <v/>
      </c>
      <c r="D1617" s="87">
        <f>$C1617-$B1617+1</f>
        <v/>
      </c>
      <c r="E1617" s="87">
        <f>MONTH($B1617)</f>
        <v/>
      </c>
      <c r="F1617" s="93">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$N1617*IF($O$1588=1,$O1617/$F$1588,1)</f>
        <v/>
      </c>
      <c r="T1617" s="95">
        <f>IF($G1617&lt;nr_MStartP,$S1617,$T1605*(1+IF($G1617&lt;nr_MStartP1,$M$1588,$N$1588)))</f>
        <v/>
      </c>
      <c r="U1617" s="95">
        <f>IF($L$1588,$T1617,$N1617)</f>
        <v/>
      </c>
    </row>
    <row r="1618">
      <c r="A1618" s="90" t="n">
        <v>28</v>
      </c>
      <c r="B1618" s="91">
        <f>EDATE($B1617,1)</f>
        <v/>
      </c>
      <c r="C1618" s="92">
        <f>EOMONTH($B1618,0)</f>
        <v/>
      </c>
      <c r="D1618" s="87">
        <f>$C1618-$B1618+1</f>
        <v/>
      </c>
      <c r="E1618" s="87">
        <f>MONTH($B1618)</f>
        <v/>
      </c>
      <c r="F1618" s="93">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$N1618*IF($O$1588=1,$O1618/$F$1588,1)</f>
        <v/>
      </c>
      <c r="T1618" s="95">
        <f>IF($G1618&lt;nr_MStartP,$S1618,$T1606*(1+IF($G1618&lt;nr_MStartP1,$M$1588,$N$1588)))</f>
        <v/>
      </c>
      <c r="U1618" s="95">
        <f>IF($L$1588,$T1618,$N1618)</f>
        <v/>
      </c>
    </row>
    <row r="1619">
      <c r="A1619" s="90" t="n">
        <v>29</v>
      </c>
      <c r="B1619" s="91">
        <f>EDATE($B1618,1)</f>
        <v/>
      </c>
      <c r="C1619" s="92">
        <f>EOMONTH($B1619,0)</f>
        <v/>
      </c>
      <c r="D1619" s="87">
        <f>$C1619-$B1619+1</f>
        <v/>
      </c>
      <c r="E1619" s="87">
        <f>MONTH($B1619)</f>
        <v/>
      </c>
      <c r="F1619" s="93">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$N1619*IF($O$1588=1,$O1619/$F$1588,1)</f>
        <v/>
      </c>
      <c r="T1619" s="95">
        <f>IF($G1619&lt;nr_MStartP,$S1619,$T1607*(1+IF($G1619&lt;nr_MStartP1,$M$1588,$N$1588)))</f>
        <v/>
      </c>
      <c r="U1619" s="95">
        <f>IF($L$1588,$T1619,$N1619)</f>
        <v/>
      </c>
    </row>
    <row r="1620">
      <c r="A1620" s="90" t="n">
        <v>30</v>
      </c>
      <c r="B1620" s="91">
        <f>EDATE($B1619,1)</f>
        <v/>
      </c>
      <c r="C1620" s="92">
        <f>EOMONTH($B1620,0)</f>
        <v/>
      </c>
      <c r="D1620" s="87">
        <f>$C1620-$B1620+1</f>
        <v/>
      </c>
      <c r="E1620" s="87">
        <f>MONTH($B1620)</f>
        <v/>
      </c>
      <c r="F1620" s="93">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$N1620*IF($O$1588=1,$O1620/$F$1588,1)</f>
        <v/>
      </c>
      <c r="T1620" s="95">
        <f>IF($G1620&lt;nr_MStartP,$S1620,$T1608*(1+IF($G1620&lt;nr_MStartP1,$M$1588,$N$1588)))</f>
        <v/>
      </c>
      <c r="U1620" s="95">
        <f>IF($L$1588,$T1620,$N1620)</f>
        <v/>
      </c>
    </row>
    <row r="1621">
      <c r="A1621" s="90" t="n">
        <v>31</v>
      </c>
      <c r="B1621" s="91">
        <f>EDATE($B1620,1)</f>
        <v/>
      </c>
      <c r="C1621" s="92">
        <f>EOMONTH($B1621,0)</f>
        <v/>
      </c>
      <c r="D1621" s="87">
        <f>$C1621-$B1621+1</f>
        <v/>
      </c>
      <c r="E1621" s="87">
        <f>MONTH($B1621)</f>
        <v/>
      </c>
      <c r="F1621" s="93">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$N1621*IF($O$1588=1,$O1621/$F$1588,1)</f>
        <v/>
      </c>
      <c r="T1621" s="95">
        <f>IF($G1621&lt;nr_MStartP,$S1621,$T1609*(1+IF($G1621&lt;nr_MStartP1,$M$1588,$N$1588)))</f>
        <v/>
      </c>
      <c r="U1621" s="95">
        <f>IF($L$1588,$T1621,$N1621)</f>
        <v/>
      </c>
    </row>
    <row r="1622">
      <c r="A1622" s="90" t="n">
        <v>32</v>
      </c>
      <c r="B1622" s="91">
        <f>EDATE($B1621,1)</f>
        <v/>
      </c>
      <c r="C1622" s="92">
        <f>EOMONTH($B1622,0)</f>
        <v/>
      </c>
      <c r="D1622" s="87">
        <f>$C1622-$B1622+1</f>
        <v/>
      </c>
      <c r="E1622" s="87">
        <f>MONTH($B1622)</f>
        <v/>
      </c>
      <c r="F1622" s="93">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$N1622*IF($O$1588=1,$O1622/$F$1588,1)</f>
        <v/>
      </c>
      <c r="T1622" s="95">
        <f>IF($G1622&lt;nr_MStartP,$S1622,$T1610*(1+IF($G1622&lt;nr_MStartP1,$M$1588,$N$1588)))</f>
        <v/>
      </c>
      <c r="U1622" s="95">
        <f>IF($L$1588,$T1622,$N1622)</f>
        <v/>
      </c>
    </row>
    <row r="1623">
      <c r="A1623" s="90" t="n">
        <v>33</v>
      </c>
      <c r="B1623" s="91">
        <f>EDATE($B1622,1)</f>
        <v/>
      </c>
      <c r="C1623" s="92">
        <f>EOMONTH($B1623,0)</f>
        <v/>
      </c>
      <c r="D1623" s="87">
        <f>$C1623-$B1623+1</f>
        <v/>
      </c>
      <c r="E1623" s="87">
        <f>MONTH($B1623)</f>
        <v/>
      </c>
      <c r="F1623" s="93">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$N1623*IF($O$1588=1,$O1623/$F$1588,1)</f>
        <v/>
      </c>
      <c r="T1623" s="95">
        <f>IF($G1623&lt;nr_MStartP,$S1623,$T1611*(1+IF($G1623&lt;nr_MStartP1,$M$1588,$N$1588)))</f>
        <v/>
      </c>
      <c r="U1623" s="95">
        <f>IF($L$1588,$T1623,$N1623)</f>
        <v/>
      </c>
    </row>
    <row r="1624">
      <c r="A1624" s="90" t="n">
        <v>34</v>
      </c>
      <c r="B1624" s="91">
        <f>EDATE($B1623,1)</f>
        <v/>
      </c>
      <c r="C1624" s="92">
        <f>EOMONTH($B1624,0)</f>
        <v/>
      </c>
      <c r="D1624" s="87">
        <f>$C1624-$B1624+1</f>
        <v/>
      </c>
      <c r="E1624" s="87">
        <f>MONTH($B1624)</f>
        <v/>
      </c>
      <c r="F1624" s="93">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$N1624*IF($O$1588=1,$O1624/$F$1588,1)</f>
        <v/>
      </c>
      <c r="T1624" s="95">
        <f>IF($G1624&lt;nr_MStartP,$S1624,$T1612*(1+IF($G1624&lt;nr_MStartP1,$M$1588,$N$1588)))</f>
        <v/>
      </c>
      <c r="U1624" s="95">
        <f>IF($L$1588,$T1624,$N1624)</f>
        <v/>
      </c>
    </row>
    <row r="1625">
      <c r="A1625" s="90" t="n">
        <v>35</v>
      </c>
      <c r="B1625" s="91">
        <f>EDATE($B1624,1)</f>
        <v/>
      </c>
      <c r="C1625" s="92">
        <f>EOMONTH($B1625,0)</f>
        <v/>
      </c>
      <c r="D1625" s="87">
        <f>$C1625-$B1625+1</f>
        <v/>
      </c>
      <c r="E1625" s="87">
        <f>MONTH($B1625)</f>
        <v/>
      </c>
      <c r="F1625" s="93">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$N1625*IF($O$1588=1,$O1625/$F$1588,1)</f>
        <v/>
      </c>
      <c r="T1625" s="95">
        <f>IF($G1625&lt;nr_MStartP,$S1625,$T1613*(1+IF($G1625&lt;nr_MStartP1,$M$1588,$N$1588)))</f>
        <v/>
      </c>
      <c r="U1625" s="95">
        <f>IF($L$1588,$T1625,$N1625)</f>
        <v/>
      </c>
    </row>
    <row r="1626">
      <c r="A1626" s="90" t="n">
        <v>36</v>
      </c>
      <c r="B1626" s="91">
        <f>EDATE($B1625,1)</f>
        <v/>
      </c>
      <c r="C1626" s="92">
        <f>EOMONTH($B1626,0)</f>
        <v/>
      </c>
      <c r="D1626" s="87">
        <f>$C1626-$B1626+1</f>
        <v/>
      </c>
      <c r="E1626" s="87">
        <f>MONTH($B1626)</f>
        <v/>
      </c>
      <c r="F1626" s="93">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$N1626*IF($O$1588=1,$O1626/$F$1588,1)</f>
        <v/>
      </c>
      <c r="T1626" s="95">
        <f>IF($G1626&lt;nr_MStartP,$S1626,$T1614*(1+IF($G1626&lt;nr_MStartP1,$M$1588,$N$1588)))</f>
        <v/>
      </c>
      <c r="U1626" s="95">
        <f>IF($L$1588,$T1626,$N1626)</f>
        <v/>
      </c>
    </row>
    <row r="1627">
      <c r="A1627" s="90" t="n">
        <v>37</v>
      </c>
      <c r="B1627" s="91">
        <f>EDATE($B1626,1)</f>
        <v/>
      </c>
      <c r="C1627" s="92">
        <f>EOMONTH($B1627,0)</f>
        <v/>
      </c>
      <c r="D1627" s="87">
        <f>$C1627-$B1627+1</f>
        <v/>
      </c>
      <c r="E1627" s="87">
        <f>MONTH($B1627)</f>
        <v/>
      </c>
      <c r="F1627" s="93">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$N1627*IF($O$1588=1,$O1627/$F$1588,1)</f>
        <v/>
      </c>
      <c r="T1627" s="95">
        <f>IF($G1627&lt;nr_MStartP,$S1627,$T1615*(1+IF($G1627&lt;nr_MStartP1,$M$1588,$N$1588)))</f>
        <v/>
      </c>
      <c r="U1627" s="95">
        <f>IF($L$1588,$T1627,$N1627)</f>
        <v/>
      </c>
    </row>
    <row r="1628">
      <c r="A1628" s="90" t="n">
        <v>38</v>
      </c>
      <c r="B1628" s="91">
        <f>EDATE($B1627,1)</f>
        <v/>
      </c>
      <c r="C1628" s="92">
        <f>EOMONTH($B1628,0)</f>
        <v/>
      </c>
      <c r="D1628" s="87">
        <f>$C1628-$B1628+1</f>
        <v/>
      </c>
      <c r="E1628" s="87">
        <f>MONTH($B1628)</f>
        <v/>
      </c>
      <c r="F1628" s="93">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$N1628*IF($O$1588=1,$O1628/$F$1588,1)</f>
        <v/>
      </c>
      <c r="T1628" s="95">
        <f>IF($G1628&lt;nr_MStartP,$S1628,$T1616*(1+IF($G1628&lt;nr_MStartP1,$M$1588,$N$1588)))</f>
        <v/>
      </c>
      <c r="U1628" s="95">
        <f>IF($L$1588,$T1628,$N1628)</f>
        <v/>
      </c>
    </row>
    <row r="1629">
      <c r="A1629" s="90" t="n">
        <v>39</v>
      </c>
      <c r="B1629" s="91">
        <f>EDATE($B1628,1)</f>
        <v/>
      </c>
      <c r="C1629" s="92">
        <f>EOMONTH($B1629,0)</f>
        <v/>
      </c>
      <c r="D1629" s="87">
        <f>$C1629-$B1629+1</f>
        <v/>
      </c>
      <c r="E1629" s="87">
        <f>MONTH($B1629)</f>
        <v/>
      </c>
      <c r="F1629" s="93">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$N1629*IF($O$1588=1,$O1629/$F$1588,1)</f>
        <v/>
      </c>
      <c r="T1629" s="95">
        <f>IF($G1629&lt;nr_MStartP,$S1629,$T1617*(1+IF($G1629&lt;nr_MStartP1,$M$1588,$N$1588)))</f>
        <v/>
      </c>
      <c r="U1629" s="95">
        <f>IF($L$1588,$T1629,$N1629)</f>
        <v/>
      </c>
    </row>
    <row r="1630">
      <c r="A1630" s="90" t="n">
        <v>40</v>
      </c>
      <c r="B1630" s="91">
        <f>EDATE($B1629,1)</f>
        <v/>
      </c>
      <c r="C1630" s="92">
        <f>EOMONTH($B1630,0)</f>
        <v/>
      </c>
      <c r="D1630" s="87">
        <f>$C1630-$B1630+1</f>
        <v/>
      </c>
      <c r="E1630" s="87">
        <f>MONTH($B1630)</f>
        <v/>
      </c>
      <c r="F1630" s="93">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$N1630*IF($O$1588=1,$O1630/$F$1588,1)</f>
        <v/>
      </c>
      <c r="T1630" s="95">
        <f>IF($G1630&lt;nr_MStartP,$S1630,$T1618*(1+IF($G1630&lt;nr_MStartP1,$M$1588,$N$1588)))</f>
        <v/>
      </c>
      <c r="U1630" s="95">
        <f>IF($L$1588,$T1630,$N1630)</f>
        <v/>
      </c>
    </row>
    <row r="1631">
      <c r="A1631" s="90" t="n">
        <v>41</v>
      </c>
      <c r="B1631" s="91">
        <f>EDATE($B1630,1)</f>
        <v/>
      </c>
      <c r="C1631" s="92">
        <f>EOMONTH($B1631,0)</f>
        <v/>
      </c>
      <c r="D1631" s="87">
        <f>$C1631-$B1631+1</f>
        <v/>
      </c>
      <c r="E1631" s="87">
        <f>MONTH($B1631)</f>
        <v/>
      </c>
      <c r="F1631" s="93">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$N1631*IF($O$1588=1,$O1631/$F$1588,1)</f>
        <v/>
      </c>
      <c r="T1631" s="95">
        <f>IF($G1631&lt;nr_MStartP,$S1631,$T1619*(1+IF($G1631&lt;nr_MStartP1,$M$1588,$N$1588)))</f>
        <v/>
      </c>
      <c r="U1631" s="95">
        <f>IF($L$1588,$T1631,$N1631)</f>
        <v/>
      </c>
    </row>
    <row r="1632">
      <c r="A1632" s="90" t="n">
        <v>42</v>
      </c>
      <c r="B1632" s="91">
        <f>EDATE($B1631,1)</f>
        <v/>
      </c>
      <c r="C1632" s="92">
        <f>EOMONTH($B1632,0)</f>
        <v/>
      </c>
      <c r="D1632" s="87">
        <f>$C1632-$B1632+1</f>
        <v/>
      </c>
      <c r="E1632" s="87">
        <f>MONTH($B1632)</f>
        <v/>
      </c>
      <c r="F1632" s="93">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$N1632*IF($O$1588=1,$O1632/$F$1588,1)</f>
        <v/>
      </c>
      <c r="T1632" s="95">
        <f>IF($G1632&lt;nr_MStartP,$S1632,$T1620*(1+IF($G1632&lt;nr_MStartP1,$M$1588,$N$1588)))</f>
        <v/>
      </c>
      <c r="U1632" s="95">
        <f>IF($L$1588,$T1632,$N1632)</f>
        <v/>
      </c>
    </row>
    <row r="1633">
      <c r="A1633" s="90" t="n">
        <v>43</v>
      </c>
      <c r="B1633" s="91">
        <f>EDATE($B1632,1)</f>
        <v/>
      </c>
      <c r="C1633" s="92">
        <f>EOMONTH($B1633,0)</f>
        <v/>
      </c>
      <c r="D1633" s="87">
        <f>$C1633-$B1633+1</f>
        <v/>
      </c>
      <c r="E1633" s="87">
        <f>MONTH($B1633)</f>
        <v/>
      </c>
      <c r="F1633" s="93">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$N1633*IF($O$1588=1,$O1633/$F$1588,1)</f>
        <v/>
      </c>
      <c r="T1633" s="95">
        <f>IF($G1633&lt;nr_MStartP,$S1633,$T1621*(1+IF($G1633&lt;nr_MStartP1,$M$1588,$N$1588)))</f>
        <v/>
      </c>
      <c r="U1633" s="95">
        <f>IF($L$1588,$T1633,$N1633)</f>
        <v/>
      </c>
    </row>
    <row r="1634">
      <c r="A1634" s="90" t="n">
        <v>44</v>
      </c>
      <c r="B1634" s="91">
        <f>EDATE($B1633,1)</f>
        <v/>
      </c>
      <c r="C1634" s="92">
        <f>EOMONTH($B1634,0)</f>
        <v/>
      </c>
      <c r="D1634" s="87">
        <f>$C1634-$B1634+1</f>
        <v/>
      </c>
      <c r="E1634" s="87">
        <f>MONTH($B1634)</f>
        <v/>
      </c>
      <c r="F1634" s="93">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$N1634*IF($O$1588=1,$O1634/$F$1588,1)</f>
        <v/>
      </c>
      <c r="T1634" s="95">
        <f>IF($G1634&lt;nr_MStartP,$S1634,$T1622*(1+IF($G1634&lt;nr_MStartP1,$M$1588,$N$1588)))</f>
        <v/>
      </c>
      <c r="U1634" s="95">
        <f>IF($L$1588,$T1634,$N1634)</f>
        <v/>
      </c>
    </row>
    <row r="1635">
      <c r="A1635" s="90" t="n">
        <v>45</v>
      </c>
      <c r="B1635" s="91">
        <f>EDATE($B1634,1)</f>
        <v/>
      </c>
      <c r="C1635" s="92">
        <f>EOMONTH($B1635,0)</f>
        <v/>
      </c>
      <c r="D1635" s="87">
        <f>$C1635-$B1635+1</f>
        <v/>
      </c>
      <c r="E1635" s="87">
        <f>MONTH($B1635)</f>
        <v/>
      </c>
      <c r="F1635" s="93">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$N1635*IF($O$1588=1,$O1635/$F$1588,1)</f>
        <v/>
      </c>
      <c r="T1635" s="95">
        <f>IF($G1635&lt;nr_MStartP,$S1635,$T1623*(1+IF($G1635&lt;nr_MStartP1,$M$1588,$N$1588)))</f>
        <v/>
      </c>
      <c r="U1635" s="95">
        <f>IF($L$1588,$T1635,$N1635)</f>
        <v/>
      </c>
    </row>
    <row r="1636">
      <c r="A1636" s="90" t="n">
        <v>46</v>
      </c>
      <c r="B1636" s="91">
        <f>EDATE($B1635,1)</f>
        <v/>
      </c>
      <c r="C1636" s="92">
        <f>EOMONTH($B1636,0)</f>
        <v/>
      </c>
      <c r="D1636" s="87">
        <f>$C1636-$B1636+1</f>
        <v/>
      </c>
      <c r="E1636" s="87">
        <f>MONTH($B1636)</f>
        <v/>
      </c>
      <c r="F1636" s="93">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$N1636*IF($O$1588=1,$O1636/$F$1588,1)</f>
        <v/>
      </c>
      <c r="T1636" s="95">
        <f>IF($G1636&lt;nr_MStartP,$S1636,$T1624*(1+IF($G1636&lt;nr_MStartP1,$M$1588,$N$1588)))</f>
        <v/>
      </c>
      <c r="U1636" s="95">
        <f>IF($L$1588,$T1636,$N1636)</f>
        <v/>
      </c>
    </row>
    <row r="1637">
      <c r="A1637" s="90" t="n">
        <v>47</v>
      </c>
      <c r="B1637" s="91">
        <f>EDATE($B1636,1)</f>
        <v/>
      </c>
      <c r="C1637" s="92">
        <f>EOMONTH($B1637,0)</f>
        <v/>
      </c>
      <c r="D1637" s="87">
        <f>$C1637-$B1637+1</f>
        <v/>
      </c>
      <c r="E1637" s="87">
        <f>MONTH($B1637)</f>
        <v/>
      </c>
      <c r="F1637" s="93">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$N1637*IF($O$1588=1,$O1637/$F$1588,1)</f>
        <v/>
      </c>
      <c r="T1637" s="95">
        <f>IF($G1637&lt;nr_MStartP,$S1637,$T1625*(1+IF($G1637&lt;nr_MStartP1,$M$1588,$N$1588)))</f>
        <v/>
      </c>
      <c r="U1637" s="95">
        <f>IF($L$1588,$T1637,$N1637)</f>
        <v/>
      </c>
    </row>
    <row r="1638">
      <c r="A1638" s="90" t="n">
        <v>48</v>
      </c>
      <c r="B1638" s="91">
        <f>EDATE($B1637,1)</f>
        <v/>
      </c>
      <c r="C1638" s="92">
        <f>EOMONTH($B1638,0)</f>
        <v/>
      </c>
      <c r="D1638" s="87">
        <f>$C1638-$B1638+1</f>
        <v/>
      </c>
      <c r="E1638" s="87">
        <f>MONTH($B1638)</f>
        <v/>
      </c>
      <c r="F1638" s="93">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$N1638*IF($O$1588=1,$O1638/$F$1588,1)</f>
        <v/>
      </c>
      <c r="T1638" s="95">
        <f>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04">
        <f>SUMPRODUCT($H$1591:$H$1638,$Q$1591:$Q$1638,$O$1591:$O$1638)/SUMPRODUCT($H$1591:$H$1638,$Q$1591:$Q$1638)</f>
        <v/>
      </c>
      <c r="G1639" s="20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04">
        <f>IF(N(INDEX(lr_mind,30))=0,1,INDEX(lr_mind,30))</f>
        <v/>
      </c>
      <c r="G1642" s="204">
        <f>IF(N(INDEX(lr_m0,30))=0,1,INDEX(lr_m0,30))</f>
        <v/>
      </c>
      <c r="H1642" s="73">
        <f>IF(N(INDEX(lr_m0asof,30))=0,DATE(nr_PlanYear-1,10,1),INDEX(lr_m0asof,30))</f>
        <v/>
      </c>
      <c r="I1642" s="204">
        <f>IF(N(INDEX(lr_m1,30))=0,1,INDEX(lr_m1,30))</f>
        <v/>
      </c>
      <c r="J1642" s="204">
        <f>INDEX(lr_mprior,30)</f>
        <v/>
      </c>
      <c r="K1642" s="20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93">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$N1645*IF($O$1642=1,$O1645/$F$1642,1)</f>
        <v/>
      </c>
      <c r="T1645" s="95">
        <f>IF($G1645&lt;nr_MStartP,$S1645,$T1633*(1+IF($G1645&lt;nr_MStartP1,$M$1642,$N$1642)))</f>
        <v/>
      </c>
      <c r="U1645" s="95">
        <f>IF($L$1642,$T1645,$N1645)</f>
        <v/>
      </c>
    </row>
    <row r="1646">
      <c r="A1646" s="90" t="n">
        <v>2</v>
      </c>
      <c r="B1646" s="91">
        <f>EDATE($B1645,1)</f>
        <v/>
      </c>
      <c r="C1646" s="92">
        <f>EOMONTH($B1646,0)</f>
        <v/>
      </c>
      <c r="D1646" s="87">
        <f>$C1646-$B1646+1</f>
        <v/>
      </c>
      <c r="E1646" s="87">
        <f>MONTH($B1646)</f>
        <v/>
      </c>
      <c r="F1646" s="93">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$N1646*IF($O$1642=1,$O1646/$F$1642,1)</f>
        <v/>
      </c>
      <c r="T1646" s="95">
        <f>IF($G1646&lt;nr_MStartP,$S1646,$T1634*(1+IF($G1646&lt;nr_MStartP1,$M$1642,$N$1642)))</f>
        <v/>
      </c>
      <c r="U1646" s="95">
        <f>IF($L$1642,$T1646,$N1646)</f>
        <v/>
      </c>
    </row>
    <row r="1647">
      <c r="A1647" s="90" t="n">
        <v>3</v>
      </c>
      <c r="B1647" s="91">
        <f>EDATE($B1646,1)</f>
        <v/>
      </c>
      <c r="C1647" s="92">
        <f>EOMONTH($B1647,0)</f>
        <v/>
      </c>
      <c r="D1647" s="87">
        <f>$C1647-$B1647+1</f>
        <v/>
      </c>
      <c r="E1647" s="87">
        <f>MONTH($B1647)</f>
        <v/>
      </c>
      <c r="F1647" s="93">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$N1647*IF($O$1642=1,$O1647/$F$1642,1)</f>
        <v/>
      </c>
      <c r="T1647" s="95">
        <f>IF($G1647&lt;nr_MStartP,$S1647,$T1635*(1+IF($G1647&lt;nr_MStartP1,$M$1642,$N$1642)))</f>
        <v/>
      </c>
      <c r="U1647" s="95">
        <f>IF($L$1642,$T1647,$N1647)</f>
        <v/>
      </c>
    </row>
    <row r="1648">
      <c r="A1648" s="90" t="n">
        <v>4</v>
      </c>
      <c r="B1648" s="91">
        <f>EDATE($B1647,1)</f>
        <v/>
      </c>
      <c r="C1648" s="92">
        <f>EOMONTH($B1648,0)</f>
        <v/>
      </c>
      <c r="D1648" s="87">
        <f>$C1648-$B1648+1</f>
        <v/>
      </c>
      <c r="E1648" s="87">
        <f>MONTH($B1648)</f>
        <v/>
      </c>
      <c r="F1648" s="93">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$N1648*IF($O$1642=1,$O1648/$F$1642,1)</f>
        <v/>
      </c>
      <c r="T1648" s="95">
        <f>IF($G1648&lt;nr_MStartP,$S1648,$T1636*(1+IF($G1648&lt;nr_MStartP1,$M$1642,$N$1642)))</f>
        <v/>
      </c>
      <c r="U1648" s="95">
        <f>IF($L$1642,$T1648,$N1648)</f>
        <v/>
      </c>
    </row>
    <row r="1649">
      <c r="A1649" s="90" t="n">
        <v>5</v>
      </c>
      <c r="B1649" s="91">
        <f>EDATE($B1648,1)</f>
        <v/>
      </c>
      <c r="C1649" s="92">
        <f>EOMONTH($B1649,0)</f>
        <v/>
      </c>
      <c r="D1649" s="87">
        <f>$C1649-$B1649+1</f>
        <v/>
      </c>
      <c r="E1649" s="87">
        <f>MONTH($B1649)</f>
        <v/>
      </c>
      <c r="F1649" s="93">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$N1649*IF($O$1642=1,$O1649/$F$1642,1)</f>
        <v/>
      </c>
      <c r="T1649" s="95">
        <f>IF($G1649&lt;nr_MStartP,$S1649,$T1637*(1+IF($G1649&lt;nr_MStartP1,$M$1642,$N$1642)))</f>
        <v/>
      </c>
      <c r="U1649" s="95">
        <f>IF($L$1642,$T1649,$N1649)</f>
        <v/>
      </c>
    </row>
    <row r="1650">
      <c r="A1650" s="90" t="n">
        <v>6</v>
      </c>
      <c r="B1650" s="91">
        <f>EDATE($B1649,1)</f>
        <v/>
      </c>
      <c r="C1650" s="92">
        <f>EOMONTH($B1650,0)</f>
        <v/>
      </c>
      <c r="D1650" s="87">
        <f>$C1650-$B1650+1</f>
        <v/>
      </c>
      <c r="E1650" s="87">
        <f>MONTH($B1650)</f>
        <v/>
      </c>
      <c r="F1650" s="93">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$N1650*IF($O$1642=1,$O1650/$F$1642,1)</f>
        <v/>
      </c>
      <c r="T1650" s="95">
        <f>IF($G1650&lt;nr_MStartP,$S1650,$T1638*(1+IF($G1650&lt;nr_MStartP1,$M$1642,$N$1642)))</f>
        <v/>
      </c>
      <c r="U1650" s="95">
        <f>IF($L$1642,$T1650,$N1650)</f>
        <v/>
      </c>
    </row>
    <row r="1651">
      <c r="A1651" s="90" t="n">
        <v>7</v>
      </c>
      <c r="B1651" s="91">
        <f>EDATE($B1650,1)</f>
        <v/>
      </c>
      <c r="C1651" s="92">
        <f>EOMONTH($B1651,0)</f>
        <v/>
      </c>
      <c r="D1651" s="87">
        <f>$C1651-$B1651+1</f>
        <v/>
      </c>
      <c r="E1651" s="87">
        <f>MONTH($B1651)</f>
        <v/>
      </c>
      <c r="F1651" s="93">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$N1651*IF($O$1642=1,$O1651/$F$1642,1)</f>
        <v/>
      </c>
      <c r="T1651" s="95">
        <f>IF($G1651&lt;nr_MStartP,$S1651,$T1639*(1+IF($G1651&lt;nr_MStartP1,$M$1642,$N$1642)))</f>
        <v/>
      </c>
      <c r="U1651" s="95">
        <f>IF($L$1642,$T1651,$N1651)</f>
        <v/>
      </c>
    </row>
    <row r="1652">
      <c r="A1652" s="90" t="n">
        <v>8</v>
      </c>
      <c r="B1652" s="91">
        <f>EDATE($B1651,1)</f>
        <v/>
      </c>
      <c r="C1652" s="92">
        <f>EOMONTH($B1652,0)</f>
        <v/>
      </c>
      <c r="D1652" s="87">
        <f>$C1652-$B1652+1</f>
        <v/>
      </c>
      <c r="E1652" s="87">
        <f>MONTH($B1652)</f>
        <v/>
      </c>
      <c r="F1652" s="93">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$N1652*IF($O$1642=1,$O1652/$F$1642,1)</f>
        <v/>
      </c>
      <c r="T1652" s="95">
        <f>IF($G1652&lt;nr_MStartP,$S1652,$T1640*(1+IF($G1652&lt;nr_MStartP1,$M$1642,$N$1642)))</f>
        <v/>
      </c>
      <c r="U1652" s="95">
        <f>IF($L$1642,$T1652,$N1652)</f>
        <v/>
      </c>
    </row>
    <row r="1653">
      <c r="A1653" s="90" t="n">
        <v>9</v>
      </c>
      <c r="B1653" s="91">
        <f>EDATE($B1652,1)</f>
        <v/>
      </c>
      <c r="C1653" s="92">
        <f>EOMONTH($B1653,0)</f>
        <v/>
      </c>
      <c r="D1653" s="87">
        <f>$C1653-$B1653+1</f>
        <v/>
      </c>
      <c r="E1653" s="87">
        <f>MONTH($B1653)</f>
        <v/>
      </c>
      <c r="F1653" s="93">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$N1653*IF($O$1642=1,$O1653/$F$1642,1)</f>
        <v/>
      </c>
      <c r="T1653" s="95">
        <f>IF($G1653&lt;nr_MStartP,$S1653,$T1641*(1+IF($G1653&lt;nr_MStartP1,$M$1642,$N$1642)))</f>
        <v/>
      </c>
      <c r="U1653" s="95">
        <f>IF($L$1642,$T1653,$N1653)</f>
        <v/>
      </c>
    </row>
    <row r="1654">
      <c r="A1654" s="90" t="n">
        <v>10</v>
      </c>
      <c r="B1654" s="91">
        <f>EDATE($B1653,1)</f>
        <v/>
      </c>
      <c r="C1654" s="92">
        <f>EOMONTH($B1654,0)</f>
        <v/>
      </c>
      <c r="D1654" s="87">
        <f>$C1654-$B1654+1</f>
        <v/>
      </c>
      <c r="E1654" s="87">
        <f>MONTH($B1654)</f>
        <v/>
      </c>
      <c r="F1654" s="93">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$N1654*IF($O$1642=1,$O1654/$F$1642,1)</f>
        <v/>
      </c>
      <c r="T1654" s="95">
        <f>IF($G1654&lt;nr_MStartP,$S1654,$T1642*(1+IF($G1654&lt;nr_MStartP1,$M$1642,$N$1642)))</f>
        <v/>
      </c>
      <c r="U1654" s="95">
        <f>IF($L$1642,$T1654,$N1654)</f>
        <v/>
      </c>
    </row>
    <row r="1655">
      <c r="A1655" s="90" t="n">
        <v>11</v>
      </c>
      <c r="B1655" s="91">
        <f>EDATE($B1654,1)</f>
        <v/>
      </c>
      <c r="C1655" s="92">
        <f>EOMONTH($B1655,0)</f>
        <v/>
      </c>
      <c r="D1655" s="87">
        <f>$C1655-$B1655+1</f>
        <v/>
      </c>
      <c r="E1655" s="87">
        <f>MONTH($B1655)</f>
        <v/>
      </c>
      <c r="F1655" s="93">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$N1655*IF($O$1642=1,$O1655/$F$1642,1)</f>
        <v/>
      </c>
      <c r="T1655" s="95">
        <f>IF($G1655&lt;nr_MStartP,$S1655,$T1643*(1+IF($G1655&lt;nr_MStartP1,$M$1642,$N$1642)))</f>
        <v/>
      </c>
      <c r="U1655" s="95">
        <f>IF($L$1642,$T1655,$N1655)</f>
        <v/>
      </c>
    </row>
    <row r="1656">
      <c r="A1656" s="90" t="n">
        <v>12</v>
      </c>
      <c r="B1656" s="91">
        <f>EDATE($B1655,1)</f>
        <v/>
      </c>
      <c r="C1656" s="92">
        <f>EOMONTH($B1656,0)</f>
        <v/>
      </c>
      <c r="D1656" s="87">
        <f>$C1656-$B1656+1</f>
        <v/>
      </c>
      <c r="E1656" s="87">
        <f>MONTH($B1656)</f>
        <v/>
      </c>
      <c r="F1656" s="93">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$N1656*IF($O$1642=1,$O1656/$F$1642,1)</f>
        <v/>
      </c>
      <c r="T1656" s="95">
        <f>IF($G1656&lt;nr_MStartP,$S1656,$T1644*(1+IF($G1656&lt;nr_MStartP1,$M$1642,$N$1642)))</f>
        <v/>
      </c>
      <c r="U1656" s="95">
        <f>IF($L$1642,$T1656,$N1656)</f>
        <v/>
      </c>
    </row>
    <row r="1657">
      <c r="A1657" s="90" t="n">
        <v>13</v>
      </c>
      <c r="B1657" s="91">
        <f>EDATE($B1656,1)</f>
        <v/>
      </c>
      <c r="C1657" s="92">
        <f>EOMONTH($B1657,0)</f>
        <v/>
      </c>
      <c r="D1657" s="87">
        <f>$C1657-$B1657+1</f>
        <v/>
      </c>
      <c r="E1657" s="87">
        <f>MONTH($B1657)</f>
        <v/>
      </c>
      <c r="F1657" s="93">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$N1657*IF($O$1642=1,$O1657/$F$1642,1)</f>
        <v/>
      </c>
      <c r="T1657" s="95">
        <f>IF($G1657&lt;nr_MStartP,$S1657,$T1645*(1+IF($G1657&lt;nr_MStartP1,$M$1642,$N$1642)))</f>
        <v/>
      </c>
      <c r="U1657" s="95">
        <f>IF($L$1642,$T1657,$N1657)</f>
        <v/>
      </c>
    </row>
    <row r="1658">
      <c r="A1658" s="90" t="n">
        <v>14</v>
      </c>
      <c r="B1658" s="91">
        <f>EDATE($B1657,1)</f>
        <v/>
      </c>
      <c r="C1658" s="92">
        <f>EOMONTH($B1658,0)</f>
        <v/>
      </c>
      <c r="D1658" s="87">
        <f>$C1658-$B1658+1</f>
        <v/>
      </c>
      <c r="E1658" s="87">
        <f>MONTH($B1658)</f>
        <v/>
      </c>
      <c r="F1658" s="93">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$N1658*IF($O$1642=1,$O1658/$F$1642,1)</f>
        <v/>
      </c>
      <c r="T1658" s="95">
        <f>IF($G1658&lt;nr_MStartP,$S1658,$T1646*(1+IF($G1658&lt;nr_MStartP1,$M$1642,$N$1642)))</f>
        <v/>
      </c>
      <c r="U1658" s="95">
        <f>IF($L$1642,$T1658,$N1658)</f>
        <v/>
      </c>
    </row>
    <row r="1659">
      <c r="A1659" s="90" t="n">
        <v>15</v>
      </c>
      <c r="B1659" s="91">
        <f>EDATE($B1658,1)</f>
        <v/>
      </c>
      <c r="C1659" s="92">
        <f>EOMONTH($B1659,0)</f>
        <v/>
      </c>
      <c r="D1659" s="87">
        <f>$C1659-$B1659+1</f>
        <v/>
      </c>
      <c r="E1659" s="87">
        <f>MONTH($B1659)</f>
        <v/>
      </c>
      <c r="F1659" s="93">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$N1659*IF($O$1642=1,$O1659/$F$1642,1)</f>
        <v/>
      </c>
      <c r="T1659" s="95">
        <f>IF($G1659&lt;nr_MStartP,$S1659,$T1647*(1+IF($G1659&lt;nr_MStartP1,$M$1642,$N$1642)))</f>
        <v/>
      </c>
      <c r="U1659" s="95">
        <f>IF($L$1642,$T1659,$N1659)</f>
        <v/>
      </c>
    </row>
    <row r="1660">
      <c r="A1660" s="90" t="n">
        <v>16</v>
      </c>
      <c r="B1660" s="91">
        <f>EDATE($B1659,1)</f>
        <v/>
      </c>
      <c r="C1660" s="92">
        <f>EOMONTH($B1660,0)</f>
        <v/>
      </c>
      <c r="D1660" s="87">
        <f>$C1660-$B1660+1</f>
        <v/>
      </c>
      <c r="E1660" s="87">
        <f>MONTH($B1660)</f>
        <v/>
      </c>
      <c r="F1660" s="93">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$N1660*IF($O$1642=1,$O1660/$F$1642,1)</f>
        <v/>
      </c>
      <c r="T1660" s="95">
        <f>IF($G1660&lt;nr_MStartP,$S1660,$T1648*(1+IF($G1660&lt;nr_MStartP1,$M$1642,$N$1642)))</f>
        <v/>
      </c>
      <c r="U1660" s="95">
        <f>IF($L$1642,$T1660,$N1660)</f>
        <v/>
      </c>
    </row>
    <row r="1661">
      <c r="A1661" s="90" t="n">
        <v>17</v>
      </c>
      <c r="B1661" s="91">
        <f>EDATE($B1660,1)</f>
        <v/>
      </c>
      <c r="C1661" s="92">
        <f>EOMONTH($B1661,0)</f>
        <v/>
      </c>
      <c r="D1661" s="87">
        <f>$C1661-$B1661+1</f>
        <v/>
      </c>
      <c r="E1661" s="87">
        <f>MONTH($B1661)</f>
        <v/>
      </c>
      <c r="F1661" s="93">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$N1661*IF($O$1642=1,$O1661/$F$1642,1)</f>
        <v/>
      </c>
      <c r="T1661" s="95">
        <f>IF($G1661&lt;nr_MStartP,$S1661,$T1649*(1+IF($G1661&lt;nr_MStartP1,$M$1642,$N$1642)))</f>
        <v/>
      </c>
      <c r="U1661" s="95">
        <f>IF($L$1642,$T1661,$N1661)</f>
        <v/>
      </c>
    </row>
    <row r="1662">
      <c r="A1662" s="90" t="n">
        <v>18</v>
      </c>
      <c r="B1662" s="91">
        <f>EDATE($B1661,1)</f>
        <v/>
      </c>
      <c r="C1662" s="92">
        <f>EOMONTH($B1662,0)</f>
        <v/>
      </c>
      <c r="D1662" s="87">
        <f>$C1662-$B1662+1</f>
        <v/>
      </c>
      <c r="E1662" s="87">
        <f>MONTH($B1662)</f>
        <v/>
      </c>
      <c r="F1662" s="93">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$N1662*IF($O$1642=1,$O1662/$F$1642,1)</f>
        <v/>
      </c>
      <c r="T1662" s="95">
        <f>IF($G1662&lt;nr_MStartP,$S1662,$T1650*(1+IF($G1662&lt;nr_MStartP1,$M$1642,$N$1642)))</f>
        <v/>
      </c>
      <c r="U1662" s="95">
        <f>IF($L$1642,$T1662,$N1662)</f>
        <v/>
      </c>
    </row>
    <row r="1663">
      <c r="A1663" s="90" t="n">
        <v>19</v>
      </c>
      <c r="B1663" s="91">
        <f>EDATE($B1662,1)</f>
        <v/>
      </c>
      <c r="C1663" s="92">
        <f>EOMONTH($B1663,0)</f>
        <v/>
      </c>
      <c r="D1663" s="87">
        <f>$C1663-$B1663+1</f>
        <v/>
      </c>
      <c r="E1663" s="87">
        <f>MONTH($B1663)</f>
        <v/>
      </c>
      <c r="F1663" s="93">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$N1663*IF($O$1642=1,$O1663/$F$1642,1)</f>
        <v/>
      </c>
      <c r="T1663" s="95">
        <f>IF($G1663&lt;nr_MStartP,$S1663,$T1651*(1+IF($G1663&lt;nr_MStartP1,$M$1642,$N$1642)))</f>
        <v/>
      </c>
      <c r="U1663" s="95">
        <f>IF($L$1642,$T1663,$N1663)</f>
        <v/>
      </c>
    </row>
    <row r="1664">
      <c r="A1664" s="90" t="n">
        <v>20</v>
      </c>
      <c r="B1664" s="91">
        <f>EDATE($B1663,1)</f>
        <v/>
      </c>
      <c r="C1664" s="92">
        <f>EOMONTH($B1664,0)</f>
        <v/>
      </c>
      <c r="D1664" s="87">
        <f>$C1664-$B1664+1</f>
        <v/>
      </c>
      <c r="E1664" s="87">
        <f>MONTH($B1664)</f>
        <v/>
      </c>
      <c r="F1664" s="93">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$N1664*IF($O$1642=1,$O1664/$F$1642,1)</f>
        <v/>
      </c>
      <c r="T1664" s="95">
        <f>IF($G1664&lt;nr_MStartP,$S1664,$T1652*(1+IF($G1664&lt;nr_MStartP1,$M$1642,$N$1642)))</f>
        <v/>
      </c>
      <c r="U1664" s="95">
        <f>IF($L$1642,$T1664,$N1664)</f>
        <v/>
      </c>
    </row>
    <row r="1665">
      <c r="A1665" s="90" t="n">
        <v>21</v>
      </c>
      <c r="B1665" s="91">
        <f>EDATE($B1664,1)</f>
        <v/>
      </c>
      <c r="C1665" s="92">
        <f>EOMONTH($B1665,0)</f>
        <v/>
      </c>
      <c r="D1665" s="87">
        <f>$C1665-$B1665+1</f>
        <v/>
      </c>
      <c r="E1665" s="87">
        <f>MONTH($B1665)</f>
        <v/>
      </c>
      <c r="F1665" s="93">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$N1665*IF($O$1642=1,$O1665/$F$1642,1)</f>
        <v/>
      </c>
      <c r="T1665" s="95">
        <f>IF($G1665&lt;nr_MStartP,$S1665,$T1653*(1+IF($G1665&lt;nr_MStartP1,$M$1642,$N$1642)))</f>
        <v/>
      </c>
      <c r="U1665" s="95">
        <f>IF($L$1642,$T1665,$N1665)</f>
        <v/>
      </c>
    </row>
    <row r="1666">
      <c r="A1666" s="90" t="n">
        <v>22</v>
      </c>
      <c r="B1666" s="91">
        <f>EDATE($B1665,1)</f>
        <v/>
      </c>
      <c r="C1666" s="92">
        <f>EOMONTH($B1666,0)</f>
        <v/>
      </c>
      <c r="D1666" s="87">
        <f>$C1666-$B1666+1</f>
        <v/>
      </c>
      <c r="E1666" s="87">
        <f>MONTH($B1666)</f>
        <v/>
      </c>
      <c r="F1666" s="93">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$N1666*IF($O$1642=1,$O1666/$F$1642,1)</f>
        <v/>
      </c>
      <c r="T1666" s="95">
        <f>IF($G1666&lt;nr_MStartP,$S1666,$T1654*(1+IF($G1666&lt;nr_MStartP1,$M$1642,$N$1642)))</f>
        <v/>
      </c>
      <c r="U1666" s="95">
        <f>IF($L$1642,$T1666,$N1666)</f>
        <v/>
      </c>
    </row>
    <row r="1667">
      <c r="A1667" s="90" t="n">
        <v>23</v>
      </c>
      <c r="B1667" s="91">
        <f>EDATE($B1666,1)</f>
        <v/>
      </c>
      <c r="C1667" s="92">
        <f>EOMONTH($B1667,0)</f>
        <v/>
      </c>
      <c r="D1667" s="87">
        <f>$C1667-$B1667+1</f>
        <v/>
      </c>
      <c r="E1667" s="87">
        <f>MONTH($B1667)</f>
        <v/>
      </c>
      <c r="F1667" s="93">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$N1667*IF($O$1642=1,$O1667/$F$1642,1)</f>
        <v/>
      </c>
      <c r="T1667" s="95">
        <f>IF($G1667&lt;nr_MStartP,$S1667,$T1655*(1+IF($G1667&lt;nr_MStartP1,$M$1642,$N$1642)))</f>
        <v/>
      </c>
      <c r="U1667" s="95">
        <f>IF($L$1642,$T1667,$N1667)</f>
        <v/>
      </c>
    </row>
    <row r="1668">
      <c r="A1668" s="90" t="n">
        <v>24</v>
      </c>
      <c r="B1668" s="91">
        <f>EDATE($B1667,1)</f>
        <v/>
      </c>
      <c r="C1668" s="92">
        <f>EOMONTH($B1668,0)</f>
        <v/>
      </c>
      <c r="D1668" s="87">
        <f>$C1668-$B1668+1</f>
        <v/>
      </c>
      <c r="E1668" s="87">
        <f>MONTH($B1668)</f>
        <v/>
      </c>
      <c r="F1668" s="93">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$N1668*IF($O$1642=1,$O1668/$F$1642,1)</f>
        <v/>
      </c>
      <c r="T1668" s="95">
        <f>IF($G1668&lt;nr_MStartP,$S1668,$T1656*(1+IF($G1668&lt;nr_MStartP1,$M$1642,$N$1642)))</f>
        <v/>
      </c>
      <c r="U1668" s="95">
        <f>IF($L$1642,$T1668,$N1668)</f>
        <v/>
      </c>
    </row>
    <row r="1669">
      <c r="A1669" s="90" t="n">
        <v>25</v>
      </c>
      <c r="B1669" s="91">
        <f>EDATE($B1668,1)</f>
        <v/>
      </c>
      <c r="C1669" s="92">
        <f>EOMONTH($B1669,0)</f>
        <v/>
      </c>
      <c r="D1669" s="87">
        <f>$C1669-$B1669+1</f>
        <v/>
      </c>
      <c r="E1669" s="87">
        <f>MONTH($B1669)</f>
        <v/>
      </c>
      <c r="F1669" s="93">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$N1669*IF($O$1642=1,$O1669/$F$1642,1)</f>
        <v/>
      </c>
      <c r="T1669" s="95">
        <f>IF($G1669&lt;nr_MStartP,$S1669,$T1657*(1+IF($G1669&lt;nr_MStartP1,$M$1642,$N$1642)))</f>
        <v/>
      </c>
      <c r="U1669" s="95">
        <f>IF($L$1642,$T1669,$N1669)</f>
        <v/>
      </c>
    </row>
    <row r="1670">
      <c r="A1670" s="90" t="n">
        <v>26</v>
      </c>
      <c r="B1670" s="91">
        <f>EDATE($B1669,1)</f>
        <v/>
      </c>
      <c r="C1670" s="92">
        <f>EOMONTH($B1670,0)</f>
        <v/>
      </c>
      <c r="D1670" s="87">
        <f>$C1670-$B1670+1</f>
        <v/>
      </c>
      <c r="E1670" s="87">
        <f>MONTH($B1670)</f>
        <v/>
      </c>
      <c r="F1670" s="93">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$N1670*IF($O$1642=1,$O1670/$F$1642,1)</f>
        <v/>
      </c>
      <c r="T1670" s="95">
        <f>IF($G1670&lt;nr_MStartP,$S1670,$T1658*(1+IF($G1670&lt;nr_MStartP1,$M$1642,$N$1642)))</f>
        <v/>
      </c>
      <c r="U1670" s="95">
        <f>IF($L$1642,$T1670,$N1670)</f>
        <v/>
      </c>
    </row>
    <row r="1671">
      <c r="A1671" s="90" t="n">
        <v>27</v>
      </c>
      <c r="B1671" s="91">
        <f>EDATE($B1670,1)</f>
        <v/>
      </c>
      <c r="C1671" s="92">
        <f>EOMONTH($B1671,0)</f>
        <v/>
      </c>
      <c r="D1671" s="87">
        <f>$C1671-$B1671+1</f>
        <v/>
      </c>
      <c r="E1671" s="87">
        <f>MONTH($B1671)</f>
        <v/>
      </c>
      <c r="F1671" s="93">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$N1671*IF($O$1642=1,$O1671/$F$1642,1)</f>
        <v/>
      </c>
      <c r="T1671" s="95">
        <f>IF($G1671&lt;nr_MStartP,$S1671,$T1659*(1+IF($G1671&lt;nr_MStartP1,$M$1642,$N$1642)))</f>
        <v/>
      </c>
      <c r="U1671" s="95">
        <f>IF($L$1642,$T1671,$N1671)</f>
        <v/>
      </c>
    </row>
    <row r="1672">
      <c r="A1672" s="90" t="n">
        <v>28</v>
      </c>
      <c r="B1672" s="91">
        <f>EDATE($B1671,1)</f>
        <v/>
      </c>
      <c r="C1672" s="92">
        <f>EOMONTH($B1672,0)</f>
        <v/>
      </c>
      <c r="D1672" s="87">
        <f>$C1672-$B1672+1</f>
        <v/>
      </c>
      <c r="E1672" s="87">
        <f>MONTH($B1672)</f>
        <v/>
      </c>
      <c r="F1672" s="93">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$N1672*IF($O$1642=1,$O1672/$F$1642,1)</f>
        <v/>
      </c>
      <c r="T1672" s="95">
        <f>IF($G1672&lt;nr_MStartP,$S1672,$T1660*(1+IF($G1672&lt;nr_MStartP1,$M$1642,$N$1642)))</f>
        <v/>
      </c>
      <c r="U1672" s="95">
        <f>IF($L$1642,$T1672,$N1672)</f>
        <v/>
      </c>
    </row>
    <row r="1673">
      <c r="A1673" s="90" t="n">
        <v>29</v>
      </c>
      <c r="B1673" s="91">
        <f>EDATE($B1672,1)</f>
        <v/>
      </c>
      <c r="C1673" s="92">
        <f>EOMONTH($B1673,0)</f>
        <v/>
      </c>
      <c r="D1673" s="87">
        <f>$C1673-$B1673+1</f>
        <v/>
      </c>
      <c r="E1673" s="87">
        <f>MONTH($B1673)</f>
        <v/>
      </c>
      <c r="F1673" s="93">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$N1673*IF($O$1642=1,$O1673/$F$1642,1)</f>
        <v/>
      </c>
      <c r="T1673" s="95">
        <f>IF($G1673&lt;nr_MStartP,$S1673,$T1661*(1+IF($G1673&lt;nr_MStartP1,$M$1642,$N$1642)))</f>
        <v/>
      </c>
      <c r="U1673" s="95">
        <f>IF($L$1642,$T1673,$N1673)</f>
        <v/>
      </c>
    </row>
    <row r="1674">
      <c r="A1674" s="90" t="n">
        <v>30</v>
      </c>
      <c r="B1674" s="91">
        <f>EDATE($B1673,1)</f>
        <v/>
      </c>
      <c r="C1674" s="92">
        <f>EOMONTH($B1674,0)</f>
        <v/>
      </c>
      <c r="D1674" s="87">
        <f>$C1674-$B1674+1</f>
        <v/>
      </c>
      <c r="E1674" s="87">
        <f>MONTH($B1674)</f>
        <v/>
      </c>
      <c r="F1674" s="93">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$N1674*IF($O$1642=1,$O1674/$F$1642,1)</f>
        <v/>
      </c>
      <c r="T1674" s="95">
        <f>IF($G1674&lt;nr_MStartP,$S1674,$T1662*(1+IF($G1674&lt;nr_MStartP1,$M$1642,$N$1642)))</f>
        <v/>
      </c>
      <c r="U1674" s="95">
        <f>IF($L$1642,$T1674,$N1674)</f>
        <v/>
      </c>
    </row>
    <row r="1675">
      <c r="A1675" s="90" t="n">
        <v>31</v>
      </c>
      <c r="B1675" s="91">
        <f>EDATE($B1674,1)</f>
        <v/>
      </c>
      <c r="C1675" s="92">
        <f>EOMONTH($B1675,0)</f>
        <v/>
      </c>
      <c r="D1675" s="87">
        <f>$C1675-$B1675+1</f>
        <v/>
      </c>
      <c r="E1675" s="87">
        <f>MONTH($B1675)</f>
        <v/>
      </c>
      <c r="F1675" s="93">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$N1675*IF($O$1642=1,$O1675/$F$1642,1)</f>
        <v/>
      </c>
      <c r="T1675" s="95">
        <f>IF($G1675&lt;nr_MStartP,$S1675,$T1663*(1+IF($G1675&lt;nr_MStartP1,$M$1642,$N$1642)))</f>
        <v/>
      </c>
      <c r="U1675" s="95">
        <f>IF($L$1642,$T1675,$N1675)</f>
        <v/>
      </c>
    </row>
    <row r="1676">
      <c r="A1676" s="90" t="n">
        <v>32</v>
      </c>
      <c r="B1676" s="91">
        <f>EDATE($B1675,1)</f>
        <v/>
      </c>
      <c r="C1676" s="92">
        <f>EOMONTH($B1676,0)</f>
        <v/>
      </c>
      <c r="D1676" s="87">
        <f>$C1676-$B1676+1</f>
        <v/>
      </c>
      <c r="E1676" s="87">
        <f>MONTH($B1676)</f>
        <v/>
      </c>
      <c r="F1676" s="93">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$N1676*IF($O$1642=1,$O1676/$F$1642,1)</f>
        <v/>
      </c>
      <c r="T1676" s="95">
        <f>IF($G1676&lt;nr_MStartP,$S1676,$T1664*(1+IF($G1676&lt;nr_MStartP1,$M$1642,$N$1642)))</f>
        <v/>
      </c>
      <c r="U1676" s="95">
        <f>IF($L$1642,$T1676,$N1676)</f>
        <v/>
      </c>
    </row>
    <row r="1677">
      <c r="A1677" s="90" t="n">
        <v>33</v>
      </c>
      <c r="B1677" s="91">
        <f>EDATE($B1676,1)</f>
        <v/>
      </c>
      <c r="C1677" s="92">
        <f>EOMONTH($B1677,0)</f>
        <v/>
      </c>
      <c r="D1677" s="87">
        <f>$C1677-$B1677+1</f>
        <v/>
      </c>
      <c r="E1677" s="87">
        <f>MONTH($B1677)</f>
        <v/>
      </c>
      <c r="F1677" s="93">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$N1677*IF($O$1642=1,$O1677/$F$1642,1)</f>
        <v/>
      </c>
      <c r="T1677" s="95">
        <f>IF($G1677&lt;nr_MStartP,$S1677,$T1665*(1+IF($G1677&lt;nr_MStartP1,$M$1642,$N$1642)))</f>
        <v/>
      </c>
      <c r="U1677" s="95">
        <f>IF($L$1642,$T1677,$N1677)</f>
        <v/>
      </c>
    </row>
    <row r="1678">
      <c r="A1678" s="90" t="n">
        <v>34</v>
      </c>
      <c r="B1678" s="91">
        <f>EDATE($B1677,1)</f>
        <v/>
      </c>
      <c r="C1678" s="92">
        <f>EOMONTH($B1678,0)</f>
        <v/>
      </c>
      <c r="D1678" s="87">
        <f>$C1678-$B1678+1</f>
        <v/>
      </c>
      <c r="E1678" s="87">
        <f>MONTH($B1678)</f>
        <v/>
      </c>
      <c r="F1678" s="93">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$N1678*IF($O$1642=1,$O1678/$F$1642,1)</f>
        <v/>
      </c>
      <c r="T1678" s="95">
        <f>IF($G1678&lt;nr_MStartP,$S1678,$T1666*(1+IF($G1678&lt;nr_MStartP1,$M$1642,$N$1642)))</f>
        <v/>
      </c>
      <c r="U1678" s="95">
        <f>IF($L$1642,$T1678,$N1678)</f>
        <v/>
      </c>
    </row>
    <row r="1679">
      <c r="A1679" s="90" t="n">
        <v>35</v>
      </c>
      <c r="B1679" s="91">
        <f>EDATE($B1678,1)</f>
        <v/>
      </c>
      <c r="C1679" s="92">
        <f>EOMONTH($B1679,0)</f>
        <v/>
      </c>
      <c r="D1679" s="87">
        <f>$C1679-$B1679+1</f>
        <v/>
      </c>
      <c r="E1679" s="87">
        <f>MONTH($B1679)</f>
        <v/>
      </c>
      <c r="F1679" s="93">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$N1679*IF($O$1642=1,$O1679/$F$1642,1)</f>
        <v/>
      </c>
      <c r="T1679" s="95">
        <f>IF($G1679&lt;nr_MStartP,$S1679,$T1667*(1+IF($G1679&lt;nr_MStartP1,$M$1642,$N$1642)))</f>
        <v/>
      </c>
      <c r="U1679" s="95">
        <f>IF($L$1642,$T1679,$N1679)</f>
        <v/>
      </c>
    </row>
    <row r="1680">
      <c r="A1680" s="90" t="n">
        <v>36</v>
      </c>
      <c r="B1680" s="91">
        <f>EDATE($B1679,1)</f>
        <v/>
      </c>
      <c r="C1680" s="92">
        <f>EOMONTH($B1680,0)</f>
        <v/>
      </c>
      <c r="D1680" s="87">
        <f>$C1680-$B1680+1</f>
        <v/>
      </c>
      <c r="E1680" s="87">
        <f>MONTH($B1680)</f>
        <v/>
      </c>
      <c r="F1680" s="93">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$N1680*IF($O$1642=1,$O1680/$F$1642,1)</f>
        <v/>
      </c>
      <c r="T1680" s="95">
        <f>IF($G1680&lt;nr_MStartP,$S1680,$T1668*(1+IF($G1680&lt;nr_MStartP1,$M$1642,$N$1642)))</f>
        <v/>
      </c>
      <c r="U1680" s="95">
        <f>IF($L$1642,$T1680,$N1680)</f>
        <v/>
      </c>
    </row>
    <row r="1681">
      <c r="A1681" s="90" t="n">
        <v>37</v>
      </c>
      <c r="B1681" s="91">
        <f>EDATE($B1680,1)</f>
        <v/>
      </c>
      <c r="C1681" s="92">
        <f>EOMONTH($B1681,0)</f>
        <v/>
      </c>
      <c r="D1681" s="87">
        <f>$C1681-$B1681+1</f>
        <v/>
      </c>
      <c r="E1681" s="87">
        <f>MONTH($B1681)</f>
        <v/>
      </c>
      <c r="F1681" s="93">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$N1681*IF($O$1642=1,$O1681/$F$1642,1)</f>
        <v/>
      </c>
      <c r="T1681" s="95">
        <f>IF($G1681&lt;nr_MStartP,$S1681,$T1669*(1+IF($G1681&lt;nr_MStartP1,$M$1642,$N$1642)))</f>
        <v/>
      </c>
      <c r="U1681" s="95">
        <f>IF($L$1642,$T1681,$N1681)</f>
        <v/>
      </c>
    </row>
    <row r="1682">
      <c r="A1682" s="90" t="n">
        <v>38</v>
      </c>
      <c r="B1682" s="91">
        <f>EDATE($B1681,1)</f>
        <v/>
      </c>
      <c r="C1682" s="92">
        <f>EOMONTH($B1682,0)</f>
        <v/>
      </c>
      <c r="D1682" s="87">
        <f>$C1682-$B1682+1</f>
        <v/>
      </c>
      <c r="E1682" s="87">
        <f>MONTH($B1682)</f>
        <v/>
      </c>
      <c r="F1682" s="93">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$N1682*IF($O$1642=1,$O1682/$F$1642,1)</f>
        <v/>
      </c>
      <c r="T1682" s="95">
        <f>IF($G1682&lt;nr_MStartP,$S1682,$T1670*(1+IF($G1682&lt;nr_MStartP1,$M$1642,$N$1642)))</f>
        <v/>
      </c>
      <c r="U1682" s="95">
        <f>IF($L$1642,$T1682,$N1682)</f>
        <v/>
      </c>
    </row>
    <row r="1683">
      <c r="A1683" s="90" t="n">
        <v>39</v>
      </c>
      <c r="B1683" s="91">
        <f>EDATE($B1682,1)</f>
        <v/>
      </c>
      <c r="C1683" s="92">
        <f>EOMONTH($B1683,0)</f>
        <v/>
      </c>
      <c r="D1683" s="87">
        <f>$C1683-$B1683+1</f>
        <v/>
      </c>
      <c r="E1683" s="87">
        <f>MONTH($B1683)</f>
        <v/>
      </c>
      <c r="F1683" s="93">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$N1683*IF($O$1642=1,$O1683/$F$1642,1)</f>
        <v/>
      </c>
      <c r="T1683" s="95">
        <f>IF($G1683&lt;nr_MStartP,$S1683,$T1671*(1+IF($G1683&lt;nr_MStartP1,$M$1642,$N$1642)))</f>
        <v/>
      </c>
      <c r="U1683" s="95">
        <f>IF($L$1642,$T1683,$N1683)</f>
        <v/>
      </c>
    </row>
    <row r="1684">
      <c r="A1684" s="90" t="n">
        <v>40</v>
      </c>
      <c r="B1684" s="91">
        <f>EDATE($B1683,1)</f>
        <v/>
      </c>
      <c r="C1684" s="92">
        <f>EOMONTH($B1684,0)</f>
        <v/>
      </c>
      <c r="D1684" s="87">
        <f>$C1684-$B1684+1</f>
        <v/>
      </c>
      <c r="E1684" s="87">
        <f>MONTH($B1684)</f>
        <v/>
      </c>
      <c r="F1684" s="93">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$N1684*IF($O$1642=1,$O1684/$F$1642,1)</f>
        <v/>
      </c>
      <c r="T1684" s="95">
        <f>IF($G1684&lt;nr_MStartP,$S1684,$T1672*(1+IF($G1684&lt;nr_MStartP1,$M$1642,$N$1642)))</f>
        <v/>
      </c>
      <c r="U1684" s="95">
        <f>IF($L$1642,$T1684,$N1684)</f>
        <v/>
      </c>
    </row>
    <row r="1685">
      <c r="A1685" s="90" t="n">
        <v>41</v>
      </c>
      <c r="B1685" s="91">
        <f>EDATE($B1684,1)</f>
        <v/>
      </c>
      <c r="C1685" s="92">
        <f>EOMONTH($B1685,0)</f>
        <v/>
      </c>
      <c r="D1685" s="87">
        <f>$C1685-$B1685+1</f>
        <v/>
      </c>
      <c r="E1685" s="87">
        <f>MONTH($B1685)</f>
        <v/>
      </c>
      <c r="F1685" s="93">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$N1685*IF($O$1642=1,$O1685/$F$1642,1)</f>
        <v/>
      </c>
      <c r="T1685" s="95">
        <f>IF($G1685&lt;nr_MStartP,$S1685,$T1673*(1+IF($G1685&lt;nr_MStartP1,$M$1642,$N$1642)))</f>
        <v/>
      </c>
      <c r="U1685" s="95">
        <f>IF($L$1642,$T1685,$N1685)</f>
        <v/>
      </c>
    </row>
    <row r="1686">
      <c r="A1686" s="90" t="n">
        <v>42</v>
      </c>
      <c r="B1686" s="91">
        <f>EDATE($B1685,1)</f>
        <v/>
      </c>
      <c r="C1686" s="92">
        <f>EOMONTH($B1686,0)</f>
        <v/>
      </c>
      <c r="D1686" s="87">
        <f>$C1686-$B1686+1</f>
        <v/>
      </c>
      <c r="E1686" s="87">
        <f>MONTH($B1686)</f>
        <v/>
      </c>
      <c r="F1686" s="93">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$N1686*IF($O$1642=1,$O1686/$F$1642,1)</f>
        <v/>
      </c>
      <c r="T1686" s="95">
        <f>IF($G1686&lt;nr_MStartP,$S1686,$T1674*(1+IF($G1686&lt;nr_MStartP1,$M$1642,$N$1642)))</f>
        <v/>
      </c>
      <c r="U1686" s="95">
        <f>IF($L$1642,$T1686,$N1686)</f>
        <v/>
      </c>
    </row>
    <row r="1687">
      <c r="A1687" s="90" t="n">
        <v>43</v>
      </c>
      <c r="B1687" s="91">
        <f>EDATE($B1686,1)</f>
        <v/>
      </c>
      <c r="C1687" s="92">
        <f>EOMONTH($B1687,0)</f>
        <v/>
      </c>
      <c r="D1687" s="87">
        <f>$C1687-$B1687+1</f>
        <v/>
      </c>
      <c r="E1687" s="87">
        <f>MONTH($B1687)</f>
        <v/>
      </c>
      <c r="F1687" s="93">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$N1687*IF($O$1642=1,$O1687/$F$1642,1)</f>
        <v/>
      </c>
      <c r="T1687" s="95">
        <f>IF($G1687&lt;nr_MStartP,$S1687,$T1675*(1+IF($G1687&lt;nr_MStartP1,$M$1642,$N$1642)))</f>
        <v/>
      </c>
      <c r="U1687" s="95">
        <f>IF($L$1642,$T1687,$N1687)</f>
        <v/>
      </c>
    </row>
    <row r="1688">
      <c r="A1688" s="90" t="n">
        <v>44</v>
      </c>
      <c r="B1688" s="91">
        <f>EDATE($B1687,1)</f>
        <v/>
      </c>
      <c r="C1688" s="92">
        <f>EOMONTH($B1688,0)</f>
        <v/>
      </c>
      <c r="D1688" s="87">
        <f>$C1688-$B1688+1</f>
        <v/>
      </c>
      <c r="E1688" s="87">
        <f>MONTH($B1688)</f>
        <v/>
      </c>
      <c r="F1688" s="93">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$N1688*IF($O$1642=1,$O1688/$F$1642,1)</f>
        <v/>
      </c>
      <c r="T1688" s="95">
        <f>IF($G1688&lt;nr_MStartP,$S1688,$T1676*(1+IF($G1688&lt;nr_MStartP1,$M$1642,$N$1642)))</f>
        <v/>
      </c>
      <c r="U1688" s="95">
        <f>IF($L$1642,$T1688,$N1688)</f>
        <v/>
      </c>
    </row>
    <row r="1689">
      <c r="A1689" s="90" t="n">
        <v>45</v>
      </c>
      <c r="B1689" s="91">
        <f>EDATE($B1688,1)</f>
        <v/>
      </c>
      <c r="C1689" s="92">
        <f>EOMONTH($B1689,0)</f>
        <v/>
      </c>
      <c r="D1689" s="87">
        <f>$C1689-$B1689+1</f>
        <v/>
      </c>
      <c r="E1689" s="87">
        <f>MONTH($B1689)</f>
        <v/>
      </c>
      <c r="F1689" s="93">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$N1689*IF($O$1642=1,$O1689/$F$1642,1)</f>
        <v/>
      </c>
      <c r="T1689" s="95">
        <f>IF($G1689&lt;nr_MStartP,$S1689,$T1677*(1+IF($G1689&lt;nr_MStartP1,$M$1642,$N$1642)))</f>
        <v/>
      </c>
      <c r="U1689" s="95">
        <f>IF($L$1642,$T1689,$N1689)</f>
        <v/>
      </c>
    </row>
    <row r="1690">
      <c r="A1690" s="90" t="n">
        <v>46</v>
      </c>
      <c r="B1690" s="91">
        <f>EDATE($B1689,1)</f>
        <v/>
      </c>
      <c r="C1690" s="92">
        <f>EOMONTH($B1690,0)</f>
        <v/>
      </c>
      <c r="D1690" s="87">
        <f>$C1690-$B1690+1</f>
        <v/>
      </c>
      <c r="E1690" s="87">
        <f>MONTH($B1690)</f>
        <v/>
      </c>
      <c r="F1690" s="93">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$N1690*IF($O$1642=1,$O1690/$F$1642,1)</f>
        <v/>
      </c>
      <c r="T1690" s="95">
        <f>IF($G1690&lt;nr_MStartP,$S1690,$T1678*(1+IF($G1690&lt;nr_MStartP1,$M$1642,$N$1642)))</f>
        <v/>
      </c>
      <c r="U1690" s="95">
        <f>IF($L$1642,$T1690,$N1690)</f>
        <v/>
      </c>
    </row>
    <row r="1691">
      <c r="A1691" s="90" t="n">
        <v>47</v>
      </c>
      <c r="B1691" s="91">
        <f>EDATE($B1690,1)</f>
        <v/>
      </c>
      <c r="C1691" s="92">
        <f>EOMONTH($B1691,0)</f>
        <v/>
      </c>
      <c r="D1691" s="87">
        <f>$C1691-$B1691+1</f>
        <v/>
      </c>
      <c r="E1691" s="87">
        <f>MONTH($B1691)</f>
        <v/>
      </c>
      <c r="F1691" s="93">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$N1691*IF($O$1642=1,$O1691/$F$1642,1)</f>
        <v/>
      </c>
      <c r="T1691" s="95">
        <f>IF($G1691&lt;nr_MStartP,$S1691,$T1679*(1+IF($G1691&lt;nr_MStartP1,$M$1642,$N$1642)))</f>
        <v/>
      </c>
      <c r="U1691" s="95">
        <f>IF($L$1642,$T1691,$N1691)</f>
        <v/>
      </c>
    </row>
    <row r="1692">
      <c r="A1692" s="90" t="n">
        <v>48</v>
      </c>
      <c r="B1692" s="91">
        <f>EDATE($B1691,1)</f>
        <v/>
      </c>
      <c r="C1692" s="92">
        <f>EOMONTH($B1692,0)</f>
        <v/>
      </c>
      <c r="D1692" s="87">
        <f>$C1692-$B1692+1</f>
        <v/>
      </c>
      <c r="E1692" s="87">
        <f>MONTH($B1692)</f>
        <v/>
      </c>
      <c r="F1692" s="93">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$N1692*IF($O$1642=1,$O1692/$F$1642,1)</f>
        <v/>
      </c>
      <c r="T1692" s="95">
        <f>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04">
        <f>SUMPRODUCT($H$1645:$H$1692,$Q$1645:$Q$1692,$O$1645:$O$1692)/SUMPRODUCT($H$1645:$H$1692,$Q$1645:$Q$1692)</f>
        <v/>
      </c>
      <c r="G1693" s="20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04">
        <f>IF(N(INDEX(lr_mind,31))=0,1,INDEX(lr_mind,31))</f>
        <v/>
      </c>
      <c r="G1696" s="204">
        <f>IF(N(INDEX(lr_m0,31))=0,1,INDEX(lr_m0,31))</f>
        <v/>
      </c>
      <c r="H1696" s="73">
        <f>IF(N(INDEX(lr_m0asof,31))=0,DATE(nr_PlanYear-1,10,1),INDEX(lr_m0asof,31))</f>
        <v/>
      </c>
      <c r="I1696" s="204">
        <f>IF(N(INDEX(lr_m1,31))=0,1,INDEX(lr_m1,31))</f>
        <v/>
      </c>
      <c r="J1696" s="204">
        <f>INDEX(lr_mprior,31)</f>
        <v/>
      </c>
      <c r="K1696" s="20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93">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$N1699*IF($O$1696=1,$O1699/$F$1696,1)</f>
        <v/>
      </c>
      <c r="T1699" s="95">
        <f>IF($G1699&lt;nr_MStartP,$S1699,$T1687*(1+IF($G1699&lt;nr_MStartP1,$M$1696,$N$1696)))</f>
        <v/>
      </c>
      <c r="U1699" s="95">
        <f>IF($L$1696,$T1699,$N1699)</f>
        <v/>
      </c>
    </row>
    <row r="1700">
      <c r="A1700" s="90" t="n">
        <v>2</v>
      </c>
      <c r="B1700" s="91">
        <f>EDATE($B1699,1)</f>
        <v/>
      </c>
      <c r="C1700" s="92">
        <f>EOMONTH($B1700,0)</f>
        <v/>
      </c>
      <c r="D1700" s="87">
        <f>$C1700-$B1700+1</f>
        <v/>
      </c>
      <c r="E1700" s="87">
        <f>MONTH($B1700)</f>
        <v/>
      </c>
      <c r="F1700" s="93">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$N1700*IF($O$1696=1,$O1700/$F$1696,1)</f>
        <v/>
      </c>
      <c r="T1700" s="95">
        <f>IF($G1700&lt;nr_MStartP,$S1700,$T1688*(1+IF($G1700&lt;nr_MStartP1,$M$1696,$N$1696)))</f>
        <v/>
      </c>
      <c r="U1700" s="95">
        <f>IF($L$1696,$T1700,$N1700)</f>
        <v/>
      </c>
    </row>
    <row r="1701">
      <c r="A1701" s="90" t="n">
        <v>3</v>
      </c>
      <c r="B1701" s="91">
        <f>EDATE($B1700,1)</f>
        <v/>
      </c>
      <c r="C1701" s="92">
        <f>EOMONTH($B1701,0)</f>
        <v/>
      </c>
      <c r="D1701" s="87">
        <f>$C1701-$B1701+1</f>
        <v/>
      </c>
      <c r="E1701" s="87">
        <f>MONTH($B1701)</f>
        <v/>
      </c>
      <c r="F1701" s="93">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$N1701*IF($O$1696=1,$O1701/$F$1696,1)</f>
        <v/>
      </c>
      <c r="T1701" s="95">
        <f>IF($G1701&lt;nr_MStartP,$S1701,$T1689*(1+IF($G1701&lt;nr_MStartP1,$M$1696,$N$1696)))</f>
        <v/>
      </c>
      <c r="U1701" s="95">
        <f>IF($L$1696,$T1701,$N1701)</f>
        <v/>
      </c>
    </row>
    <row r="1702">
      <c r="A1702" s="90" t="n">
        <v>4</v>
      </c>
      <c r="B1702" s="91">
        <f>EDATE($B1701,1)</f>
        <v/>
      </c>
      <c r="C1702" s="92">
        <f>EOMONTH($B1702,0)</f>
        <v/>
      </c>
      <c r="D1702" s="87">
        <f>$C1702-$B1702+1</f>
        <v/>
      </c>
      <c r="E1702" s="87">
        <f>MONTH($B1702)</f>
        <v/>
      </c>
      <c r="F1702" s="93">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$N1702*IF($O$1696=1,$O1702/$F$1696,1)</f>
        <v/>
      </c>
      <c r="T1702" s="95">
        <f>IF($G1702&lt;nr_MStartP,$S1702,$T1690*(1+IF($G1702&lt;nr_MStartP1,$M$1696,$N$1696)))</f>
        <v/>
      </c>
      <c r="U1702" s="95">
        <f>IF($L$1696,$T1702,$N1702)</f>
        <v/>
      </c>
    </row>
    <row r="1703">
      <c r="A1703" s="90" t="n">
        <v>5</v>
      </c>
      <c r="B1703" s="91">
        <f>EDATE($B1702,1)</f>
        <v/>
      </c>
      <c r="C1703" s="92">
        <f>EOMONTH($B1703,0)</f>
        <v/>
      </c>
      <c r="D1703" s="87">
        <f>$C1703-$B1703+1</f>
        <v/>
      </c>
      <c r="E1703" s="87">
        <f>MONTH($B1703)</f>
        <v/>
      </c>
      <c r="F1703" s="93">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$N1703*IF($O$1696=1,$O1703/$F$1696,1)</f>
        <v/>
      </c>
      <c r="T1703" s="95">
        <f>IF($G1703&lt;nr_MStartP,$S1703,$T1691*(1+IF($G1703&lt;nr_MStartP1,$M$1696,$N$1696)))</f>
        <v/>
      </c>
      <c r="U1703" s="95">
        <f>IF($L$1696,$T1703,$N1703)</f>
        <v/>
      </c>
    </row>
    <row r="1704">
      <c r="A1704" s="90" t="n">
        <v>6</v>
      </c>
      <c r="B1704" s="91">
        <f>EDATE($B1703,1)</f>
        <v/>
      </c>
      <c r="C1704" s="92">
        <f>EOMONTH($B1704,0)</f>
        <v/>
      </c>
      <c r="D1704" s="87">
        <f>$C1704-$B1704+1</f>
        <v/>
      </c>
      <c r="E1704" s="87">
        <f>MONTH($B1704)</f>
        <v/>
      </c>
      <c r="F1704" s="93">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$N1704*IF($O$1696=1,$O1704/$F$1696,1)</f>
        <v/>
      </c>
      <c r="T1704" s="95">
        <f>IF($G1704&lt;nr_MStartP,$S1704,$T1692*(1+IF($G1704&lt;nr_MStartP1,$M$1696,$N$1696)))</f>
        <v/>
      </c>
      <c r="U1704" s="95">
        <f>IF($L$1696,$T1704,$N1704)</f>
        <v/>
      </c>
    </row>
    <row r="1705">
      <c r="A1705" s="90" t="n">
        <v>7</v>
      </c>
      <c r="B1705" s="91">
        <f>EDATE($B1704,1)</f>
        <v/>
      </c>
      <c r="C1705" s="92">
        <f>EOMONTH($B1705,0)</f>
        <v/>
      </c>
      <c r="D1705" s="87">
        <f>$C1705-$B1705+1</f>
        <v/>
      </c>
      <c r="E1705" s="87">
        <f>MONTH($B1705)</f>
        <v/>
      </c>
      <c r="F1705" s="93">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$N1705*IF($O$1696=1,$O1705/$F$1696,1)</f>
        <v/>
      </c>
      <c r="T1705" s="95">
        <f>IF($G1705&lt;nr_MStartP,$S1705,$T1693*(1+IF($G1705&lt;nr_MStartP1,$M$1696,$N$1696)))</f>
        <v/>
      </c>
      <c r="U1705" s="95">
        <f>IF($L$1696,$T1705,$N1705)</f>
        <v/>
      </c>
    </row>
    <row r="1706">
      <c r="A1706" s="90" t="n">
        <v>8</v>
      </c>
      <c r="B1706" s="91">
        <f>EDATE($B1705,1)</f>
        <v/>
      </c>
      <c r="C1706" s="92">
        <f>EOMONTH($B1706,0)</f>
        <v/>
      </c>
      <c r="D1706" s="87">
        <f>$C1706-$B1706+1</f>
        <v/>
      </c>
      <c r="E1706" s="87">
        <f>MONTH($B1706)</f>
        <v/>
      </c>
      <c r="F1706" s="93">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$N1706*IF($O$1696=1,$O1706/$F$1696,1)</f>
        <v/>
      </c>
      <c r="T1706" s="95">
        <f>IF($G1706&lt;nr_MStartP,$S1706,$T1694*(1+IF($G1706&lt;nr_MStartP1,$M$1696,$N$1696)))</f>
        <v/>
      </c>
      <c r="U1706" s="95">
        <f>IF($L$1696,$T1706,$N1706)</f>
        <v/>
      </c>
    </row>
    <row r="1707">
      <c r="A1707" s="90" t="n">
        <v>9</v>
      </c>
      <c r="B1707" s="91">
        <f>EDATE($B1706,1)</f>
        <v/>
      </c>
      <c r="C1707" s="92">
        <f>EOMONTH($B1707,0)</f>
        <v/>
      </c>
      <c r="D1707" s="87">
        <f>$C1707-$B1707+1</f>
        <v/>
      </c>
      <c r="E1707" s="87">
        <f>MONTH($B1707)</f>
        <v/>
      </c>
      <c r="F1707" s="93">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$N1707*IF($O$1696=1,$O1707/$F$1696,1)</f>
        <v/>
      </c>
      <c r="T1707" s="95">
        <f>IF($G1707&lt;nr_MStartP,$S1707,$T1695*(1+IF($G1707&lt;nr_MStartP1,$M$1696,$N$1696)))</f>
        <v/>
      </c>
      <c r="U1707" s="95">
        <f>IF($L$1696,$T1707,$N1707)</f>
        <v/>
      </c>
    </row>
    <row r="1708">
      <c r="A1708" s="90" t="n">
        <v>10</v>
      </c>
      <c r="B1708" s="91">
        <f>EDATE($B1707,1)</f>
        <v/>
      </c>
      <c r="C1708" s="92">
        <f>EOMONTH($B1708,0)</f>
        <v/>
      </c>
      <c r="D1708" s="87">
        <f>$C1708-$B1708+1</f>
        <v/>
      </c>
      <c r="E1708" s="87">
        <f>MONTH($B1708)</f>
        <v/>
      </c>
      <c r="F1708" s="93">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$N1708*IF($O$1696=1,$O1708/$F$1696,1)</f>
        <v/>
      </c>
      <c r="T1708" s="95">
        <f>IF($G1708&lt;nr_MStartP,$S1708,$T1696*(1+IF($G1708&lt;nr_MStartP1,$M$1696,$N$1696)))</f>
        <v/>
      </c>
      <c r="U1708" s="95">
        <f>IF($L$1696,$T1708,$N1708)</f>
        <v/>
      </c>
    </row>
    <row r="1709">
      <c r="A1709" s="90" t="n">
        <v>11</v>
      </c>
      <c r="B1709" s="91">
        <f>EDATE($B1708,1)</f>
        <v/>
      </c>
      <c r="C1709" s="92">
        <f>EOMONTH($B1709,0)</f>
        <v/>
      </c>
      <c r="D1709" s="87">
        <f>$C1709-$B1709+1</f>
        <v/>
      </c>
      <c r="E1709" s="87">
        <f>MONTH($B1709)</f>
        <v/>
      </c>
      <c r="F1709" s="93">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$N1709*IF($O$1696=1,$O1709/$F$1696,1)</f>
        <v/>
      </c>
      <c r="T1709" s="95">
        <f>IF($G1709&lt;nr_MStartP,$S1709,$T1697*(1+IF($G1709&lt;nr_MStartP1,$M$1696,$N$1696)))</f>
        <v/>
      </c>
      <c r="U1709" s="95">
        <f>IF($L$1696,$T1709,$N1709)</f>
        <v/>
      </c>
    </row>
    <row r="1710">
      <c r="A1710" s="90" t="n">
        <v>12</v>
      </c>
      <c r="B1710" s="91">
        <f>EDATE($B1709,1)</f>
        <v/>
      </c>
      <c r="C1710" s="92">
        <f>EOMONTH($B1710,0)</f>
        <v/>
      </c>
      <c r="D1710" s="87">
        <f>$C1710-$B1710+1</f>
        <v/>
      </c>
      <c r="E1710" s="87">
        <f>MONTH($B1710)</f>
        <v/>
      </c>
      <c r="F1710" s="93">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$N1710*IF($O$1696=1,$O1710/$F$1696,1)</f>
        <v/>
      </c>
      <c r="T1710" s="95">
        <f>IF($G1710&lt;nr_MStartP,$S1710,$T1698*(1+IF($G1710&lt;nr_MStartP1,$M$1696,$N$1696)))</f>
        <v/>
      </c>
      <c r="U1710" s="95">
        <f>IF($L$1696,$T1710,$N1710)</f>
        <v/>
      </c>
    </row>
    <row r="1711">
      <c r="A1711" s="90" t="n">
        <v>13</v>
      </c>
      <c r="B1711" s="91">
        <f>EDATE($B1710,1)</f>
        <v/>
      </c>
      <c r="C1711" s="92">
        <f>EOMONTH($B1711,0)</f>
        <v/>
      </c>
      <c r="D1711" s="87">
        <f>$C1711-$B1711+1</f>
        <v/>
      </c>
      <c r="E1711" s="87">
        <f>MONTH($B1711)</f>
        <v/>
      </c>
      <c r="F1711" s="93">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$N1711*IF($O$1696=1,$O1711/$F$1696,1)</f>
        <v/>
      </c>
      <c r="T1711" s="95">
        <f>IF($G1711&lt;nr_MStartP,$S1711,$T1699*(1+IF($G1711&lt;nr_MStartP1,$M$1696,$N$1696)))</f>
        <v/>
      </c>
      <c r="U1711" s="95">
        <f>IF($L$1696,$T1711,$N1711)</f>
        <v/>
      </c>
    </row>
    <row r="1712">
      <c r="A1712" s="90" t="n">
        <v>14</v>
      </c>
      <c r="B1712" s="91">
        <f>EDATE($B1711,1)</f>
        <v/>
      </c>
      <c r="C1712" s="92">
        <f>EOMONTH($B1712,0)</f>
        <v/>
      </c>
      <c r="D1712" s="87">
        <f>$C1712-$B1712+1</f>
        <v/>
      </c>
      <c r="E1712" s="87">
        <f>MONTH($B1712)</f>
        <v/>
      </c>
      <c r="F1712" s="93">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$N1712*IF($O$1696=1,$O1712/$F$1696,1)</f>
        <v/>
      </c>
      <c r="T1712" s="95">
        <f>IF($G1712&lt;nr_MStartP,$S1712,$T1700*(1+IF($G1712&lt;nr_MStartP1,$M$1696,$N$1696)))</f>
        <v/>
      </c>
      <c r="U1712" s="95">
        <f>IF($L$1696,$T1712,$N1712)</f>
        <v/>
      </c>
    </row>
    <row r="1713">
      <c r="A1713" s="90" t="n">
        <v>15</v>
      </c>
      <c r="B1713" s="91">
        <f>EDATE($B1712,1)</f>
        <v/>
      </c>
      <c r="C1713" s="92">
        <f>EOMONTH($B1713,0)</f>
        <v/>
      </c>
      <c r="D1713" s="87">
        <f>$C1713-$B1713+1</f>
        <v/>
      </c>
      <c r="E1713" s="87">
        <f>MONTH($B1713)</f>
        <v/>
      </c>
      <c r="F1713" s="93">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$N1713*IF($O$1696=1,$O1713/$F$1696,1)</f>
        <v/>
      </c>
      <c r="T1713" s="95">
        <f>IF($G1713&lt;nr_MStartP,$S1713,$T1701*(1+IF($G1713&lt;nr_MStartP1,$M$1696,$N$1696)))</f>
        <v/>
      </c>
      <c r="U1713" s="95">
        <f>IF($L$1696,$T1713,$N1713)</f>
        <v/>
      </c>
    </row>
    <row r="1714">
      <c r="A1714" s="90" t="n">
        <v>16</v>
      </c>
      <c r="B1714" s="91">
        <f>EDATE($B1713,1)</f>
        <v/>
      </c>
      <c r="C1714" s="92">
        <f>EOMONTH($B1714,0)</f>
        <v/>
      </c>
      <c r="D1714" s="87">
        <f>$C1714-$B1714+1</f>
        <v/>
      </c>
      <c r="E1714" s="87">
        <f>MONTH($B1714)</f>
        <v/>
      </c>
      <c r="F1714" s="93">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$N1714*IF($O$1696=1,$O1714/$F$1696,1)</f>
        <v/>
      </c>
      <c r="T1714" s="95">
        <f>IF($G1714&lt;nr_MStartP,$S1714,$T1702*(1+IF($G1714&lt;nr_MStartP1,$M$1696,$N$1696)))</f>
        <v/>
      </c>
      <c r="U1714" s="95">
        <f>IF($L$1696,$T1714,$N1714)</f>
        <v/>
      </c>
    </row>
    <row r="1715">
      <c r="A1715" s="90" t="n">
        <v>17</v>
      </c>
      <c r="B1715" s="91">
        <f>EDATE($B1714,1)</f>
        <v/>
      </c>
      <c r="C1715" s="92">
        <f>EOMONTH($B1715,0)</f>
        <v/>
      </c>
      <c r="D1715" s="87">
        <f>$C1715-$B1715+1</f>
        <v/>
      </c>
      <c r="E1715" s="87">
        <f>MONTH($B1715)</f>
        <v/>
      </c>
      <c r="F1715" s="93">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$N1715*IF($O$1696=1,$O1715/$F$1696,1)</f>
        <v/>
      </c>
      <c r="T1715" s="95">
        <f>IF($G1715&lt;nr_MStartP,$S1715,$T1703*(1+IF($G1715&lt;nr_MStartP1,$M$1696,$N$1696)))</f>
        <v/>
      </c>
      <c r="U1715" s="95">
        <f>IF($L$1696,$T1715,$N1715)</f>
        <v/>
      </c>
    </row>
    <row r="1716">
      <c r="A1716" s="90" t="n">
        <v>18</v>
      </c>
      <c r="B1716" s="91">
        <f>EDATE($B1715,1)</f>
        <v/>
      </c>
      <c r="C1716" s="92">
        <f>EOMONTH($B1716,0)</f>
        <v/>
      </c>
      <c r="D1716" s="87">
        <f>$C1716-$B1716+1</f>
        <v/>
      </c>
      <c r="E1716" s="87">
        <f>MONTH($B1716)</f>
        <v/>
      </c>
      <c r="F1716" s="93">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$N1716*IF($O$1696=1,$O1716/$F$1696,1)</f>
        <v/>
      </c>
      <c r="T1716" s="95">
        <f>IF($G1716&lt;nr_MStartP,$S1716,$T1704*(1+IF($G1716&lt;nr_MStartP1,$M$1696,$N$1696)))</f>
        <v/>
      </c>
      <c r="U1716" s="95">
        <f>IF($L$1696,$T1716,$N1716)</f>
        <v/>
      </c>
    </row>
    <row r="1717">
      <c r="A1717" s="90" t="n">
        <v>19</v>
      </c>
      <c r="B1717" s="91">
        <f>EDATE($B1716,1)</f>
        <v/>
      </c>
      <c r="C1717" s="92">
        <f>EOMONTH($B1717,0)</f>
        <v/>
      </c>
      <c r="D1717" s="87">
        <f>$C1717-$B1717+1</f>
        <v/>
      </c>
      <c r="E1717" s="87">
        <f>MONTH($B1717)</f>
        <v/>
      </c>
      <c r="F1717" s="93">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$N1717*IF($O$1696=1,$O1717/$F$1696,1)</f>
        <v/>
      </c>
      <c r="T1717" s="95">
        <f>IF($G1717&lt;nr_MStartP,$S1717,$T1705*(1+IF($G1717&lt;nr_MStartP1,$M$1696,$N$1696)))</f>
        <v/>
      </c>
      <c r="U1717" s="95">
        <f>IF($L$1696,$T1717,$N1717)</f>
        <v/>
      </c>
    </row>
    <row r="1718">
      <c r="A1718" s="90" t="n">
        <v>20</v>
      </c>
      <c r="B1718" s="91">
        <f>EDATE($B1717,1)</f>
        <v/>
      </c>
      <c r="C1718" s="92">
        <f>EOMONTH($B1718,0)</f>
        <v/>
      </c>
      <c r="D1718" s="87">
        <f>$C1718-$B1718+1</f>
        <v/>
      </c>
      <c r="E1718" s="87">
        <f>MONTH($B1718)</f>
        <v/>
      </c>
      <c r="F1718" s="93">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$N1718*IF($O$1696=1,$O1718/$F$1696,1)</f>
        <v/>
      </c>
      <c r="T1718" s="95">
        <f>IF($G1718&lt;nr_MStartP,$S1718,$T1706*(1+IF($G1718&lt;nr_MStartP1,$M$1696,$N$1696)))</f>
        <v/>
      </c>
      <c r="U1718" s="95">
        <f>IF($L$1696,$T1718,$N1718)</f>
        <v/>
      </c>
    </row>
    <row r="1719">
      <c r="A1719" s="90" t="n">
        <v>21</v>
      </c>
      <c r="B1719" s="91">
        <f>EDATE($B1718,1)</f>
        <v/>
      </c>
      <c r="C1719" s="92">
        <f>EOMONTH($B1719,0)</f>
        <v/>
      </c>
      <c r="D1719" s="87">
        <f>$C1719-$B1719+1</f>
        <v/>
      </c>
      <c r="E1719" s="87">
        <f>MONTH($B1719)</f>
        <v/>
      </c>
      <c r="F1719" s="93">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$N1719*IF($O$1696=1,$O1719/$F$1696,1)</f>
        <v/>
      </c>
      <c r="T1719" s="95">
        <f>IF($G1719&lt;nr_MStartP,$S1719,$T1707*(1+IF($G1719&lt;nr_MStartP1,$M$1696,$N$1696)))</f>
        <v/>
      </c>
      <c r="U1719" s="95">
        <f>IF($L$1696,$T1719,$N1719)</f>
        <v/>
      </c>
    </row>
    <row r="1720">
      <c r="A1720" s="90" t="n">
        <v>22</v>
      </c>
      <c r="B1720" s="91">
        <f>EDATE($B1719,1)</f>
        <v/>
      </c>
      <c r="C1720" s="92">
        <f>EOMONTH($B1720,0)</f>
        <v/>
      </c>
      <c r="D1720" s="87">
        <f>$C1720-$B1720+1</f>
        <v/>
      </c>
      <c r="E1720" s="87">
        <f>MONTH($B1720)</f>
        <v/>
      </c>
      <c r="F1720" s="93">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$N1720*IF($O$1696=1,$O1720/$F$1696,1)</f>
        <v/>
      </c>
      <c r="T1720" s="95">
        <f>IF($G1720&lt;nr_MStartP,$S1720,$T1708*(1+IF($G1720&lt;nr_MStartP1,$M$1696,$N$1696)))</f>
        <v/>
      </c>
      <c r="U1720" s="95">
        <f>IF($L$1696,$T1720,$N1720)</f>
        <v/>
      </c>
    </row>
    <row r="1721">
      <c r="A1721" s="90" t="n">
        <v>23</v>
      </c>
      <c r="B1721" s="91">
        <f>EDATE($B1720,1)</f>
        <v/>
      </c>
      <c r="C1721" s="92">
        <f>EOMONTH($B1721,0)</f>
        <v/>
      </c>
      <c r="D1721" s="87">
        <f>$C1721-$B1721+1</f>
        <v/>
      </c>
      <c r="E1721" s="87">
        <f>MONTH($B1721)</f>
        <v/>
      </c>
      <c r="F1721" s="93">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$N1721*IF($O$1696=1,$O1721/$F$1696,1)</f>
        <v/>
      </c>
      <c r="T1721" s="95">
        <f>IF($G1721&lt;nr_MStartP,$S1721,$T1709*(1+IF($G1721&lt;nr_MStartP1,$M$1696,$N$1696)))</f>
        <v/>
      </c>
      <c r="U1721" s="95">
        <f>IF($L$1696,$T1721,$N1721)</f>
        <v/>
      </c>
    </row>
    <row r="1722">
      <c r="A1722" s="90" t="n">
        <v>24</v>
      </c>
      <c r="B1722" s="91">
        <f>EDATE($B1721,1)</f>
        <v/>
      </c>
      <c r="C1722" s="92">
        <f>EOMONTH($B1722,0)</f>
        <v/>
      </c>
      <c r="D1722" s="87">
        <f>$C1722-$B1722+1</f>
        <v/>
      </c>
      <c r="E1722" s="87">
        <f>MONTH($B1722)</f>
        <v/>
      </c>
      <c r="F1722" s="93">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$N1722*IF($O$1696=1,$O1722/$F$1696,1)</f>
        <v/>
      </c>
      <c r="T1722" s="95">
        <f>IF($G1722&lt;nr_MStartP,$S1722,$T1710*(1+IF($G1722&lt;nr_MStartP1,$M$1696,$N$1696)))</f>
        <v/>
      </c>
      <c r="U1722" s="95">
        <f>IF($L$1696,$T1722,$N1722)</f>
        <v/>
      </c>
    </row>
    <row r="1723">
      <c r="A1723" s="90" t="n">
        <v>25</v>
      </c>
      <c r="B1723" s="91">
        <f>EDATE($B1722,1)</f>
        <v/>
      </c>
      <c r="C1723" s="92">
        <f>EOMONTH($B1723,0)</f>
        <v/>
      </c>
      <c r="D1723" s="87">
        <f>$C1723-$B1723+1</f>
        <v/>
      </c>
      <c r="E1723" s="87">
        <f>MONTH($B1723)</f>
        <v/>
      </c>
      <c r="F1723" s="93">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$N1723*IF($O$1696=1,$O1723/$F$1696,1)</f>
        <v/>
      </c>
      <c r="T1723" s="95">
        <f>IF($G1723&lt;nr_MStartP,$S1723,$T1711*(1+IF($G1723&lt;nr_MStartP1,$M$1696,$N$1696)))</f>
        <v/>
      </c>
      <c r="U1723" s="95">
        <f>IF($L$1696,$T1723,$N1723)</f>
        <v/>
      </c>
    </row>
    <row r="1724">
      <c r="A1724" s="90" t="n">
        <v>26</v>
      </c>
      <c r="B1724" s="91">
        <f>EDATE($B1723,1)</f>
        <v/>
      </c>
      <c r="C1724" s="92">
        <f>EOMONTH($B1724,0)</f>
        <v/>
      </c>
      <c r="D1724" s="87">
        <f>$C1724-$B1724+1</f>
        <v/>
      </c>
      <c r="E1724" s="87">
        <f>MONTH($B1724)</f>
        <v/>
      </c>
      <c r="F1724" s="93">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$N1724*IF($O$1696=1,$O1724/$F$1696,1)</f>
        <v/>
      </c>
      <c r="T1724" s="95">
        <f>IF($G1724&lt;nr_MStartP,$S1724,$T1712*(1+IF($G1724&lt;nr_MStartP1,$M$1696,$N$1696)))</f>
        <v/>
      </c>
      <c r="U1724" s="95">
        <f>IF($L$1696,$T1724,$N1724)</f>
        <v/>
      </c>
    </row>
    <row r="1725">
      <c r="A1725" s="90" t="n">
        <v>27</v>
      </c>
      <c r="B1725" s="91">
        <f>EDATE($B1724,1)</f>
        <v/>
      </c>
      <c r="C1725" s="92">
        <f>EOMONTH($B1725,0)</f>
        <v/>
      </c>
      <c r="D1725" s="87">
        <f>$C1725-$B1725+1</f>
        <v/>
      </c>
      <c r="E1725" s="87">
        <f>MONTH($B1725)</f>
        <v/>
      </c>
      <c r="F1725" s="93">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$N1725*IF($O$1696=1,$O1725/$F$1696,1)</f>
        <v/>
      </c>
      <c r="T1725" s="95">
        <f>IF($G1725&lt;nr_MStartP,$S1725,$T1713*(1+IF($G1725&lt;nr_MStartP1,$M$1696,$N$1696)))</f>
        <v/>
      </c>
      <c r="U1725" s="95">
        <f>IF($L$1696,$T1725,$N1725)</f>
        <v/>
      </c>
    </row>
    <row r="1726">
      <c r="A1726" s="90" t="n">
        <v>28</v>
      </c>
      <c r="B1726" s="91">
        <f>EDATE($B1725,1)</f>
        <v/>
      </c>
      <c r="C1726" s="92">
        <f>EOMONTH($B1726,0)</f>
        <v/>
      </c>
      <c r="D1726" s="87">
        <f>$C1726-$B1726+1</f>
        <v/>
      </c>
      <c r="E1726" s="87">
        <f>MONTH($B1726)</f>
        <v/>
      </c>
      <c r="F1726" s="93">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$N1726*IF($O$1696=1,$O1726/$F$1696,1)</f>
        <v/>
      </c>
      <c r="T1726" s="95">
        <f>IF($G1726&lt;nr_MStartP,$S1726,$T1714*(1+IF($G1726&lt;nr_MStartP1,$M$1696,$N$1696)))</f>
        <v/>
      </c>
      <c r="U1726" s="95">
        <f>IF($L$1696,$T1726,$N1726)</f>
        <v/>
      </c>
    </row>
    <row r="1727">
      <c r="A1727" s="90" t="n">
        <v>29</v>
      </c>
      <c r="B1727" s="91">
        <f>EDATE($B1726,1)</f>
        <v/>
      </c>
      <c r="C1727" s="92">
        <f>EOMONTH($B1727,0)</f>
        <v/>
      </c>
      <c r="D1727" s="87">
        <f>$C1727-$B1727+1</f>
        <v/>
      </c>
      <c r="E1727" s="87">
        <f>MONTH($B1727)</f>
        <v/>
      </c>
      <c r="F1727" s="93">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$N1727*IF($O$1696=1,$O1727/$F$1696,1)</f>
        <v/>
      </c>
      <c r="T1727" s="95">
        <f>IF($G1727&lt;nr_MStartP,$S1727,$T1715*(1+IF($G1727&lt;nr_MStartP1,$M$1696,$N$1696)))</f>
        <v/>
      </c>
      <c r="U1727" s="95">
        <f>IF($L$1696,$T1727,$N1727)</f>
        <v/>
      </c>
    </row>
    <row r="1728">
      <c r="A1728" s="90" t="n">
        <v>30</v>
      </c>
      <c r="B1728" s="91">
        <f>EDATE($B1727,1)</f>
        <v/>
      </c>
      <c r="C1728" s="92">
        <f>EOMONTH($B1728,0)</f>
        <v/>
      </c>
      <c r="D1728" s="87">
        <f>$C1728-$B1728+1</f>
        <v/>
      </c>
      <c r="E1728" s="87">
        <f>MONTH($B1728)</f>
        <v/>
      </c>
      <c r="F1728" s="93">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$N1728*IF($O$1696=1,$O1728/$F$1696,1)</f>
        <v/>
      </c>
      <c r="T1728" s="95">
        <f>IF($G1728&lt;nr_MStartP,$S1728,$T1716*(1+IF($G1728&lt;nr_MStartP1,$M$1696,$N$1696)))</f>
        <v/>
      </c>
      <c r="U1728" s="95">
        <f>IF($L$1696,$T1728,$N1728)</f>
        <v/>
      </c>
    </row>
    <row r="1729">
      <c r="A1729" s="90" t="n">
        <v>31</v>
      </c>
      <c r="B1729" s="91">
        <f>EDATE($B1728,1)</f>
        <v/>
      </c>
      <c r="C1729" s="92">
        <f>EOMONTH($B1729,0)</f>
        <v/>
      </c>
      <c r="D1729" s="87">
        <f>$C1729-$B1729+1</f>
        <v/>
      </c>
      <c r="E1729" s="87">
        <f>MONTH($B1729)</f>
        <v/>
      </c>
      <c r="F1729" s="93">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$N1729*IF($O$1696=1,$O1729/$F$1696,1)</f>
        <v/>
      </c>
      <c r="T1729" s="95">
        <f>IF($G1729&lt;nr_MStartP,$S1729,$T1717*(1+IF($G1729&lt;nr_MStartP1,$M$1696,$N$1696)))</f>
        <v/>
      </c>
      <c r="U1729" s="95">
        <f>IF($L$1696,$T1729,$N1729)</f>
        <v/>
      </c>
    </row>
    <row r="1730">
      <c r="A1730" s="90" t="n">
        <v>32</v>
      </c>
      <c r="B1730" s="91">
        <f>EDATE($B1729,1)</f>
        <v/>
      </c>
      <c r="C1730" s="92">
        <f>EOMONTH($B1730,0)</f>
        <v/>
      </c>
      <c r="D1730" s="87">
        <f>$C1730-$B1730+1</f>
        <v/>
      </c>
      <c r="E1730" s="87">
        <f>MONTH($B1730)</f>
        <v/>
      </c>
      <c r="F1730" s="93">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$N1730*IF($O$1696=1,$O1730/$F$1696,1)</f>
        <v/>
      </c>
      <c r="T1730" s="95">
        <f>IF($G1730&lt;nr_MStartP,$S1730,$T1718*(1+IF($G1730&lt;nr_MStartP1,$M$1696,$N$1696)))</f>
        <v/>
      </c>
      <c r="U1730" s="95">
        <f>IF($L$1696,$T1730,$N1730)</f>
        <v/>
      </c>
    </row>
    <row r="1731">
      <c r="A1731" s="90" t="n">
        <v>33</v>
      </c>
      <c r="B1731" s="91">
        <f>EDATE($B1730,1)</f>
        <v/>
      </c>
      <c r="C1731" s="92">
        <f>EOMONTH($B1731,0)</f>
        <v/>
      </c>
      <c r="D1731" s="87">
        <f>$C1731-$B1731+1</f>
        <v/>
      </c>
      <c r="E1731" s="87">
        <f>MONTH($B1731)</f>
        <v/>
      </c>
      <c r="F1731" s="93">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$N1731*IF($O$1696=1,$O1731/$F$1696,1)</f>
        <v/>
      </c>
      <c r="T1731" s="95">
        <f>IF($G1731&lt;nr_MStartP,$S1731,$T1719*(1+IF($G1731&lt;nr_MStartP1,$M$1696,$N$1696)))</f>
        <v/>
      </c>
      <c r="U1731" s="95">
        <f>IF($L$1696,$T1731,$N1731)</f>
        <v/>
      </c>
    </row>
    <row r="1732">
      <c r="A1732" s="90" t="n">
        <v>34</v>
      </c>
      <c r="B1732" s="91">
        <f>EDATE($B1731,1)</f>
        <v/>
      </c>
      <c r="C1732" s="92">
        <f>EOMONTH($B1732,0)</f>
        <v/>
      </c>
      <c r="D1732" s="87">
        <f>$C1732-$B1732+1</f>
        <v/>
      </c>
      <c r="E1732" s="87">
        <f>MONTH($B1732)</f>
        <v/>
      </c>
      <c r="F1732" s="93">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$N1732*IF($O$1696=1,$O1732/$F$1696,1)</f>
        <v/>
      </c>
      <c r="T1732" s="95">
        <f>IF($G1732&lt;nr_MStartP,$S1732,$T1720*(1+IF($G1732&lt;nr_MStartP1,$M$1696,$N$1696)))</f>
        <v/>
      </c>
      <c r="U1732" s="95">
        <f>IF($L$1696,$T1732,$N1732)</f>
        <v/>
      </c>
    </row>
    <row r="1733">
      <c r="A1733" s="90" t="n">
        <v>35</v>
      </c>
      <c r="B1733" s="91">
        <f>EDATE($B1732,1)</f>
        <v/>
      </c>
      <c r="C1733" s="92">
        <f>EOMONTH($B1733,0)</f>
        <v/>
      </c>
      <c r="D1733" s="87">
        <f>$C1733-$B1733+1</f>
        <v/>
      </c>
      <c r="E1733" s="87">
        <f>MONTH($B1733)</f>
        <v/>
      </c>
      <c r="F1733" s="93">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$N1733*IF($O$1696=1,$O1733/$F$1696,1)</f>
        <v/>
      </c>
      <c r="T1733" s="95">
        <f>IF($G1733&lt;nr_MStartP,$S1733,$T1721*(1+IF($G1733&lt;nr_MStartP1,$M$1696,$N$1696)))</f>
        <v/>
      </c>
      <c r="U1733" s="95">
        <f>IF($L$1696,$T1733,$N1733)</f>
        <v/>
      </c>
    </row>
    <row r="1734">
      <c r="A1734" s="90" t="n">
        <v>36</v>
      </c>
      <c r="B1734" s="91">
        <f>EDATE($B1733,1)</f>
        <v/>
      </c>
      <c r="C1734" s="92">
        <f>EOMONTH($B1734,0)</f>
        <v/>
      </c>
      <c r="D1734" s="87">
        <f>$C1734-$B1734+1</f>
        <v/>
      </c>
      <c r="E1734" s="87">
        <f>MONTH($B1734)</f>
        <v/>
      </c>
      <c r="F1734" s="93">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$N1734*IF($O$1696=1,$O1734/$F$1696,1)</f>
        <v/>
      </c>
      <c r="T1734" s="95">
        <f>IF($G1734&lt;nr_MStartP,$S1734,$T1722*(1+IF($G1734&lt;nr_MStartP1,$M$1696,$N$1696)))</f>
        <v/>
      </c>
      <c r="U1734" s="95">
        <f>IF($L$1696,$T1734,$N1734)</f>
        <v/>
      </c>
    </row>
    <row r="1735">
      <c r="A1735" s="90" t="n">
        <v>37</v>
      </c>
      <c r="B1735" s="91">
        <f>EDATE($B1734,1)</f>
        <v/>
      </c>
      <c r="C1735" s="92">
        <f>EOMONTH($B1735,0)</f>
        <v/>
      </c>
      <c r="D1735" s="87">
        <f>$C1735-$B1735+1</f>
        <v/>
      </c>
      <c r="E1735" s="87">
        <f>MONTH($B1735)</f>
        <v/>
      </c>
      <c r="F1735" s="93">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$N1735*IF($O$1696=1,$O1735/$F$1696,1)</f>
        <v/>
      </c>
      <c r="T1735" s="95">
        <f>IF($G1735&lt;nr_MStartP,$S1735,$T1723*(1+IF($G1735&lt;nr_MStartP1,$M$1696,$N$1696)))</f>
        <v/>
      </c>
      <c r="U1735" s="95">
        <f>IF($L$1696,$T1735,$N1735)</f>
        <v/>
      </c>
    </row>
    <row r="1736">
      <c r="A1736" s="90" t="n">
        <v>38</v>
      </c>
      <c r="B1736" s="91">
        <f>EDATE($B1735,1)</f>
        <v/>
      </c>
      <c r="C1736" s="92">
        <f>EOMONTH($B1736,0)</f>
        <v/>
      </c>
      <c r="D1736" s="87">
        <f>$C1736-$B1736+1</f>
        <v/>
      </c>
      <c r="E1736" s="87">
        <f>MONTH($B1736)</f>
        <v/>
      </c>
      <c r="F1736" s="93">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$N1736*IF($O$1696=1,$O1736/$F$1696,1)</f>
        <v/>
      </c>
      <c r="T1736" s="95">
        <f>IF($G1736&lt;nr_MStartP,$S1736,$T1724*(1+IF($G1736&lt;nr_MStartP1,$M$1696,$N$1696)))</f>
        <v/>
      </c>
      <c r="U1736" s="95">
        <f>IF($L$1696,$T1736,$N1736)</f>
        <v/>
      </c>
    </row>
    <row r="1737">
      <c r="A1737" s="90" t="n">
        <v>39</v>
      </c>
      <c r="B1737" s="91">
        <f>EDATE($B1736,1)</f>
        <v/>
      </c>
      <c r="C1737" s="92">
        <f>EOMONTH($B1737,0)</f>
        <v/>
      </c>
      <c r="D1737" s="87">
        <f>$C1737-$B1737+1</f>
        <v/>
      </c>
      <c r="E1737" s="87">
        <f>MONTH($B1737)</f>
        <v/>
      </c>
      <c r="F1737" s="93">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$N1737*IF($O$1696=1,$O1737/$F$1696,1)</f>
        <v/>
      </c>
      <c r="T1737" s="95">
        <f>IF($G1737&lt;nr_MStartP,$S1737,$T1725*(1+IF($G1737&lt;nr_MStartP1,$M$1696,$N$1696)))</f>
        <v/>
      </c>
      <c r="U1737" s="95">
        <f>IF($L$1696,$T1737,$N1737)</f>
        <v/>
      </c>
    </row>
    <row r="1738">
      <c r="A1738" s="90" t="n">
        <v>40</v>
      </c>
      <c r="B1738" s="91">
        <f>EDATE($B1737,1)</f>
        <v/>
      </c>
      <c r="C1738" s="92">
        <f>EOMONTH($B1738,0)</f>
        <v/>
      </c>
      <c r="D1738" s="87">
        <f>$C1738-$B1738+1</f>
        <v/>
      </c>
      <c r="E1738" s="87">
        <f>MONTH($B1738)</f>
        <v/>
      </c>
      <c r="F1738" s="93">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$N1738*IF($O$1696=1,$O1738/$F$1696,1)</f>
        <v/>
      </c>
      <c r="T1738" s="95">
        <f>IF($G1738&lt;nr_MStartP,$S1738,$T1726*(1+IF($G1738&lt;nr_MStartP1,$M$1696,$N$1696)))</f>
        <v/>
      </c>
      <c r="U1738" s="95">
        <f>IF($L$1696,$T1738,$N1738)</f>
        <v/>
      </c>
    </row>
    <row r="1739">
      <c r="A1739" s="90" t="n">
        <v>41</v>
      </c>
      <c r="B1739" s="91">
        <f>EDATE($B1738,1)</f>
        <v/>
      </c>
      <c r="C1739" s="92">
        <f>EOMONTH($B1739,0)</f>
        <v/>
      </c>
      <c r="D1739" s="87">
        <f>$C1739-$B1739+1</f>
        <v/>
      </c>
      <c r="E1739" s="87">
        <f>MONTH($B1739)</f>
        <v/>
      </c>
      <c r="F1739" s="93">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$N1739*IF($O$1696=1,$O1739/$F$1696,1)</f>
        <v/>
      </c>
      <c r="T1739" s="95">
        <f>IF($G1739&lt;nr_MStartP,$S1739,$T1727*(1+IF($G1739&lt;nr_MStartP1,$M$1696,$N$1696)))</f>
        <v/>
      </c>
      <c r="U1739" s="95">
        <f>IF($L$1696,$T1739,$N1739)</f>
        <v/>
      </c>
    </row>
    <row r="1740">
      <c r="A1740" s="90" t="n">
        <v>42</v>
      </c>
      <c r="B1740" s="91">
        <f>EDATE($B1739,1)</f>
        <v/>
      </c>
      <c r="C1740" s="92">
        <f>EOMONTH($B1740,0)</f>
        <v/>
      </c>
      <c r="D1740" s="87">
        <f>$C1740-$B1740+1</f>
        <v/>
      </c>
      <c r="E1740" s="87">
        <f>MONTH($B1740)</f>
        <v/>
      </c>
      <c r="F1740" s="93">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$N1740*IF($O$1696=1,$O1740/$F$1696,1)</f>
        <v/>
      </c>
      <c r="T1740" s="95">
        <f>IF($G1740&lt;nr_MStartP,$S1740,$T1728*(1+IF($G1740&lt;nr_MStartP1,$M$1696,$N$1696)))</f>
        <v/>
      </c>
      <c r="U1740" s="95">
        <f>IF($L$1696,$T1740,$N1740)</f>
        <v/>
      </c>
    </row>
    <row r="1741">
      <c r="A1741" s="90" t="n">
        <v>43</v>
      </c>
      <c r="B1741" s="91">
        <f>EDATE($B1740,1)</f>
        <v/>
      </c>
      <c r="C1741" s="92">
        <f>EOMONTH($B1741,0)</f>
        <v/>
      </c>
      <c r="D1741" s="87">
        <f>$C1741-$B1741+1</f>
        <v/>
      </c>
      <c r="E1741" s="87">
        <f>MONTH($B1741)</f>
        <v/>
      </c>
      <c r="F1741" s="93">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$N1741*IF($O$1696=1,$O1741/$F$1696,1)</f>
        <v/>
      </c>
      <c r="T1741" s="95">
        <f>IF($G1741&lt;nr_MStartP,$S1741,$T1729*(1+IF($G1741&lt;nr_MStartP1,$M$1696,$N$1696)))</f>
        <v/>
      </c>
      <c r="U1741" s="95">
        <f>IF($L$1696,$T1741,$N1741)</f>
        <v/>
      </c>
    </row>
    <row r="1742">
      <c r="A1742" s="90" t="n">
        <v>44</v>
      </c>
      <c r="B1742" s="91">
        <f>EDATE($B1741,1)</f>
        <v/>
      </c>
      <c r="C1742" s="92">
        <f>EOMONTH($B1742,0)</f>
        <v/>
      </c>
      <c r="D1742" s="87">
        <f>$C1742-$B1742+1</f>
        <v/>
      </c>
      <c r="E1742" s="87">
        <f>MONTH($B1742)</f>
        <v/>
      </c>
      <c r="F1742" s="93">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$N1742*IF($O$1696=1,$O1742/$F$1696,1)</f>
        <v/>
      </c>
      <c r="T1742" s="95">
        <f>IF($G1742&lt;nr_MStartP,$S1742,$T1730*(1+IF($G1742&lt;nr_MStartP1,$M$1696,$N$1696)))</f>
        <v/>
      </c>
      <c r="U1742" s="95">
        <f>IF($L$1696,$T1742,$N1742)</f>
        <v/>
      </c>
    </row>
    <row r="1743">
      <c r="A1743" s="90" t="n">
        <v>45</v>
      </c>
      <c r="B1743" s="91">
        <f>EDATE($B1742,1)</f>
        <v/>
      </c>
      <c r="C1743" s="92">
        <f>EOMONTH($B1743,0)</f>
        <v/>
      </c>
      <c r="D1743" s="87">
        <f>$C1743-$B1743+1</f>
        <v/>
      </c>
      <c r="E1743" s="87">
        <f>MONTH($B1743)</f>
        <v/>
      </c>
      <c r="F1743" s="93">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$N1743*IF($O$1696=1,$O1743/$F$1696,1)</f>
        <v/>
      </c>
      <c r="T1743" s="95">
        <f>IF($G1743&lt;nr_MStartP,$S1743,$T1731*(1+IF($G1743&lt;nr_MStartP1,$M$1696,$N$1696)))</f>
        <v/>
      </c>
      <c r="U1743" s="95">
        <f>IF($L$1696,$T1743,$N1743)</f>
        <v/>
      </c>
    </row>
    <row r="1744">
      <c r="A1744" s="90" t="n">
        <v>46</v>
      </c>
      <c r="B1744" s="91">
        <f>EDATE($B1743,1)</f>
        <v/>
      </c>
      <c r="C1744" s="92">
        <f>EOMONTH($B1744,0)</f>
        <v/>
      </c>
      <c r="D1744" s="87">
        <f>$C1744-$B1744+1</f>
        <v/>
      </c>
      <c r="E1744" s="87">
        <f>MONTH($B1744)</f>
        <v/>
      </c>
      <c r="F1744" s="93">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$N1744*IF($O$1696=1,$O1744/$F$1696,1)</f>
        <v/>
      </c>
      <c r="T1744" s="95">
        <f>IF($G1744&lt;nr_MStartP,$S1744,$T1732*(1+IF($G1744&lt;nr_MStartP1,$M$1696,$N$1696)))</f>
        <v/>
      </c>
      <c r="U1744" s="95">
        <f>IF($L$1696,$T1744,$N1744)</f>
        <v/>
      </c>
    </row>
    <row r="1745">
      <c r="A1745" s="90" t="n">
        <v>47</v>
      </c>
      <c r="B1745" s="91">
        <f>EDATE($B1744,1)</f>
        <v/>
      </c>
      <c r="C1745" s="92">
        <f>EOMONTH($B1745,0)</f>
        <v/>
      </c>
      <c r="D1745" s="87">
        <f>$C1745-$B1745+1</f>
        <v/>
      </c>
      <c r="E1745" s="87">
        <f>MONTH($B1745)</f>
        <v/>
      </c>
      <c r="F1745" s="93">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$N1745*IF($O$1696=1,$O1745/$F$1696,1)</f>
        <v/>
      </c>
      <c r="T1745" s="95">
        <f>IF($G1745&lt;nr_MStartP,$S1745,$T1733*(1+IF($G1745&lt;nr_MStartP1,$M$1696,$N$1696)))</f>
        <v/>
      </c>
      <c r="U1745" s="95">
        <f>IF($L$1696,$T1745,$N1745)</f>
        <v/>
      </c>
    </row>
    <row r="1746">
      <c r="A1746" s="90" t="n">
        <v>48</v>
      </c>
      <c r="B1746" s="91">
        <f>EDATE($B1745,1)</f>
        <v/>
      </c>
      <c r="C1746" s="92">
        <f>EOMONTH($B1746,0)</f>
        <v/>
      </c>
      <c r="D1746" s="87">
        <f>$C1746-$B1746+1</f>
        <v/>
      </c>
      <c r="E1746" s="87">
        <f>MONTH($B1746)</f>
        <v/>
      </c>
      <c r="F1746" s="93">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$N1746*IF($O$1696=1,$O1746/$F$1696,1)</f>
        <v/>
      </c>
      <c r="T1746" s="95">
        <f>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04">
        <f>SUMPRODUCT($H$1699:$H$1746,$Q$1699:$Q$1746,$O$1699:$O$1746)/SUMPRODUCT($H$1699:$H$1746,$Q$1699:$Q$1746)</f>
        <v/>
      </c>
      <c r="G1747" s="20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04">
        <f>IF(N(INDEX(lr_mind,32))=0,1,INDEX(lr_mind,32))</f>
        <v/>
      </c>
      <c r="G1750" s="204">
        <f>IF(N(INDEX(lr_m0,32))=0,1,INDEX(lr_m0,32))</f>
        <v/>
      </c>
      <c r="H1750" s="73">
        <f>IF(N(INDEX(lr_m0asof,32))=0,DATE(nr_PlanYear-1,10,1),INDEX(lr_m0asof,32))</f>
        <v/>
      </c>
      <c r="I1750" s="204">
        <f>IF(N(INDEX(lr_m1,32))=0,1,INDEX(lr_m1,32))</f>
        <v/>
      </c>
      <c r="J1750" s="204">
        <f>INDEX(lr_mprior,32)</f>
        <v/>
      </c>
      <c r="K1750" s="20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93">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$N1753*IF($O$1750=1,$O1753/$F$1750,1)</f>
        <v/>
      </c>
      <c r="T1753" s="95">
        <f>IF($G1753&lt;nr_MStartP,$S1753,$T1741*(1+IF($G1753&lt;nr_MStartP1,$M$1750,$N$1750)))</f>
        <v/>
      </c>
      <c r="U1753" s="95">
        <f>IF($L$1750,$T1753,$N1753)</f>
        <v/>
      </c>
    </row>
    <row r="1754">
      <c r="A1754" s="90" t="n">
        <v>2</v>
      </c>
      <c r="B1754" s="91">
        <f>EDATE($B1753,1)</f>
        <v/>
      </c>
      <c r="C1754" s="92">
        <f>EOMONTH($B1754,0)</f>
        <v/>
      </c>
      <c r="D1754" s="87">
        <f>$C1754-$B1754+1</f>
        <v/>
      </c>
      <c r="E1754" s="87">
        <f>MONTH($B1754)</f>
        <v/>
      </c>
      <c r="F1754" s="93">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$N1754*IF($O$1750=1,$O1754/$F$1750,1)</f>
        <v/>
      </c>
      <c r="T1754" s="95">
        <f>IF($G1754&lt;nr_MStartP,$S1754,$T1742*(1+IF($G1754&lt;nr_MStartP1,$M$1750,$N$1750)))</f>
        <v/>
      </c>
      <c r="U1754" s="95">
        <f>IF($L$1750,$T1754,$N1754)</f>
        <v/>
      </c>
    </row>
    <row r="1755">
      <c r="A1755" s="90" t="n">
        <v>3</v>
      </c>
      <c r="B1755" s="91">
        <f>EDATE($B1754,1)</f>
        <v/>
      </c>
      <c r="C1755" s="92">
        <f>EOMONTH($B1755,0)</f>
        <v/>
      </c>
      <c r="D1755" s="87">
        <f>$C1755-$B1755+1</f>
        <v/>
      </c>
      <c r="E1755" s="87">
        <f>MONTH($B1755)</f>
        <v/>
      </c>
      <c r="F1755" s="93">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$N1755*IF($O$1750=1,$O1755/$F$1750,1)</f>
        <v/>
      </c>
      <c r="T1755" s="95">
        <f>IF($G1755&lt;nr_MStartP,$S1755,$T1743*(1+IF($G1755&lt;nr_MStartP1,$M$1750,$N$1750)))</f>
        <v/>
      </c>
      <c r="U1755" s="95">
        <f>IF($L$1750,$T1755,$N1755)</f>
        <v/>
      </c>
    </row>
    <row r="1756">
      <c r="A1756" s="90" t="n">
        <v>4</v>
      </c>
      <c r="B1756" s="91">
        <f>EDATE($B1755,1)</f>
        <v/>
      </c>
      <c r="C1756" s="92">
        <f>EOMONTH($B1756,0)</f>
        <v/>
      </c>
      <c r="D1756" s="87">
        <f>$C1756-$B1756+1</f>
        <v/>
      </c>
      <c r="E1756" s="87">
        <f>MONTH($B1756)</f>
        <v/>
      </c>
      <c r="F1756" s="93">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$N1756*IF($O$1750=1,$O1756/$F$1750,1)</f>
        <v/>
      </c>
      <c r="T1756" s="95">
        <f>IF($G1756&lt;nr_MStartP,$S1756,$T1744*(1+IF($G1756&lt;nr_MStartP1,$M$1750,$N$1750)))</f>
        <v/>
      </c>
      <c r="U1756" s="95">
        <f>IF($L$1750,$T1756,$N1756)</f>
        <v/>
      </c>
    </row>
    <row r="1757">
      <c r="A1757" s="90" t="n">
        <v>5</v>
      </c>
      <c r="B1757" s="91">
        <f>EDATE($B1756,1)</f>
        <v/>
      </c>
      <c r="C1757" s="92">
        <f>EOMONTH($B1757,0)</f>
        <v/>
      </c>
      <c r="D1757" s="87">
        <f>$C1757-$B1757+1</f>
        <v/>
      </c>
      <c r="E1757" s="87">
        <f>MONTH($B1757)</f>
        <v/>
      </c>
      <c r="F1757" s="93">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$N1757*IF($O$1750=1,$O1757/$F$1750,1)</f>
        <v/>
      </c>
      <c r="T1757" s="95">
        <f>IF($G1757&lt;nr_MStartP,$S1757,$T1745*(1+IF($G1757&lt;nr_MStartP1,$M$1750,$N$1750)))</f>
        <v/>
      </c>
      <c r="U1757" s="95">
        <f>IF($L$1750,$T1757,$N1757)</f>
        <v/>
      </c>
    </row>
    <row r="1758">
      <c r="A1758" s="90" t="n">
        <v>6</v>
      </c>
      <c r="B1758" s="91">
        <f>EDATE($B1757,1)</f>
        <v/>
      </c>
      <c r="C1758" s="92">
        <f>EOMONTH($B1758,0)</f>
        <v/>
      </c>
      <c r="D1758" s="87">
        <f>$C1758-$B1758+1</f>
        <v/>
      </c>
      <c r="E1758" s="87">
        <f>MONTH($B1758)</f>
        <v/>
      </c>
      <c r="F1758" s="93">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$N1758*IF($O$1750=1,$O1758/$F$1750,1)</f>
        <v/>
      </c>
      <c r="T1758" s="95">
        <f>IF($G1758&lt;nr_MStartP,$S1758,$T1746*(1+IF($G1758&lt;nr_MStartP1,$M$1750,$N$1750)))</f>
        <v/>
      </c>
      <c r="U1758" s="95">
        <f>IF($L$1750,$T1758,$N1758)</f>
        <v/>
      </c>
    </row>
    <row r="1759">
      <c r="A1759" s="90" t="n">
        <v>7</v>
      </c>
      <c r="B1759" s="91">
        <f>EDATE($B1758,1)</f>
        <v/>
      </c>
      <c r="C1759" s="92">
        <f>EOMONTH($B1759,0)</f>
        <v/>
      </c>
      <c r="D1759" s="87">
        <f>$C1759-$B1759+1</f>
        <v/>
      </c>
      <c r="E1759" s="87">
        <f>MONTH($B1759)</f>
        <v/>
      </c>
      <c r="F1759" s="93">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$N1759*IF($O$1750=1,$O1759/$F$1750,1)</f>
        <v/>
      </c>
      <c r="T1759" s="95">
        <f>IF($G1759&lt;nr_MStartP,$S1759,$T1747*(1+IF($G1759&lt;nr_MStartP1,$M$1750,$N$1750)))</f>
        <v/>
      </c>
      <c r="U1759" s="95">
        <f>IF($L$1750,$T1759,$N1759)</f>
        <v/>
      </c>
    </row>
    <row r="1760">
      <c r="A1760" s="90" t="n">
        <v>8</v>
      </c>
      <c r="B1760" s="91">
        <f>EDATE($B1759,1)</f>
        <v/>
      </c>
      <c r="C1760" s="92">
        <f>EOMONTH($B1760,0)</f>
        <v/>
      </c>
      <c r="D1760" s="87">
        <f>$C1760-$B1760+1</f>
        <v/>
      </c>
      <c r="E1760" s="87">
        <f>MONTH($B1760)</f>
        <v/>
      </c>
      <c r="F1760" s="93">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$N1760*IF($O$1750=1,$O1760/$F$1750,1)</f>
        <v/>
      </c>
      <c r="T1760" s="95">
        <f>IF($G1760&lt;nr_MStartP,$S1760,$T1748*(1+IF($G1760&lt;nr_MStartP1,$M$1750,$N$1750)))</f>
        <v/>
      </c>
      <c r="U1760" s="95">
        <f>IF($L$1750,$T1760,$N1760)</f>
        <v/>
      </c>
    </row>
    <row r="1761">
      <c r="A1761" s="90" t="n">
        <v>9</v>
      </c>
      <c r="B1761" s="91">
        <f>EDATE($B1760,1)</f>
        <v/>
      </c>
      <c r="C1761" s="92">
        <f>EOMONTH($B1761,0)</f>
        <v/>
      </c>
      <c r="D1761" s="87">
        <f>$C1761-$B1761+1</f>
        <v/>
      </c>
      <c r="E1761" s="87">
        <f>MONTH($B1761)</f>
        <v/>
      </c>
      <c r="F1761" s="93">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$N1761*IF($O$1750=1,$O1761/$F$1750,1)</f>
        <v/>
      </c>
      <c r="T1761" s="95">
        <f>IF($G1761&lt;nr_MStartP,$S1761,$T1749*(1+IF($G1761&lt;nr_MStartP1,$M$1750,$N$1750)))</f>
        <v/>
      </c>
      <c r="U1761" s="95">
        <f>IF($L$1750,$T1761,$N1761)</f>
        <v/>
      </c>
    </row>
    <row r="1762">
      <c r="A1762" s="90" t="n">
        <v>10</v>
      </c>
      <c r="B1762" s="91">
        <f>EDATE($B1761,1)</f>
        <v/>
      </c>
      <c r="C1762" s="92">
        <f>EOMONTH($B1762,0)</f>
        <v/>
      </c>
      <c r="D1762" s="87">
        <f>$C1762-$B1762+1</f>
        <v/>
      </c>
      <c r="E1762" s="87">
        <f>MONTH($B1762)</f>
        <v/>
      </c>
      <c r="F1762" s="93">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$N1762*IF($O$1750=1,$O1762/$F$1750,1)</f>
        <v/>
      </c>
      <c r="T1762" s="95">
        <f>IF($G1762&lt;nr_MStartP,$S1762,$T1750*(1+IF($G1762&lt;nr_MStartP1,$M$1750,$N$1750)))</f>
        <v/>
      </c>
      <c r="U1762" s="95">
        <f>IF($L$1750,$T1762,$N1762)</f>
        <v/>
      </c>
    </row>
    <row r="1763">
      <c r="A1763" s="90" t="n">
        <v>11</v>
      </c>
      <c r="B1763" s="91">
        <f>EDATE($B1762,1)</f>
        <v/>
      </c>
      <c r="C1763" s="92">
        <f>EOMONTH($B1763,0)</f>
        <v/>
      </c>
      <c r="D1763" s="87">
        <f>$C1763-$B1763+1</f>
        <v/>
      </c>
      <c r="E1763" s="87">
        <f>MONTH($B1763)</f>
        <v/>
      </c>
      <c r="F1763" s="93">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$N1763*IF($O$1750=1,$O1763/$F$1750,1)</f>
        <v/>
      </c>
      <c r="T1763" s="95">
        <f>IF($G1763&lt;nr_MStartP,$S1763,$T1751*(1+IF($G1763&lt;nr_MStartP1,$M$1750,$N$1750)))</f>
        <v/>
      </c>
      <c r="U1763" s="95">
        <f>IF($L$1750,$T1763,$N1763)</f>
        <v/>
      </c>
    </row>
    <row r="1764">
      <c r="A1764" s="90" t="n">
        <v>12</v>
      </c>
      <c r="B1764" s="91">
        <f>EDATE($B1763,1)</f>
        <v/>
      </c>
      <c r="C1764" s="92">
        <f>EOMONTH($B1764,0)</f>
        <v/>
      </c>
      <c r="D1764" s="87">
        <f>$C1764-$B1764+1</f>
        <v/>
      </c>
      <c r="E1764" s="87">
        <f>MONTH($B1764)</f>
        <v/>
      </c>
      <c r="F1764" s="93">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$N1764*IF($O$1750=1,$O1764/$F$1750,1)</f>
        <v/>
      </c>
      <c r="T1764" s="95">
        <f>IF($G1764&lt;nr_MStartP,$S1764,$T1752*(1+IF($G1764&lt;nr_MStartP1,$M$1750,$N$1750)))</f>
        <v/>
      </c>
      <c r="U1764" s="95">
        <f>IF($L$1750,$T1764,$N1764)</f>
        <v/>
      </c>
    </row>
    <row r="1765">
      <c r="A1765" s="90" t="n">
        <v>13</v>
      </c>
      <c r="B1765" s="91">
        <f>EDATE($B1764,1)</f>
        <v/>
      </c>
      <c r="C1765" s="92">
        <f>EOMONTH($B1765,0)</f>
        <v/>
      </c>
      <c r="D1765" s="87">
        <f>$C1765-$B1765+1</f>
        <v/>
      </c>
      <c r="E1765" s="87">
        <f>MONTH($B1765)</f>
        <v/>
      </c>
      <c r="F1765" s="93">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$N1765*IF($O$1750=1,$O1765/$F$1750,1)</f>
        <v/>
      </c>
      <c r="T1765" s="95">
        <f>IF($G1765&lt;nr_MStartP,$S1765,$T1753*(1+IF($G1765&lt;nr_MStartP1,$M$1750,$N$1750)))</f>
        <v/>
      </c>
      <c r="U1765" s="95">
        <f>IF($L$1750,$T1765,$N1765)</f>
        <v/>
      </c>
    </row>
    <row r="1766">
      <c r="A1766" s="90" t="n">
        <v>14</v>
      </c>
      <c r="B1766" s="91">
        <f>EDATE($B1765,1)</f>
        <v/>
      </c>
      <c r="C1766" s="92">
        <f>EOMONTH($B1766,0)</f>
        <v/>
      </c>
      <c r="D1766" s="87">
        <f>$C1766-$B1766+1</f>
        <v/>
      </c>
      <c r="E1766" s="87">
        <f>MONTH($B1766)</f>
        <v/>
      </c>
      <c r="F1766" s="93">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$N1766*IF($O$1750=1,$O1766/$F$1750,1)</f>
        <v/>
      </c>
      <c r="T1766" s="95">
        <f>IF($G1766&lt;nr_MStartP,$S1766,$T1754*(1+IF($G1766&lt;nr_MStartP1,$M$1750,$N$1750)))</f>
        <v/>
      </c>
      <c r="U1766" s="95">
        <f>IF($L$1750,$T1766,$N1766)</f>
        <v/>
      </c>
    </row>
    <row r="1767">
      <c r="A1767" s="90" t="n">
        <v>15</v>
      </c>
      <c r="B1767" s="91">
        <f>EDATE($B1766,1)</f>
        <v/>
      </c>
      <c r="C1767" s="92">
        <f>EOMONTH($B1767,0)</f>
        <v/>
      </c>
      <c r="D1767" s="87">
        <f>$C1767-$B1767+1</f>
        <v/>
      </c>
      <c r="E1767" s="87">
        <f>MONTH($B1767)</f>
        <v/>
      </c>
      <c r="F1767" s="93">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$N1767*IF($O$1750=1,$O1767/$F$1750,1)</f>
        <v/>
      </c>
      <c r="T1767" s="95">
        <f>IF($G1767&lt;nr_MStartP,$S1767,$T1755*(1+IF($G1767&lt;nr_MStartP1,$M$1750,$N$1750)))</f>
        <v/>
      </c>
      <c r="U1767" s="95">
        <f>IF($L$1750,$T1767,$N1767)</f>
        <v/>
      </c>
    </row>
    <row r="1768">
      <c r="A1768" s="90" t="n">
        <v>16</v>
      </c>
      <c r="B1768" s="91">
        <f>EDATE($B1767,1)</f>
        <v/>
      </c>
      <c r="C1768" s="92">
        <f>EOMONTH($B1768,0)</f>
        <v/>
      </c>
      <c r="D1768" s="87">
        <f>$C1768-$B1768+1</f>
        <v/>
      </c>
      <c r="E1768" s="87">
        <f>MONTH($B1768)</f>
        <v/>
      </c>
      <c r="F1768" s="93">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$N1768*IF($O$1750=1,$O1768/$F$1750,1)</f>
        <v/>
      </c>
      <c r="T1768" s="95">
        <f>IF($G1768&lt;nr_MStartP,$S1768,$T1756*(1+IF($G1768&lt;nr_MStartP1,$M$1750,$N$1750)))</f>
        <v/>
      </c>
      <c r="U1768" s="95">
        <f>IF($L$1750,$T1768,$N1768)</f>
        <v/>
      </c>
    </row>
    <row r="1769">
      <c r="A1769" s="90" t="n">
        <v>17</v>
      </c>
      <c r="B1769" s="91">
        <f>EDATE($B1768,1)</f>
        <v/>
      </c>
      <c r="C1769" s="92">
        <f>EOMONTH($B1769,0)</f>
        <v/>
      </c>
      <c r="D1769" s="87">
        <f>$C1769-$B1769+1</f>
        <v/>
      </c>
      <c r="E1769" s="87">
        <f>MONTH($B1769)</f>
        <v/>
      </c>
      <c r="F1769" s="93">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$N1769*IF($O$1750=1,$O1769/$F$1750,1)</f>
        <v/>
      </c>
      <c r="T1769" s="95">
        <f>IF($G1769&lt;nr_MStartP,$S1769,$T1757*(1+IF($G1769&lt;nr_MStartP1,$M$1750,$N$1750)))</f>
        <v/>
      </c>
      <c r="U1769" s="95">
        <f>IF($L$1750,$T1769,$N1769)</f>
        <v/>
      </c>
    </row>
    <row r="1770">
      <c r="A1770" s="90" t="n">
        <v>18</v>
      </c>
      <c r="B1770" s="91">
        <f>EDATE($B1769,1)</f>
        <v/>
      </c>
      <c r="C1770" s="92">
        <f>EOMONTH($B1770,0)</f>
        <v/>
      </c>
      <c r="D1770" s="87">
        <f>$C1770-$B1770+1</f>
        <v/>
      </c>
      <c r="E1770" s="87">
        <f>MONTH($B1770)</f>
        <v/>
      </c>
      <c r="F1770" s="93">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$N1770*IF($O$1750=1,$O1770/$F$1750,1)</f>
        <v/>
      </c>
      <c r="T1770" s="95">
        <f>IF($G1770&lt;nr_MStartP,$S1770,$T1758*(1+IF($G1770&lt;nr_MStartP1,$M$1750,$N$1750)))</f>
        <v/>
      </c>
      <c r="U1770" s="95">
        <f>IF($L$1750,$T1770,$N1770)</f>
        <v/>
      </c>
    </row>
    <row r="1771">
      <c r="A1771" s="90" t="n">
        <v>19</v>
      </c>
      <c r="B1771" s="91">
        <f>EDATE($B1770,1)</f>
        <v/>
      </c>
      <c r="C1771" s="92">
        <f>EOMONTH($B1771,0)</f>
        <v/>
      </c>
      <c r="D1771" s="87">
        <f>$C1771-$B1771+1</f>
        <v/>
      </c>
      <c r="E1771" s="87">
        <f>MONTH($B1771)</f>
        <v/>
      </c>
      <c r="F1771" s="93">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$N1771*IF($O$1750=1,$O1771/$F$1750,1)</f>
        <v/>
      </c>
      <c r="T1771" s="95">
        <f>IF($G1771&lt;nr_MStartP,$S1771,$T1759*(1+IF($G1771&lt;nr_MStartP1,$M$1750,$N$1750)))</f>
        <v/>
      </c>
      <c r="U1771" s="95">
        <f>IF($L$1750,$T1771,$N1771)</f>
        <v/>
      </c>
    </row>
    <row r="1772">
      <c r="A1772" s="90" t="n">
        <v>20</v>
      </c>
      <c r="B1772" s="91">
        <f>EDATE($B1771,1)</f>
        <v/>
      </c>
      <c r="C1772" s="92">
        <f>EOMONTH($B1772,0)</f>
        <v/>
      </c>
      <c r="D1772" s="87">
        <f>$C1772-$B1772+1</f>
        <v/>
      </c>
      <c r="E1772" s="87">
        <f>MONTH($B1772)</f>
        <v/>
      </c>
      <c r="F1772" s="93">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$N1772*IF($O$1750=1,$O1772/$F$1750,1)</f>
        <v/>
      </c>
      <c r="T1772" s="95">
        <f>IF($G1772&lt;nr_MStartP,$S1772,$T1760*(1+IF($G1772&lt;nr_MStartP1,$M$1750,$N$1750)))</f>
        <v/>
      </c>
      <c r="U1772" s="95">
        <f>IF($L$1750,$T1772,$N1772)</f>
        <v/>
      </c>
    </row>
    <row r="1773">
      <c r="A1773" s="90" t="n">
        <v>21</v>
      </c>
      <c r="B1773" s="91">
        <f>EDATE($B1772,1)</f>
        <v/>
      </c>
      <c r="C1773" s="92">
        <f>EOMONTH($B1773,0)</f>
        <v/>
      </c>
      <c r="D1773" s="87">
        <f>$C1773-$B1773+1</f>
        <v/>
      </c>
      <c r="E1773" s="87">
        <f>MONTH($B1773)</f>
        <v/>
      </c>
      <c r="F1773" s="93">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$N1773*IF($O$1750=1,$O1773/$F$1750,1)</f>
        <v/>
      </c>
      <c r="T1773" s="95">
        <f>IF($G1773&lt;nr_MStartP,$S1773,$T1761*(1+IF($G1773&lt;nr_MStartP1,$M$1750,$N$1750)))</f>
        <v/>
      </c>
      <c r="U1773" s="95">
        <f>IF($L$1750,$T1773,$N1773)</f>
        <v/>
      </c>
    </row>
    <row r="1774">
      <c r="A1774" s="90" t="n">
        <v>22</v>
      </c>
      <c r="B1774" s="91">
        <f>EDATE($B1773,1)</f>
        <v/>
      </c>
      <c r="C1774" s="92">
        <f>EOMONTH($B1774,0)</f>
        <v/>
      </c>
      <c r="D1774" s="87">
        <f>$C1774-$B1774+1</f>
        <v/>
      </c>
      <c r="E1774" s="87">
        <f>MONTH($B1774)</f>
        <v/>
      </c>
      <c r="F1774" s="93">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$N1774*IF($O$1750=1,$O1774/$F$1750,1)</f>
        <v/>
      </c>
      <c r="T1774" s="95">
        <f>IF($G1774&lt;nr_MStartP,$S1774,$T1762*(1+IF($G1774&lt;nr_MStartP1,$M$1750,$N$1750)))</f>
        <v/>
      </c>
      <c r="U1774" s="95">
        <f>IF($L$1750,$T1774,$N1774)</f>
        <v/>
      </c>
    </row>
    <row r="1775">
      <c r="A1775" s="90" t="n">
        <v>23</v>
      </c>
      <c r="B1775" s="91">
        <f>EDATE($B1774,1)</f>
        <v/>
      </c>
      <c r="C1775" s="92">
        <f>EOMONTH($B1775,0)</f>
        <v/>
      </c>
      <c r="D1775" s="87">
        <f>$C1775-$B1775+1</f>
        <v/>
      </c>
      <c r="E1775" s="87">
        <f>MONTH($B1775)</f>
        <v/>
      </c>
      <c r="F1775" s="93">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$N1775*IF($O$1750=1,$O1775/$F$1750,1)</f>
        <v/>
      </c>
      <c r="T1775" s="95">
        <f>IF($G1775&lt;nr_MStartP,$S1775,$T1763*(1+IF($G1775&lt;nr_MStartP1,$M$1750,$N$1750)))</f>
        <v/>
      </c>
      <c r="U1775" s="95">
        <f>IF($L$1750,$T1775,$N1775)</f>
        <v/>
      </c>
    </row>
    <row r="1776">
      <c r="A1776" s="90" t="n">
        <v>24</v>
      </c>
      <c r="B1776" s="91">
        <f>EDATE($B1775,1)</f>
        <v/>
      </c>
      <c r="C1776" s="92">
        <f>EOMONTH($B1776,0)</f>
        <v/>
      </c>
      <c r="D1776" s="87">
        <f>$C1776-$B1776+1</f>
        <v/>
      </c>
      <c r="E1776" s="87">
        <f>MONTH($B1776)</f>
        <v/>
      </c>
      <c r="F1776" s="93">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$N1776*IF($O$1750=1,$O1776/$F$1750,1)</f>
        <v/>
      </c>
      <c r="T1776" s="95">
        <f>IF($G1776&lt;nr_MStartP,$S1776,$T1764*(1+IF($G1776&lt;nr_MStartP1,$M$1750,$N$1750)))</f>
        <v/>
      </c>
      <c r="U1776" s="95">
        <f>IF($L$1750,$T1776,$N1776)</f>
        <v/>
      </c>
    </row>
    <row r="1777">
      <c r="A1777" s="90" t="n">
        <v>25</v>
      </c>
      <c r="B1777" s="91">
        <f>EDATE($B1776,1)</f>
        <v/>
      </c>
      <c r="C1777" s="92">
        <f>EOMONTH($B1777,0)</f>
        <v/>
      </c>
      <c r="D1777" s="87">
        <f>$C1777-$B1777+1</f>
        <v/>
      </c>
      <c r="E1777" s="87">
        <f>MONTH($B1777)</f>
        <v/>
      </c>
      <c r="F1777" s="93">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$N1777*IF($O$1750=1,$O1777/$F$1750,1)</f>
        <v/>
      </c>
      <c r="T1777" s="95">
        <f>IF($G1777&lt;nr_MStartP,$S1777,$T1765*(1+IF($G1777&lt;nr_MStartP1,$M$1750,$N$1750)))</f>
        <v/>
      </c>
      <c r="U1777" s="95">
        <f>IF($L$1750,$T1777,$N1777)</f>
        <v/>
      </c>
    </row>
    <row r="1778">
      <c r="A1778" s="90" t="n">
        <v>26</v>
      </c>
      <c r="B1778" s="91">
        <f>EDATE($B1777,1)</f>
        <v/>
      </c>
      <c r="C1778" s="92">
        <f>EOMONTH($B1778,0)</f>
        <v/>
      </c>
      <c r="D1778" s="87">
        <f>$C1778-$B1778+1</f>
        <v/>
      </c>
      <c r="E1778" s="87">
        <f>MONTH($B1778)</f>
        <v/>
      </c>
      <c r="F1778" s="93">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$N1778*IF($O$1750=1,$O1778/$F$1750,1)</f>
        <v/>
      </c>
      <c r="T1778" s="95">
        <f>IF($G1778&lt;nr_MStartP,$S1778,$T1766*(1+IF($G1778&lt;nr_MStartP1,$M$1750,$N$1750)))</f>
        <v/>
      </c>
      <c r="U1778" s="95">
        <f>IF($L$1750,$T1778,$N1778)</f>
        <v/>
      </c>
    </row>
    <row r="1779">
      <c r="A1779" s="90" t="n">
        <v>27</v>
      </c>
      <c r="B1779" s="91">
        <f>EDATE($B1778,1)</f>
        <v/>
      </c>
      <c r="C1779" s="92">
        <f>EOMONTH($B1779,0)</f>
        <v/>
      </c>
      <c r="D1779" s="87">
        <f>$C1779-$B1779+1</f>
        <v/>
      </c>
      <c r="E1779" s="87">
        <f>MONTH($B1779)</f>
        <v/>
      </c>
      <c r="F1779" s="93">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$N1779*IF($O$1750=1,$O1779/$F$1750,1)</f>
        <v/>
      </c>
      <c r="T1779" s="95">
        <f>IF($G1779&lt;nr_MStartP,$S1779,$T1767*(1+IF($G1779&lt;nr_MStartP1,$M$1750,$N$1750)))</f>
        <v/>
      </c>
      <c r="U1779" s="95">
        <f>IF($L$1750,$T1779,$N1779)</f>
        <v/>
      </c>
    </row>
    <row r="1780">
      <c r="A1780" s="90" t="n">
        <v>28</v>
      </c>
      <c r="B1780" s="91">
        <f>EDATE($B1779,1)</f>
        <v/>
      </c>
      <c r="C1780" s="92">
        <f>EOMONTH($B1780,0)</f>
        <v/>
      </c>
      <c r="D1780" s="87">
        <f>$C1780-$B1780+1</f>
        <v/>
      </c>
      <c r="E1780" s="87">
        <f>MONTH($B1780)</f>
        <v/>
      </c>
      <c r="F1780" s="93">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$N1780*IF($O$1750=1,$O1780/$F$1750,1)</f>
        <v/>
      </c>
      <c r="T1780" s="95">
        <f>IF($G1780&lt;nr_MStartP,$S1780,$T1768*(1+IF($G1780&lt;nr_MStartP1,$M$1750,$N$1750)))</f>
        <v/>
      </c>
      <c r="U1780" s="95">
        <f>IF($L$1750,$T1780,$N1780)</f>
        <v/>
      </c>
    </row>
    <row r="1781">
      <c r="A1781" s="90" t="n">
        <v>29</v>
      </c>
      <c r="B1781" s="91">
        <f>EDATE($B1780,1)</f>
        <v/>
      </c>
      <c r="C1781" s="92">
        <f>EOMONTH($B1781,0)</f>
        <v/>
      </c>
      <c r="D1781" s="87">
        <f>$C1781-$B1781+1</f>
        <v/>
      </c>
      <c r="E1781" s="87">
        <f>MONTH($B1781)</f>
        <v/>
      </c>
      <c r="F1781" s="93">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$N1781*IF($O$1750=1,$O1781/$F$1750,1)</f>
        <v/>
      </c>
      <c r="T1781" s="95">
        <f>IF($G1781&lt;nr_MStartP,$S1781,$T1769*(1+IF($G1781&lt;nr_MStartP1,$M$1750,$N$1750)))</f>
        <v/>
      </c>
      <c r="U1781" s="95">
        <f>IF($L$1750,$T1781,$N1781)</f>
        <v/>
      </c>
    </row>
    <row r="1782">
      <c r="A1782" s="90" t="n">
        <v>30</v>
      </c>
      <c r="B1782" s="91">
        <f>EDATE($B1781,1)</f>
        <v/>
      </c>
      <c r="C1782" s="92">
        <f>EOMONTH($B1782,0)</f>
        <v/>
      </c>
      <c r="D1782" s="87">
        <f>$C1782-$B1782+1</f>
        <v/>
      </c>
      <c r="E1782" s="87">
        <f>MONTH($B1782)</f>
        <v/>
      </c>
      <c r="F1782" s="93">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$N1782*IF($O$1750=1,$O1782/$F$1750,1)</f>
        <v/>
      </c>
      <c r="T1782" s="95">
        <f>IF($G1782&lt;nr_MStartP,$S1782,$T1770*(1+IF($G1782&lt;nr_MStartP1,$M$1750,$N$1750)))</f>
        <v/>
      </c>
      <c r="U1782" s="95">
        <f>IF($L$1750,$T1782,$N1782)</f>
        <v/>
      </c>
    </row>
    <row r="1783">
      <c r="A1783" s="90" t="n">
        <v>31</v>
      </c>
      <c r="B1783" s="91">
        <f>EDATE($B1782,1)</f>
        <v/>
      </c>
      <c r="C1783" s="92">
        <f>EOMONTH($B1783,0)</f>
        <v/>
      </c>
      <c r="D1783" s="87">
        <f>$C1783-$B1783+1</f>
        <v/>
      </c>
      <c r="E1783" s="87">
        <f>MONTH($B1783)</f>
        <v/>
      </c>
      <c r="F1783" s="93">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$N1783*IF($O$1750=1,$O1783/$F$1750,1)</f>
        <v/>
      </c>
      <c r="T1783" s="95">
        <f>IF($G1783&lt;nr_MStartP,$S1783,$T1771*(1+IF($G1783&lt;nr_MStartP1,$M$1750,$N$1750)))</f>
        <v/>
      </c>
      <c r="U1783" s="95">
        <f>IF($L$1750,$T1783,$N1783)</f>
        <v/>
      </c>
    </row>
    <row r="1784">
      <c r="A1784" s="90" t="n">
        <v>32</v>
      </c>
      <c r="B1784" s="91">
        <f>EDATE($B1783,1)</f>
        <v/>
      </c>
      <c r="C1784" s="92">
        <f>EOMONTH($B1784,0)</f>
        <v/>
      </c>
      <c r="D1784" s="87">
        <f>$C1784-$B1784+1</f>
        <v/>
      </c>
      <c r="E1784" s="87">
        <f>MONTH($B1784)</f>
        <v/>
      </c>
      <c r="F1784" s="93">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$N1784*IF($O$1750=1,$O1784/$F$1750,1)</f>
        <v/>
      </c>
      <c r="T1784" s="95">
        <f>IF($G1784&lt;nr_MStartP,$S1784,$T1772*(1+IF($G1784&lt;nr_MStartP1,$M$1750,$N$1750)))</f>
        <v/>
      </c>
      <c r="U1784" s="95">
        <f>IF($L$1750,$T1784,$N1784)</f>
        <v/>
      </c>
    </row>
    <row r="1785">
      <c r="A1785" s="90" t="n">
        <v>33</v>
      </c>
      <c r="B1785" s="91">
        <f>EDATE($B1784,1)</f>
        <v/>
      </c>
      <c r="C1785" s="92">
        <f>EOMONTH($B1785,0)</f>
        <v/>
      </c>
      <c r="D1785" s="87">
        <f>$C1785-$B1785+1</f>
        <v/>
      </c>
      <c r="E1785" s="87">
        <f>MONTH($B1785)</f>
        <v/>
      </c>
      <c r="F1785" s="93">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$N1785*IF($O$1750=1,$O1785/$F$1750,1)</f>
        <v/>
      </c>
      <c r="T1785" s="95">
        <f>IF($G1785&lt;nr_MStartP,$S1785,$T1773*(1+IF($G1785&lt;nr_MStartP1,$M$1750,$N$1750)))</f>
        <v/>
      </c>
      <c r="U1785" s="95">
        <f>IF($L$1750,$T1785,$N1785)</f>
        <v/>
      </c>
    </row>
    <row r="1786">
      <c r="A1786" s="90" t="n">
        <v>34</v>
      </c>
      <c r="B1786" s="91">
        <f>EDATE($B1785,1)</f>
        <v/>
      </c>
      <c r="C1786" s="92">
        <f>EOMONTH($B1786,0)</f>
        <v/>
      </c>
      <c r="D1786" s="87">
        <f>$C1786-$B1786+1</f>
        <v/>
      </c>
      <c r="E1786" s="87">
        <f>MONTH($B1786)</f>
        <v/>
      </c>
      <c r="F1786" s="93">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$N1786*IF($O$1750=1,$O1786/$F$1750,1)</f>
        <v/>
      </c>
      <c r="T1786" s="95">
        <f>IF($G1786&lt;nr_MStartP,$S1786,$T1774*(1+IF($G1786&lt;nr_MStartP1,$M$1750,$N$1750)))</f>
        <v/>
      </c>
      <c r="U1786" s="95">
        <f>IF($L$1750,$T1786,$N1786)</f>
        <v/>
      </c>
    </row>
    <row r="1787">
      <c r="A1787" s="90" t="n">
        <v>35</v>
      </c>
      <c r="B1787" s="91">
        <f>EDATE($B1786,1)</f>
        <v/>
      </c>
      <c r="C1787" s="92">
        <f>EOMONTH($B1787,0)</f>
        <v/>
      </c>
      <c r="D1787" s="87">
        <f>$C1787-$B1787+1</f>
        <v/>
      </c>
      <c r="E1787" s="87">
        <f>MONTH($B1787)</f>
        <v/>
      </c>
      <c r="F1787" s="93">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$N1787*IF($O$1750=1,$O1787/$F$1750,1)</f>
        <v/>
      </c>
      <c r="T1787" s="95">
        <f>IF($G1787&lt;nr_MStartP,$S1787,$T1775*(1+IF($G1787&lt;nr_MStartP1,$M$1750,$N$1750)))</f>
        <v/>
      </c>
      <c r="U1787" s="95">
        <f>IF($L$1750,$T1787,$N1787)</f>
        <v/>
      </c>
    </row>
    <row r="1788">
      <c r="A1788" s="90" t="n">
        <v>36</v>
      </c>
      <c r="B1788" s="91">
        <f>EDATE($B1787,1)</f>
        <v/>
      </c>
      <c r="C1788" s="92">
        <f>EOMONTH($B1788,0)</f>
        <v/>
      </c>
      <c r="D1788" s="87">
        <f>$C1788-$B1788+1</f>
        <v/>
      </c>
      <c r="E1788" s="87">
        <f>MONTH($B1788)</f>
        <v/>
      </c>
      <c r="F1788" s="93">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$N1788*IF($O$1750=1,$O1788/$F$1750,1)</f>
        <v/>
      </c>
      <c r="T1788" s="95">
        <f>IF($G1788&lt;nr_MStartP,$S1788,$T1776*(1+IF($G1788&lt;nr_MStartP1,$M$1750,$N$1750)))</f>
        <v/>
      </c>
      <c r="U1788" s="95">
        <f>IF($L$1750,$T1788,$N1788)</f>
        <v/>
      </c>
    </row>
    <row r="1789">
      <c r="A1789" s="90" t="n">
        <v>37</v>
      </c>
      <c r="B1789" s="91">
        <f>EDATE($B1788,1)</f>
        <v/>
      </c>
      <c r="C1789" s="92">
        <f>EOMONTH($B1789,0)</f>
        <v/>
      </c>
      <c r="D1789" s="87">
        <f>$C1789-$B1789+1</f>
        <v/>
      </c>
      <c r="E1789" s="87">
        <f>MONTH($B1789)</f>
        <v/>
      </c>
      <c r="F1789" s="93">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$N1789*IF($O$1750=1,$O1789/$F$1750,1)</f>
        <v/>
      </c>
      <c r="T1789" s="95">
        <f>IF($G1789&lt;nr_MStartP,$S1789,$T1777*(1+IF($G1789&lt;nr_MStartP1,$M$1750,$N$1750)))</f>
        <v/>
      </c>
      <c r="U1789" s="95">
        <f>IF($L$1750,$T1789,$N1789)</f>
        <v/>
      </c>
    </row>
    <row r="1790">
      <c r="A1790" s="90" t="n">
        <v>38</v>
      </c>
      <c r="B1790" s="91">
        <f>EDATE($B1789,1)</f>
        <v/>
      </c>
      <c r="C1790" s="92">
        <f>EOMONTH($B1790,0)</f>
        <v/>
      </c>
      <c r="D1790" s="87">
        <f>$C1790-$B1790+1</f>
        <v/>
      </c>
      <c r="E1790" s="87">
        <f>MONTH($B1790)</f>
        <v/>
      </c>
      <c r="F1790" s="93">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$N1790*IF($O$1750=1,$O1790/$F$1750,1)</f>
        <v/>
      </c>
      <c r="T1790" s="95">
        <f>IF($G1790&lt;nr_MStartP,$S1790,$T1778*(1+IF($G1790&lt;nr_MStartP1,$M$1750,$N$1750)))</f>
        <v/>
      </c>
      <c r="U1790" s="95">
        <f>IF($L$1750,$T1790,$N1790)</f>
        <v/>
      </c>
    </row>
    <row r="1791">
      <c r="A1791" s="90" t="n">
        <v>39</v>
      </c>
      <c r="B1791" s="91">
        <f>EDATE($B1790,1)</f>
        <v/>
      </c>
      <c r="C1791" s="92">
        <f>EOMONTH($B1791,0)</f>
        <v/>
      </c>
      <c r="D1791" s="87">
        <f>$C1791-$B1791+1</f>
        <v/>
      </c>
      <c r="E1791" s="87">
        <f>MONTH($B1791)</f>
        <v/>
      </c>
      <c r="F1791" s="93">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$N1791*IF($O$1750=1,$O1791/$F$1750,1)</f>
        <v/>
      </c>
      <c r="T1791" s="95">
        <f>IF($G1791&lt;nr_MStartP,$S1791,$T1779*(1+IF($G1791&lt;nr_MStartP1,$M$1750,$N$1750)))</f>
        <v/>
      </c>
      <c r="U1791" s="95">
        <f>IF($L$1750,$T1791,$N1791)</f>
        <v/>
      </c>
    </row>
    <row r="1792">
      <c r="A1792" s="90" t="n">
        <v>40</v>
      </c>
      <c r="B1792" s="91">
        <f>EDATE($B1791,1)</f>
        <v/>
      </c>
      <c r="C1792" s="92">
        <f>EOMONTH($B1792,0)</f>
        <v/>
      </c>
      <c r="D1792" s="87">
        <f>$C1792-$B1792+1</f>
        <v/>
      </c>
      <c r="E1792" s="87">
        <f>MONTH($B1792)</f>
        <v/>
      </c>
      <c r="F1792" s="93">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$N1792*IF($O$1750=1,$O1792/$F$1750,1)</f>
        <v/>
      </c>
      <c r="T1792" s="95">
        <f>IF($G1792&lt;nr_MStartP,$S1792,$T1780*(1+IF($G1792&lt;nr_MStartP1,$M$1750,$N$1750)))</f>
        <v/>
      </c>
      <c r="U1792" s="95">
        <f>IF($L$1750,$T1792,$N1792)</f>
        <v/>
      </c>
    </row>
    <row r="1793">
      <c r="A1793" s="90" t="n">
        <v>41</v>
      </c>
      <c r="B1793" s="91">
        <f>EDATE($B1792,1)</f>
        <v/>
      </c>
      <c r="C1793" s="92">
        <f>EOMONTH($B1793,0)</f>
        <v/>
      </c>
      <c r="D1793" s="87">
        <f>$C1793-$B1793+1</f>
        <v/>
      </c>
      <c r="E1793" s="87">
        <f>MONTH($B1793)</f>
        <v/>
      </c>
      <c r="F1793" s="93">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$N1793*IF($O$1750=1,$O1793/$F$1750,1)</f>
        <v/>
      </c>
      <c r="T1793" s="95">
        <f>IF($G1793&lt;nr_MStartP,$S1793,$T1781*(1+IF($G1793&lt;nr_MStartP1,$M$1750,$N$1750)))</f>
        <v/>
      </c>
      <c r="U1793" s="95">
        <f>IF($L$1750,$T1793,$N1793)</f>
        <v/>
      </c>
    </row>
    <row r="1794">
      <c r="A1794" s="90" t="n">
        <v>42</v>
      </c>
      <c r="B1794" s="91">
        <f>EDATE($B1793,1)</f>
        <v/>
      </c>
      <c r="C1794" s="92">
        <f>EOMONTH($B1794,0)</f>
        <v/>
      </c>
      <c r="D1794" s="87">
        <f>$C1794-$B1794+1</f>
        <v/>
      </c>
      <c r="E1794" s="87">
        <f>MONTH($B1794)</f>
        <v/>
      </c>
      <c r="F1794" s="93">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$N1794*IF($O$1750=1,$O1794/$F$1750,1)</f>
        <v/>
      </c>
      <c r="T1794" s="95">
        <f>IF($G1794&lt;nr_MStartP,$S1794,$T1782*(1+IF($G1794&lt;nr_MStartP1,$M$1750,$N$1750)))</f>
        <v/>
      </c>
      <c r="U1794" s="95">
        <f>IF($L$1750,$T1794,$N1794)</f>
        <v/>
      </c>
    </row>
    <row r="1795">
      <c r="A1795" s="90" t="n">
        <v>43</v>
      </c>
      <c r="B1795" s="91">
        <f>EDATE($B1794,1)</f>
        <v/>
      </c>
      <c r="C1795" s="92">
        <f>EOMONTH($B1795,0)</f>
        <v/>
      </c>
      <c r="D1795" s="87">
        <f>$C1795-$B1795+1</f>
        <v/>
      </c>
      <c r="E1795" s="87">
        <f>MONTH($B1795)</f>
        <v/>
      </c>
      <c r="F1795" s="93">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$N1795*IF($O$1750=1,$O1795/$F$1750,1)</f>
        <v/>
      </c>
      <c r="T1795" s="95">
        <f>IF($G1795&lt;nr_MStartP,$S1795,$T1783*(1+IF($G1795&lt;nr_MStartP1,$M$1750,$N$1750)))</f>
        <v/>
      </c>
      <c r="U1795" s="95">
        <f>IF($L$1750,$T1795,$N1795)</f>
        <v/>
      </c>
    </row>
    <row r="1796">
      <c r="A1796" s="90" t="n">
        <v>44</v>
      </c>
      <c r="B1796" s="91">
        <f>EDATE($B1795,1)</f>
        <v/>
      </c>
      <c r="C1796" s="92">
        <f>EOMONTH($B1796,0)</f>
        <v/>
      </c>
      <c r="D1796" s="87">
        <f>$C1796-$B1796+1</f>
        <v/>
      </c>
      <c r="E1796" s="87">
        <f>MONTH($B1796)</f>
        <v/>
      </c>
      <c r="F1796" s="93">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$N1796*IF($O$1750=1,$O1796/$F$1750,1)</f>
        <v/>
      </c>
      <c r="T1796" s="95">
        <f>IF($G1796&lt;nr_MStartP,$S1796,$T1784*(1+IF($G1796&lt;nr_MStartP1,$M$1750,$N$1750)))</f>
        <v/>
      </c>
      <c r="U1796" s="95">
        <f>IF($L$1750,$T1796,$N1796)</f>
        <v/>
      </c>
    </row>
    <row r="1797">
      <c r="A1797" s="90" t="n">
        <v>45</v>
      </c>
      <c r="B1797" s="91">
        <f>EDATE($B1796,1)</f>
        <v/>
      </c>
      <c r="C1797" s="92">
        <f>EOMONTH($B1797,0)</f>
        <v/>
      </c>
      <c r="D1797" s="87">
        <f>$C1797-$B1797+1</f>
        <v/>
      </c>
      <c r="E1797" s="87">
        <f>MONTH($B1797)</f>
        <v/>
      </c>
      <c r="F1797" s="93">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$N1797*IF($O$1750=1,$O1797/$F$1750,1)</f>
        <v/>
      </c>
      <c r="T1797" s="95">
        <f>IF($G1797&lt;nr_MStartP,$S1797,$T1785*(1+IF($G1797&lt;nr_MStartP1,$M$1750,$N$1750)))</f>
        <v/>
      </c>
      <c r="U1797" s="95">
        <f>IF($L$1750,$T1797,$N1797)</f>
        <v/>
      </c>
    </row>
    <row r="1798">
      <c r="A1798" s="90" t="n">
        <v>46</v>
      </c>
      <c r="B1798" s="91">
        <f>EDATE($B1797,1)</f>
        <v/>
      </c>
      <c r="C1798" s="92">
        <f>EOMONTH($B1798,0)</f>
        <v/>
      </c>
      <c r="D1798" s="87">
        <f>$C1798-$B1798+1</f>
        <v/>
      </c>
      <c r="E1798" s="87">
        <f>MONTH($B1798)</f>
        <v/>
      </c>
      <c r="F1798" s="93">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$N1798*IF($O$1750=1,$O1798/$F$1750,1)</f>
        <v/>
      </c>
      <c r="T1798" s="95">
        <f>IF($G1798&lt;nr_MStartP,$S1798,$T1786*(1+IF($G1798&lt;nr_MStartP1,$M$1750,$N$1750)))</f>
        <v/>
      </c>
      <c r="U1798" s="95">
        <f>IF($L$1750,$T1798,$N1798)</f>
        <v/>
      </c>
    </row>
    <row r="1799">
      <c r="A1799" s="90" t="n">
        <v>47</v>
      </c>
      <c r="B1799" s="91">
        <f>EDATE($B1798,1)</f>
        <v/>
      </c>
      <c r="C1799" s="92">
        <f>EOMONTH($B1799,0)</f>
        <v/>
      </c>
      <c r="D1799" s="87">
        <f>$C1799-$B1799+1</f>
        <v/>
      </c>
      <c r="E1799" s="87">
        <f>MONTH($B1799)</f>
        <v/>
      </c>
      <c r="F1799" s="93">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$N1799*IF($O$1750=1,$O1799/$F$1750,1)</f>
        <v/>
      </c>
      <c r="T1799" s="95">
        <f>IF($G1799&lt;nr_MStartP,$S1799,$T1787*(1+IF($G1799&lt;nr_MStartP1,$M$1750,$N$1750)))</f>
        <v/>
      </c>
      <c r="U1799" s="95">
        <f>IF($L$1750,$T1799,$N1799)</f>
        <v/>
      </c>
    </row>
    <row r="1800">
      <c r="A1800" s="90" t="n">
        <v>48</v>
      </c>
      <c r="B1800" s="91">
        <f>EDATE($B1799,1)</f>
        <v/>
      </c>
      <c r="C1800" s="92">
        <f>EOMONTH($B1800,0)</f>
        <v/>
      </c>
      <c r="D1800" s="87">
        <f>$C1800-$B1800+1</f>
        <v/>
      </c>
      <c r="E1800" s="87">
        <f>MONTH($B1800)</f>
        <v/>
      </c>
      <c r="F1800" s="93">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$N1800*IF($O$1750=1,$O1800/$F$1750,1)</f>
        <v/>
      </c>
      <c r="T1800" s="95">
        <f>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04">
        <f>SUMPRODUCT($H$1753:$H$1800,$Q$1753:$Q$1800,$O$1753:$O$1800)/SUMPRODUCT($H$1753:$H$1800,$Q$1753:$Q$1800)</f>
        <v/>
      </c>
      <c r="G1801" s="20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04">
        <f>IF(N(INDEX(lr_mind,33))=0,1,INDEX(lr_mind,33))</f>
        <v/>
      </c>
      <c r="G1804" s="204">
        <f>IF(N(INDEX(lr_m0,33))=0,1,INDEX(lr_m0,33))</f>
        <v/>
      </c>
      <c r="H1804" s="73">
        <f>IF(N(INDEX(lr_m0asof,33))=0,DATE(nr_PlanYear-1,10,1),INDEX(lr_m0asof,33))</f>
        <v/>
      </c>
      <c r="I1804" s="204">
        <f>IF(N(INDEX(lr_m1,33))=0,1,INDEX(lr_m1,33))</f>
        <v/>
      </c>
      <c r="J1804" s="204">
        <f>INDEX(lr_mprior,33)</f>
        <v/>
      </c>
      <c r="K1804" s="20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93">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$N1807*IF($O$1804=1,$O1807/$F$1804,1)</f>
        <v/>
      </c>
      <c r="T1807" s="95">
        <f>IF($G1807&lt;nr_MStartP,$S1807,$T1795*(1+IF($G1807&lt;nr_MStartP1,$M$1804,$N$1804)))</f>
        <v/>
      </c>
      <c r="U1807" s="95">
        <f>IF($L$1804,$T1807,$N1807)</f>
        <v/>
      </c>
    </row>
    <row r="1808">
      <c r="A1808" s="90" t="n">
        <v>2</v>
      </c>
      <c r="B1808" s="91">
        <f>EDATE($B1807,1)</f>
        <v/>
      </c>
      <c r="C1808" s="92">
        <f>EOMONTH($B1808,0)</f>
        <v/>
      </c>
      <c r="D1808" s="87">
        <f>$C1808-$B1808+1</f>
        <v/>
      </c>
      <c r="E1808" s="87">
        <f>MONTH($B1808)</f>
        <v/>
      </c>
      <c r="F1808" s="93">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$N1808*IF($O$1804=1,$O1808/$F$1804,1)</f>
        <v/>
      </c>
      <c r="T1808" s="95">
        <f>IF($G1808&lt;nr_MStartP,$S1808,$T1796*(1+IF($G1808&lt;nr_MStartP1,$M$1804,$N$1804)))</f>
        <v/>
      </c>
      <c r="U1808" s="95">
        <f>IF($L$1804,$T1808,$N1808)</f>
        <v/>
      </c>
    </row>
    <row r="1809">
      <c r="A1809" s="90" t="n">
        <v>3</v>
      </c>
      <c r="B1809" s="91">
        <f>EDATE($B1808,1)</f>
        <v/>
      </c>
      <c r="C1809" s="92">
        <f>EOMONTH($B1809,0)</f>
        <v/>
      </c>
      <c r="D1809" s="87">
        <f>$C1809-$B1809+1</f>
        <v/>
      </c>
      <c r="E1809" s="87">
        <f>MONTH($B1809)</f>
        <v/>
      </c>
      <c r="F1809" s="93">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$N1809*IF($O$1804=1,$O1809/$F$1804,1)</f>
        <v/>
      </c>
      <c r="T1809" s="95">
        <f>IF($G1809&lt;nr_MStartP,$S1809,$T1797*(1+IF($G1809&lt;nr_MStartP1,$M$1804,$N$1804)))</f>
        <v/>
      </c>
      <c r="U1809" s="95">
        <f>IF($L$1804,$T1809,$N1809)</f>
        <v/>
      </c>
    </row>
    <row r="1810">
      <c r="A1810" s="90" t="n">
        <v>4</v>
      </c>
      <c r="B1810" s="91">
        <f>EDATE($B1809,1)</f>
        <v/>
      </c>
      <c r="C1810" s="92">
        <f>EOMONTH($B1810,0)</f>
        <v/>
      </c>
      <c r="D1810" s="87">
        <f>$C1810-$B1810+1</f>
        <v/>
      </c>
      <c r="E1810" s="87">
        <f>MONTH($B1810)</f>
        <v/>
      </c>
      <c r="F1810" s="93">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$N1810*IF($O$1804=1,$O1810/$F$1804,1)</f>
        <v/>
      </c>
      <c r="T1810" s="95">
        <f>IF($G1810&lt;nr_MStartP,$S1810,$T1798*(1+IF($G1810&lt;nr_MStartP1,$M$1804,$N$1804)))</f>
        <v/>
      </c>
      <c r="U1810" s="95">
        <f>IF($L$1804,$T1810,$N1810)</f>
        <v/>
      </c>
    </row>
    <row r="1811">
      <c r="A1811" s="90" t="n">
        <v>5</v>
      </c>
      <c r="B1811" s="91">
        <f>EDATE($B1810,1)</f>
        <v/>
      </c>
      <c r="C1811" s="92">
        <f>EOMONTH($B1811,0)</f>
        <v/>
      </c>
      <c r="D1811" s="87">
        <f>$C1811-$B1811+1</f>
        <v/>
      </c>
      <c r="E1811" s="87">
        <f>MONTH($B1811)</f>
        <v/>
      </c>
      <c r="F1811" s="93">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$N1811*IF($O$1804=1,$O1811/$F$1804,1)</f>
        <v/>
      </c>
      <c r="T1811" s="95">
        <f>IF($G1811&lt;nr_MStartP,$S1811,$T1799*(1+IF($G1811&lt;nr_MStartP1,$M$1804,$N$1804)))</f>
        <v/>
      </c>
      <c r="U1811" s="95">
        <f>IF($L$1804,$T1811,$N1811)</f>
        <v/>
      </c>
    </row>
    <row r="1812">
      <c r="A1812" s="90" t="n">
        <v>6</v>
      </c>
      <c r="B1812" s="91">
        <f>EDATE($B1811,1)</f>
        <v/>
      </c>
      <c r="C1812" s="92">
        <f>EOMONTH($B1812,0)</f>
        <v/>
      </c>
      <c r="D1812" s="87">
        <f>$C1812-$B1812+1</f>
        <v/>
      </c>
      <c r="E1812" s="87">
        <f>MONTH($B1812)</f>
        <v/>
      </c>
      <c r="F1812" s="93">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$N1812*IF($O$1804=1,$O1812/$F$1804,1)</f>
        <v/>
      </c>
      <c r="T1812" s="95">
        <f>IF($G1812&lt;nr_MStartP,$S1812,$T1800*(1+IF($G1812&lt;nr_MStartP1,$M$1804,$N$1804)))</f>
        <v/>
      </c>
      <c r="U1812" s="95">
        <f>IF($L$1804,$T1812,$N1812)</f>
        <v/>
      </c>
    </row>
    <row r="1813">
      <c r="A1813" s="90" t="n">
        <v>7</v>
      </c>
      <c r="B1813" s="91">
        <f>EDATE($B1812,1)</f>
        <v/>
      </c>
      <c r="C1813" s="92">
        <f>EOMONTH($B1813,0)</f>
        <v/>
      </c>
      <c r="D1813" s="87">
        <f>$C1813-$B1813+1</f>
        <v/>
      </c>
      <c r="E1813" s="87">
        <f>MONTH($B1813)</f>
        <v/>
      </c>
      <c r="F1813" s="93">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$N1813*IF($O$1804=1,$O1813/$F$1804,1)</f>
        <v/>
      </c>
      <c r="T1813" s="95">
        <f>IF($G1813&lt;nr_MStartP,$S1813,$T1801*(1+IF($G1813&lt;nr_MStartP1,$M$1804,$N$1804)))</f>
        <v/>
      </c>
      <c r="U1813" s="95">
        <f>IF($L$1804,$T1813,$N1813)</f>
        <v/>
      </c>
    </row>
    <row r="1814">
      <c r="A1814" s="90" t="n">
        <v>8</v>
      </c>
      <c r="B1814" s="91">
        <f>EDATE($B1813,1)</f>
        <v/>
      </c>
      <c r="C1814" s="92">
        <f>EOMONTH($B1814,0)</f>
        <v/>
      </c>
      <c r="D1814" s="87">
        <f>$C1814-$B1814+1</f>
        <v/>
      </c>
      <c r="E1814" s="87">
        <f>MONTH($B1814)</f>
        <v/>
      </c>
      <c r="F1814" s="93">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$N1814*IF($O$1804=1,$O1814/$F$1804,1)</f>
        <v/>
      </c>
      <c r="T1814" s="95">
        <f>IF($G1814&lt;nr_MStartP,$S1814,$T1802*(1+IF($G1814&lt;nr_MStartP1,$M$1804,$N$1804)))</f>
        <v/>
      </c>
      <c r="U1814" s="95">
        <f>IF($L$1804,$T1814,$N1814)</f>
        <v/>
      </c>
    </row>
    <row r="1815">
      <c r="A1815" s="90" t="n">
        <v>9</v>
      </c>
      <c r="B1815" s="91">
        <f>EDATE($B1814,1)</f>
        <v/>
      </c>
      <c r="C1815" s="92">
        <f>EOMONTH($B1815,0)</f>
        <v/>
      </c>
      <c r="D1815" s="87">
        <f>$C1815-$B1815+1</f>
        <v/>
      </c>
      <c r="E1815" s="87">
        <f>MONTH($B1815)</f>
        <v/>
      </c>
      <c r="F1815" s="93">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$N1815*IF($O$1804=1,$O1815/$F$1804,1)</f>
        <v/>
      </c>
      <c r="T1815" s="95">
        <f>IF($G1815&lt;nr_MStartP,$S1815,$T1803*(1+IF($G1815&lt;nr_MStartP1,$M$1804,$N$1804)))</f>
        <v/>
      </c>
      <c r="U1815" s="95">
        <f>IF($L$1804,$T1815,$N1815)</f>
        <v/>
      </c>
    </row>
    <row r="1816">
      <c r="A1816" s="90" t="n">
        <v>10</v>
      </c>
      <c r="B1816" s="91">
        <f>EDATE($B1815,1)</f>
        <v/>
      </c>
      <c r="C1816" s="92">
        <f>EOMONTH($B1816,0)</f>
        <v/>
      </c>
      <c r="D1816" s="87">
        <f>$C1816-$B1816+1</f>
        <v/>
      </c>
      <c r="E1816" s="87">
        <f>MONTH($B1816)</f>
        <v/>
      </c>
      <c r="F1816" s="93">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$N1816*IF($O$1804=1,$O1816/$F$1804,1)</f>
        <v/>
      </c>
      <c r="T1816" s="95">
        <f>IF($G1816&lt;nr_MStartP,$S1816,$T1804*(1+IF($G1816&lt;nr_MStartP1,$M$1804,$N$1804)))</f>
        <v/>
      </c>
      <c r="U1816" s="95">
        <f>IF($L$1804,$T1816,$N1816)</f>
        <v/>
      </c>
    </row>
    <row r="1817">
      <c r="A1817" s="90" t="n">
        <v>11</v>
      </c>
      <c r="B1817" s="91">
        <f>EDATE($B1816,1)</f>
        <v/>
      </c>
      <c r="C1817" s="92">
        <f>EOMONTH($B1817,0)</f>
        <v/>
      </c>
      <c r="D1817" s="87">
        <f>$C1817-$B1817+1</f>
        <v/>
      </c>
      <c r="E1817" s="87">
        <f>MONTH($B1817)</f>
        <v/>
      </c>
      <c r="F1817" s="93">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$N1817*IF($O$1804=1,$O1817/$F$1804,1)</f>
        <v/>
      </c>
      <c r="T1817" s="95">
        <f>IF($G1817&lt;nr_MStartP,$S1817,$T1805*(1+IF($G1817&lt;nr_MStartP1,$M$1804,$N$1804)))</f>
        <v/>
      </c>
      <c r="U1817" s="95">
        <f>IF($L$1804,$T1817,$N1817)</f>
        <v/>
      </c>
    </row>
    <row r="1818">
      <c r="A1818" s="90" t="n">
        <v>12</v>
      </c>
      <c r="B1818" s="91">
        <f>EDATE($B1817,1)</f>
        <v/>
      </c>
      <c r="C1818" s="92">
        <f>EOMONTH($B1818,0)</f>
        <v/>
      </c>
      <c r="D1818" s="87">
        <f>$C1818-$B1818+1</f>
        <v/>
      </c>
      <c r="E1818" s="87">
        <f>MONTH($B1818)</f>
        <v/>
      </c>
      <c r="F1818" s="93">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$N1818*IF($O$1804=1,$O1818/$F$1804,1)</f>
        <v/>
      </c>
      <c r="T1818" s="95">
        <f>IF($G1818&lt;nr_MStartP,$S1818,$T1806*(1+IF($G1818&lt;nr_MStartP1,$M$1804,$N$1804)))</f>
        <v/>
      </c>
      <c r="U1818" s="95">
        <f>IF($L$1804,$T1818,$N1818)</f>
        <v/>
      </c>
    </row>
    <row r="1819">
      <c r="A1819" s="90" t="n">
        <v>13</v>
      </c>
      <c r="B1819" s="91">
        <f>EDATE($B1818,1)</f>
        <v/>
      </c>
      <c r="C1819" s="92">
        <f>EOMONTH($B1819,0)</f>
        <v/>
      </c>
      <c r="D1819" s="87">
        <f>$C1819-$B1819+1</f>
        <v/>
      </c>
      <c r="E1819" s="87">
        <f>MONTH($B1819)</f>
        <v/>
      </c>
      <c r="F1819" s="93">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$N1819*IF($O$1804=1,$O1819/$F$1804,1)</f>
        <v/>
      </c>
      <c r="T1819" s="95">
        <f>IF($G1819&lt;nr_MStartP,$S1819,$T1807*(1+IF($G1819&lt;nr_MStartP1,$M$1804,$N$1804)))</f>
        <v/>
      </c>
      <c r="U1819" s="95">
        <f>IF($L$1804,$T1819,$N1819)</f>
        <v/>
      </c>
    </row>
    <row r="1820">
      <c r="A1820" s="90" t="n">
        <v>14</v>
      </c>
      <c r="B1820" s="91">
        <f>EDATE($B1819,1)</f>
        <v/>
      </c>
      <c r="C1820" s="92">
        <f>EOMONTH($B1820,0)</f>
        <v/>
      </c>
      <c r="D1820" s="87">
        <f>$C1820-$B1820+1</f>
        <v/>
      </c>
      <c r="E1820" s="87">
        <f>MONTH($B1820)</f>
        <v/>
      </c>
      <c r="F1820" s="93">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$N1820*IF($O$1804=1,$O1820/$F$1804,1)</f>
        <v/>
      </c>
      <c r="T1820" s="95">
        <f>IF($G1820&lt;nr_MStartP,$S1820,$T1808*(1+IF($G1820&lt;nr_MStartP1,$M$1804,$N$1804)))</f>
        <v/>
      </c>
      <c r="U1820" s="95">
        <f>IF($L$1804,$T1820,$N1820)</f>
        <v/>
      </c>
    </row>
    <row r="1821">
      <c r="A1821" s="90" t="n">
        <v>15</v>
      </c>
      <c r="B1821" s="91">
        <f>EDATE($B1820,1)</f>
        <v/>
      </c>
      <c r="C1821" s="92">
        <f>EOMONTH($B1821,0)</f>
        <v/>
      </c>
      <c r="D1821" s="87">
        <f>$C1821-$B1821+1</f>
        <v/>
      </c>
      <c r="E1821" s="87">
        <f>MONTH($B1821)</f>
        <v/>
      </c>
      <c r="F1821" s="93">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$N1821*IF($O$1804=1,$O1821/$F$1804,1)</f>
        <v/>
      </c>
      <c r="T1821" s="95">
        <f>IF($G1821&lt;nr_MStartP,$S1821,$T1809*(1+IF($G1821&lt;nr_MStartP1,$M$1804,$N$1804)))</f>
        <v/>
      </c>
      <c r="U1821" s="95">
        <f>IF($L$1804,$T1821,$N1821)</f>
        <v/>
      </c>
    </row>
    <row r="1822">
      <c r="A1822" s="90" t="n">
        <v>16</v>
      </c>
      <c r="B1822" s="91">
        <f>EDATE($B1821,1)</f>
        <v/>
      </c>
      <c r="C1822" s="92">
        <f>EOMONTH($B1822,0)</f>
        <v/>
      </c>
      <c r="D1822" s="87">
        <f>$C1822-$B1822+1</f>
        <v/>
      </c>
      <c r="E1822" s="87">
        <f>MONTH($B1822)</f>
        <v/>
      </c>
      <c r="F1822" s="93">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$N1822*IF($O$1804=1,$O1822/$F$1804,1)</f>
        <v/>
      </c>
      <c r="T1822" s="95">
        <f>IF($G1822&lt;nr_MStartP,$S1822,$T1810*(1+IF($G1822&lt;nr_MStartP1,$M$1804,$N$1804)))</f>
        <v/>
      </c>
      <c r="U1822" s="95">
        <f>IF($L$1804,$T1822,$N1822)</f>
        <v/>
      </c>
    </row>
    <row r="1823">
      <c r="A1823" s="90" t="n">
        <v>17</v>
      </c>
      <c r="B1823" s="91">
        <f>EDATE($B1822,1)</f>
        <v/>
      </c>
      <c r="C1823" s="92">
        <f>EOMONTH($B1823,0)</f>
        <v/>
      </c>
      <c r="D1823" s="87">
        <f>$C1823-$B1823+1</f>
        <v/>
      </c>
      <c r="E1823" s="87">
        <f>MONTH($B1823)</f>
        <v/>
      </c>
      <c r="F1823" s="93">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$N1823*IF($O$1804=1,$O1823/$F$1804,1)</f>
        <v/>
      </c>
      <c r="T1823" s="95">
        <f>IF($G1823&lt;nr_MStartP,$S1823,$T1811*(1+IF($G1823&lt;nr_MStartP1,$M$1804,$N$1804)))</f>
        <v/>
      </c>
      <c r="U1823" s="95">
        <f>IF($L$1804,$T1823,$N1823)</f>
        <v/>
      </c>
    </row>
    <row r="1824">
      <c r="A1824" s="90" t="n">
        <v>18</v>
      </c>
      <c r="B1824" s="91">
        <f>EDATE($B1823,1)</f>
        <v/>
      </c>
      <c r="C1824" s="92">
        <f>EOMONTH($B1824,0)</f>
        <v/>
      </c>
      <c r="D1824" s="87">
        <f>$C1824-$B1824+1</f>
        <v/>
      </c>
      <c r="E1824" s="87">
        <f>MONTH($B1824)</f>
        <v/>
      </c>
      <c r="F1824" s="93">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$N1824*IF($O$1804=1,$O1824/$F$1804,1)</f>
        <v/>
      </c>
      <c r="T1824" s="95">
        <f>IF($G1824&lt;nr_MStartP,$S1824,$T1812*(1+IF($G1824&lt;nr_MStartP1,$M$1804,$N$1804)))</f>
        <v/>
      </c>
      <c r="U1824" s="95">
        <f>IF($L$1804,$T1824,$N1824)</f>
        <v/>
      </c>
    </row>
    <row r="1825">
      <c r="A1825" s="90" t="n">
        <v>19</v>
      </c>
      <c r="B1825" s="91">
        <f>EDATE($B1824,1)</f>
        <v/>
      </c>
      <c r="C1825" s="92">
        <f>EOMONTH($B1825,0)</f>
        <v/>
      </c>
      <c r="D1825" s="87">
        <f>$C1825-$B1825+1</f>
        <v/>
      </c>
      <c r="E1825" s="87">
        <f>MONTH($B1825)</f>
        <v/>
      </c>
      <c r="F1825" s="93">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$N1825*IF($O$1804=1,$O1825/$F$1804,1)</f>
        <v/>
      </c>
      <c r="T1825" s="95">
        <f>IF($G1825&lt;nr_MStartP,$S1825,$T1813*(1+IF($G1825&lt;nr_MStartP1,$M$1804,$N$1804)))</f>
        <v/>
      </c>
      <c r="U1825" s="95">
        <f>IF($L$1804,$T1825,$N1825)</f>
        <v/>
      </c>
    </row>
    <row r="1826">
      <c r="A1826" s="90" t="n">
        <v>20</v>
      </c>
      <c r="B1826" s="91">
        <f>EDATE($B1825,1)</f>
        <v/>
      </c>
      <c r="C1826" s="92">
        <f>EOMONTH($B1826,0)</f>
        <v/>
      </c>
      <c r="D1826" s="87">
        <f>$C1826-$B1826+1</f>
        <v/>
      </c>
      <c r="E1826" s="87">
        <f>MONTH($B1826)</f>
        <v/>
      </c>
      <c r="F1826" s="93">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$N1826*IF($O$1804=1,$O1826/$F$1804,1)</f>
        <v/>
      </c>
      <c r="T1826" s="95">
        <f>IF($G1826&lt;nr_MStartP,$S1826,$T1814*(1+IF($G1826&lt;nr_MStartP1,$M$1804,$N$1804)))</f>
        <v/>
      </c>
      <c r="U1826" s="95">
        <f>IF($L$1804,$T1826,$N1826)</f>
        <v/>
      </c>
    </row>
    <row r="1827">
      <c r="A1827" s="90" t="n">
        <v>21</v>
      </c>
      <c r="B1827" s="91">
        <f>EDATE($B1826,1)</f>
        <v/>
      </c>
      <c r="C1827" s="92">
        <f>EOMONTH($B1827,0)</f>
        <v/>
      </c>
      <c r="D1827" s="87">
        <f>$C1827-$B1827+1</f>
        <v/>
      </c>
      <c r="E1827" s="87">
        <f>MONTH($B1827)</f>
        <v/>
      </c>
      <c r="F1827" s="93">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$N1827*IF($O$1804=1,$O1827/$F$1804,1)</f>
        <v/>
      </c>
      <c r="T1827" s="95">
        <f>IF($G1827&lt;nr_MStartP,$S1827,$T1815*(1+IF($G1827&lt;nr_MStartP1,$M$1804,$N$1804)))</f>
        <v/>
      </c>
      <c r="U1827" s="95">
        <f>IF($L$1804,$T1827,$N1827)</f>
        <v/>
      </c>
    </row>
    <row r="1828">
      <c r="A1828" s="90" t="n">
        <v>22</v>
      </c>
      <c r="B1828" s="91">
        <f>EDATE($B1827,1)</f>
        <v/>
      </c>
      <c r="C1828" s="92">
        <f>EOMONTH($B1828,0)</f>
        <v/>
      </c>
      <c r="D1828" s="87">
        <f>$C1828-$B1828+1</f>
        <v/>
      </c>
      <c r="E1828" s="87">
        <f>MONTH($B1828)</f>
        <v/>
      </c>
      <c r="F1828" s="93">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$N1828*IF($O$1804=1,$O1828/$F$1804,1)</f>
        <v/>
      </c>
      <c r="T1828" s="95">
        <f>IF($G1828&lt;nr_MStartP,$S1828,$T1816*(1+IF($G1828&lt;nr_MStartP1,$M$1804,$N$1804)))</f>
        <v/>
      </c>
      <c r="U1828" s="95">
        <f>IF($L$1804,$T1828,$N1828)</f>
        <v/>
      </c>
    </row>
    <row r="1829">
      <c r="A1829" s="90" t="n">
        <v>23</v>
      </c>
      <c r="B1829" s="91">
        <f>EDATE($B1828,1)</f>
        <v/>
      </c>
      <c r="C1829" s="92">
        <f>EOMONTH($B1829,0)</f>
        <v/>
      </c>
      <c r="D1829" s="87">
        <f>$C1829-$B1829+1</f>
        <v/>
      </c>
      <c r="E1829" s="87">
        <f>MONTH($B1829)</f>
        <v/>
      </c>
      <c r="F1829" s="93">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$N1829*IF($O$1804=1,$O1829/$F$1804,1)</f>
        <v/>
      </c>
      <c r="T1829" s="95">
        <f>IF($G1829&lt;nr_MStartP,$S1829,$T1817*(1+IF($G1829&lt;nr_MStartP1,$M$1804,$N$1804)))</f>
        <v/>
      </c>
      <c r="U1829" s="95">
        <f>IF($L$1804,$T1829,$N1829)</f>
        <v/>
      </c>
    </row>
    <row r="1830">
      <c r="A1830" s="90" t="n">
        <v>24</v>
      </c>
      <c r="B1830" s="91">
        <f>EDATE($B1829,1)</f>
        <v/>
      </c>
      <c r="C1830" s="92">
        <f>EOMONTH($B1830,0)</f>
        <v/>
      </c>
      <c r="D1830" s="87">
        <f>$C1830-$B1830+1</f>
        <v/>
      </c>
      <c r="E1830" s="87">
        <f>MONTH($B1830)</f>
        <v/>
      </c>
      <c r="F1830" s="93">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$N1830*IF($O$1804=1,$O1830/$F$1804,1)</f>
        <v/>
      </c>
      <c r="T1830" s="95">
        <f>IF($G1830&lt;nr_MStartP,$S1830,$T1818*(1+IF($G1830&lt;nr_MStartP1,$M$1804,$N$1804)))</f>
        <v/>
      </c>
      <c r="U1830" s="95">
        <f>IF($L$1804,$T1830,$N1830)</f>
        <v/>
      </c>
    </row>
    <row r="1831">
      <c r="A1831" s="90" t="n">
        <v>25</v>
      </c>
      <c r="B1831" s="91">
        <f>EDATE($B1830,1)</f>
        <v/>
      </c>
      <c r="C1831" s="92">
        <f>EOMONTH($B1831,0)</f>
        <v/>
      </c>
      <c r="D1831" s="87">
        <f>$C1831-$B1831+1</f>
        <v/>
      </c>
      <c r="E1831" s="87">
        <f>MONTH($B1831)</f>
        <v/>
      </c>
      <c r="F1831" s="93">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$N1831*IF($O$1804=1,$O1831/$F$1804,1)</f>
        <v/>
      </c>
      <c r="T1831" s="95">
        <f>IF($G1831&lt;nr_MStartP,$S1831,$T1819*(1+IF($G1831&lt;nr_MStartP1,$M$1804,$N$1804)))</f>
        <v/>
      </c>
      <c r="U1831" s="95">
        <f>IF($L$1804,$T1831,$N1831)</f>
        <v/>
      </c>
    </row>
    <row r="1832">
      <c r="A1832" s="90" t="n">
        <v>26</v>
      </c>
      <c r="B1832" s="91">
        <f>EDATE($B1831,1)</f>
        <v/>
      </c>
      <c r="C1832" s="92">
        <f>EOMONTH($B1832,0)</f>
        <v/>
      </c>
      <c r="D1832" s="87">
        <f>$C1832-$B1832+1</f>
        <v/>
      </c>
      <c r="E1832" s="87">
        <f>MONTH($B1832)</f>
        <v/>
      </c>
      <c r="F1832" s="93">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$N1832*IF($O$1804=1,$O1832/$F$1804,1)</f>
        <v/>
      </c>
      <c r="T1832" s="95">
        <f>IF($G1832&lt;nr_MStartP,$S1832,$T1820*(1+IF($G1832&lt;nr_MStartP1,$M$1804,$N$1804)))</f>
        <v/>
      </c>
      <c r="U1832" s="95">
        <f>IF($L$1804,$T1832,$N1832)</f>
        <v/>
      </c>
    </row>
    <row r="1833">
      <c r="A1833" s="90" t="n">
        <v>27</v>
      </c>
      <c r="B1833" s="91">
        <f>EDATE($B1832,1)</f>
        <v/>
      </c>
      <c r="C1833" s="92">
        <f>EOMONTH($B1833,0)</f>
        <v/>
      </c>
      <c r="D1833" s="87">
        <f>$C1833-$B1833+1</f>
        <v/>
      </c>
      <c r="E1833" s="87">
        <f>MONTH($B1833)</f>
        <v/>
      </c>
      <c r="F1833" s="93">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$N1833*IF($O$1804=1,$O1833/$F$1804,1)</f>
        <v/>
      </c>
      <c r="T1833" s="95">
        <f>IF($G1833&lt;nr_MStartP,$S1833,$T1821*(1+IF($G1833&lt;nr_MStartP1,$M$1804,$N$1804)))</f>
        <v/>
      </c>
      <c r="U1833" s="95">
        <f>IF($L$1804,$T1833,$N1833)</f>
        <v/>
      </c>
    </row>
    <row r="1834">
      <c r="A1834" s="90" t="n">
        <v>28</v>
      </c>
      <c r="B1834" s="91">
        <f>EDATE($B1833,1)</f>
        <v/>
      </c>
      <c r="C1834" s="92">
        <f>EOMONTH($B1834,0)</f>
        <v/>
      </c>
      <c r="D1834" s="87">
        <f>$C1834-$B1834+1</f>
        <v/>
      </c>
      <c r="E1834" s="87">
        <f>MONTH($B1834)</f>
        <v/>
      </c>
      <c r="F1834" s="93">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$N1834*IF($O$1804=1,$O1834/$F$1804,1)</f>
        <v/>
      </c>
      <c r="T1834" s="95">
        <f>IF($G1834&lt;nr_MStartP,$S1834,$T1822*(1+IF($G1834&lt;nr_MStartP1,$M$1804,$N$1804)))</f>
        <v/>
      </c>
      <c r="U1834" s="95">
        <f>IF($L$1804,$T1834,$N1834)</f>
        <v/>
      </c>
    </row>
    <row r="1835">
      <c r="A1835" s="90" t="n">
        <v>29</v>
      </c>
      <c r="B1835" s="91">
        <f>EDATE($B1834,1)</f>
        <v/>
      </c>
      <c r="C1835" s="92">
        <f>EOMONTH($B1835,0)</f>
        <v/>
      </c>
      <c r="D1835" s="87">
        <f>$C1835-$B1835+1</f>
        <v/>
      </c>
      <c r="E1835" s="87">
        <f>MONTH($B1835)</f>
        <v/>
      </c>
      <c r="F1835" s="93">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$N1835*IF($O$1804=1,$O1835/$F$1804,1)</f>
        <v/>
      </c>
      <c r="T1835" s="95">
        <f>IF($G1835&lt;nr_MStartP,$S1835,$T1823*(1+IF($G1835&lt;nr_MStartP1,$M$1804,$N$1804)))</f>
        <v/>
      </c>
      <c r="U1835" s="95">
        <f>IF($L$1804,$T1835,$N1835)</f>
        <v/>
      </c>
    </row>
    <row r="1836">
      <c r="A1836" s="90" t="n">
        <v>30</v>
      </c>
      <c r="B1836" s="91">
        <f>EDATE($B1835,1)</f>
        <v/>
      </c>
      <c r="C1836" s="92">
        <f>EOMONTH($B1836,0)</f>
        <v/>
      </c>
      <c r="D1836" s="87">
        <f>$C1836-$B1836+1</f>
        <v/>
      </c>
      <c r="E1836" s="87">
        <f>MONTH($B1836)</f>
        <v/>
      </c>
      <c r="F1836" s="93">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$N1836*IF($O$1804=1,$O1836/$F$1804,1)</f>
        <v/>
      </c>
      <c r="T1836" s="95">
        <f>IF($G1836&lt;nr_MStartP,$S1836,$T1824*(1+IF($G1836&lt;nr_MStartP1,$M$1804,$N$1804)))</f>
        <v/>
      </c>
      <c r="U1836" s="95">
        <f>IF($L$1804,$T1836,$N1836)</f>
        <v/>
      </c>
    </row>
    <row r="1837">
      <c r="A1837" s="90" t="n">
        <v>31</v>
      </c>
      <c r="B1837" s="91">
        <f>EDATE($B1836,1)</f>
        <v/>
      </c>
      <c r="C1837" s="92">
        <f>EOMONTH($B1837,0)</f>
        <v/>
      </c>
      <c r="D1837" s="87">
        <f>$C1837-$B1837+1</f>
        <v/>
      </c>
      <c r="E1837" s="87">
        <f>MONTH($B1837)</f>
        <v/>
      </c>
      <c r="F1837" s="93">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$N1837*IF($O$1804=1,$O1837/$F$1804,1)</f>
        <v/>
      </c>
      <c r="T1837" s="95">
        <f>IF($G1837&lt;nr_MStartP,$S1837,$T1825*(1+IF($G1837&lt;nr_MStartP1,$M$1804,$N$1804)))</f>
        <v/>
      </c>
      <c r="U1837" s="95">
        <f>IF($L$1804,$T1837,$N1837)</f>
        <v/>
      </c>
    </row>
    <row r="1838">
      <c r="A1838" s="90" t="n">
        <v>32</v>
      </c>
      <c r="B1838" s="91">
        <f>EDATE($B1837,1)</f>
        <v/>
      </c>
      <c r="C1838" s="92">
        <f>EOMONTH($B1838,0)</f>
        <v/>
      </c>
      <c r="D1838" s="87">
        <f>$C1838-$B1838+1</f>
        <v/>
      </c>
      <c r="E1838" s="87">
        <f>MONTH($B1838)</f>
        <v/>
      </c>
      <c r="F1838" s="93">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$N1838*IF($O$1804=1,$O1838/$F$1804,1)</f>
        <v/>
      </c>
      <c r="T1838" s="95">
        <f>IF($G1838&lt;nr_MStartP,$S1838,$T1826*(1+IF($G1838&lt;nr_MStartP1,$M$1804,$N$1804)))</f>
        <v/>
      </c>
      <c r="U1838" s="95">
        <f>IF($L$1804,$T1838,$N1838)</f>
        <v/>
      </c>
    </row>
    <row r="1839">
      <c r="A1839" s="90" t="n">
        <v>33</v>
      </c>
      <c r="B1839" s="91">
        <f>EDATE($B1838,1)</f>
        <v/>
      </c>
      <c r="C1839" s="92">
        <f>EOMONTH($B1839,0)</f>
        <v/>
      </c>
      <c r="D1839" s="87">
        <f>$C1839-$B1839+1</f>
        <v/>
      </c>
      <c r="E1839" s="87">
        <f>MONTH($B1839)</f>
        <v/>
      </c>
      <c r="F1839" s="93">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$N1839*IF($O$1804=1,$O1839/$F$1804,1)</f>
        <v/>
      </c>
      <c r="T1839" s="95">
        <f>IF($G1839&lt;nr_MStartP,$S1839,$T1827*(1+IF($G1839&lt;nr_MStartP1,$M$1804,$N$1804)))</f>
        <v/>
      </c>
      <c r="U1839" s="95">
        <f>IF($L$1804,$T1839,$N1839)</f>
        <v/>
      </c>
    </row>
    <row r="1840">
      <c r="A1840" s="90" t="n">
        <v>34</v>
      </c>
      <c r="B1840" s="91">
        <f>EDATE($B1839,1)</f>
        <v/>
      </c>
      <c r="C1840" s="92">
        <f>EOMONTH($B1840,0)</f>
        <v/>
      </c>
      <c r="D1840" s="87">
        <f>$C1840-$B1840+1</f>
        <v/>
      </c>
      <c r="E1840" s="87">
        <f>MONTH($B1840)</f>
        <v/>
      </c>
      <c r="F1840" s="93">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$N1840*IF($O$1804=1,$O1840/$F$1804,1)</f>
        <v/>
      </c>
      <c r="T1840" s="95">
        <f>IF($G1840&lt;nr_MStartP,$S1840,$T1828*(1+IF($G1840&lt;nr_MStartP1,$M$1804,$N$1804)))</f>
        <v/>
      </c>
      <c r="U1840" s="95">
        <f>IF($L$1804,$T1840,$N1840)</f>
        <v/>
      </c>
    </row>
    <row r="1841">
      <c r="A1841" s="90" t="n">
        <v>35</v>
      </c>
      <c r="B1841" s="91">
        <f>EDATE($B1840,1)</f>
        <v/>
      </c>
      <c r="C1841" s="92">
        <f>EOMONTH($B1841,0)</f>
        <v/>
      </c>
      <c r="D1841" s="87">
        <f>$C1841-$B1841+1</f>
        <v/>
      </c>
      <c r="E1841" s="87">
        <f>MONTH($B1841)</f>
        <v/>
      </c>
      <c r="F1841" s="93">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$N1841*IF($O$1804=1,$O1841/$F$1804,1)</f>
        <v/>
      </c>
      <c r="T1841" s="95">
        <f>IF($G1841&lt;nr_MStartP,$S1841,$T1829*(1+IF($G1841&lt;nr_MStartP1,$M$1804,$N$1804)))</f>
        <v/>
      </c>
      <c r="U1841" s="95">
        <f>IF($L$1804,$T1841,$N1841)</f>
        <v/>
      </c>
    </row>
    <row r="1842">
      <c r="A1842" s="90" t="n">
        <v>36</v>
      </c>
      <c r="B1842" s="91">
        <f>EDATE($B1841,1)</f>
        <v/>
      </c>
      <c r="C1842" s="92">
        <f>EOMONTH($B1842,0)</f>
        <v/>
      </c>
      <c r="D1842" s="87">
        <f>$C1842-$B1842+1</f>
        <v/>
      </c>
      <c r="E1842" s="87">
        <f>MONTH($B1842)</f>
        <v/>
      </c>
      <c r="F1842" s="93">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$N1842*IF($O$1804=1,$O1842/$F$1804,1)</f>
        <v/>
      </c>
      <c r="T1842" s="95">
        <f>IF($G1842&lt;nr_MStartP,$S1842,$T1830*(1+IF($G1842&lt;nr_MStartP1,$M$1804,$N$1804)))</f>
        <v/>
      </c>
      <c r="U1842" s="95">
        <f>IF($L$1804,$T1842,$N1842)</f>
        <v/>
      </c>
    </row>
    <row r="1843">
      <c r="A1843" s="90" t="n">
        <v>37</v>
      </c>
      <c r="B1843" s="91">
        <f>EDATE($B1842,1)</f>
        <v/>
      </c>
      <c r="C1843" s="92">
        <f>EOMONTH($B1843,0)</f>
        <v/>
      </c>
      <c r="D1843" s="87">
        <f>$C1843-$B1843+1</f>
        <v/>
      </c>
      <c r="E1843" s="87">
        <f>MONTH($B1843)</f>
        <v/>
      </c>
      <c r="F1843" s="93">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$N1843*IF($O$1804=1,$O1843/$F$1804,1)</f>
        <v/>
      </c>
      <c r="T1843" s="95">
        <f>IF($G1843&lt;nr_MStartP,$S1843,$T1831*(1+IF($G1843&lt;nr_MStartP1,$M$1804,$N$1804)))</f>
        <v/>
      </c>
      <c r="U1843" s="95">
        <f>IF($L$1804,$T1843,$N1843)</f>
        <v/>
      </c>
    </row>
    <row r="1844">
      <c r="A1844" s="90" t="n">
        <v>38</v>
      </c>
      <c r="B1844" s="91">
        <f>EDATE($B1843,1)</f>
        <v/>
      </c>
      <c r="C1844" s="92">
        <f>EOMONTH($B1844,0)</f>
        <v/>
      </c>
      <c r="D1844" s="87">
        <f>$C1844-$B1844+1</f>
        <v/>
      </c>
      <c r="E1844" s="87">
        <f>MONTH($B1844)</f>
        <v/>
      </c>
      <c r="F1844" s="93">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$N1844*IF($O$1804=1,$O1844/$F$1804,1)</f>
        <v/>
      </c>
      <c r="T1844" s="95">
        <f>IF($G1844&lt;nr_MStartP,$S1844,$T1832*(1+IF($G1844&lt;nr_MStartP1,$M$1804,$N$1804)))</f>
        <v/>
      </c>
      <c r="U1844" s="95">
        <f>IF($L$1804,$T1844,$N1844)</f>
        <v/>
      </c>
    </row>
    <row r="1845">
      <c r="A1845" s="90" t="n">
        <v>39</v>
      </c>
      <c r="B1845" s="91">
        <f>EDATE($B1844,1)</f>
        <v/>
      </c>
      <c r="C1845" s="92">
        <f>EOMONTH($B1845,0)</f>
        <v/>
      </c>
      <c r="D1845" s="87">
        <f>$C1845-$B1845+1</f>
        <v/>
      </c>
      <c r="E1845" s="87">
        <f>MONTH($B1845)</f>
        <v/>
      </c>
      <c r="F1845" s="93">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$N1845*IF($O$1804=1,$O1845/$F$1804,1)</f>
        <v/>
      </c>
      <c r="T1845" s="95">
        <f>IF($G1845&lt;nr_MStartP,$S1845,$T1833*(1+IF($G1845&lt;nr_MStartP1,$M$1804,$N$1804)))</f>
        <v/>
      </c>
      <c r="U1845" s="95">
        <f>IF($L$1804,$T1845,$N1845)</f>
        <v/>
      </c>
    </row>
    <row r="1846">
      <c r="A1846" s="90" t="n">
        <v>40</v>
      </c>
      <c r="B1846" s="91">
        <f>EDATE($B1845,1)</f>
        <v/>
      </c>
      <c r="C1846" s="92">
        <f>EOMONTH($B1846,0)</f>
        <v/>
      </c>
      <c r="D1846" s="87">
        <f>$C1846-$B1846+1</f>
        <v/>
      </c>
      <c r="E1846" s="87">
        <f>MONTH($B1846)</f>
        <v/>
      </c>
      <c r="F1846" s="93">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$N1846*IF($O$1804=1,$O1846/$F$1804,1)</f>
        <v/>
      </c>
      <c r="T1846" s="95">
        <f>IF($G1846&lt;nr_MStartP,$S1846,$T1834*(1+IF($G1846&lt;nr_MStartP1,$M$1804,$N$1804)))</f>
        <v/>
      </c>
      <c r="U1846" s="95">
        <f>IF($L$1804,$T1846,$N1846)</f>
        <v/>
      </c>
    </row>
    <row r="1847">
      <c r="A1847" s="90" t="n">
        <v>41</v>
      </c>
      <c r="B1847" s="91">
        <f>EDATE($B1846,1)</f>
        <v/>
      </c>
      <c r="C1847" s="92">
        <f>EOMONTH($B1847,0)</f>
        <v/>
      </c>
      <c r="D1847" s="87">
        <f>$C1847-$B1847+1</f>
        <v/>
      </c>
      <c r="E1847" s="87">
        <f>MONTH($B1847)</f>
        <v/>
      </c>
      <c r="F1847" s="93">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$N1847*IF($O$1804=1,$O1847/$F$1804,1)</f>
        <v/>
      </c>
      <c r="T1847" s="95">
        <f>IF($G1847&lt;nr_MStartP,$S1847,$T1835*(1+IF($G1847&lt;nr_MStartP1,$M$1804,$N$1804)))</f>
        <v/>
      </c>
      <c r="U1847" s="95">
        <f>IF($L$1804,$T1847,$N1847)</f>
        <v/>
      </c>
    </row>
    <row r="1848">
      <c r="A1848" s="90" t="n">
        <v>42</v>
      </c>
      <c r="B1848" s="91">
        <f>EDATE($B1847,1)</f>
        <v/>
      </c>
      <c r="C1848" s="92">
        <f>EOMONTH($B1848,0)</f>
        <v/>
      </c>
      <c r="D1848" s="87">
        <f>$C1848-$B1848+1</f>
        <v/>
      </c>
      <c r="E1848" s="87">
        <f>MONTH($B1848)</f>
        <v/>
      </c>
      <c r="F1848" s="93">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$N1848*IF($O$1804=1,$O1848/$F$1804,1)</f>
        <v/>
      </c>
      <c r="T1848" s="95">
        <f>IF($G1848&lt;nr_MStartP,$S1848,$T1836*(1+IF($G1848&lt;nr_MStartP1,$M$1804,$N$1804)))</f>
        <v/>
      </c>
      <c r="U1848" s="95">
        <f>IF($L$1804,$T1848,$N1848)</f>
        <v/>
      </c>
    </row>
    <row r="1849">
      <c r="A1849" s="90" t="n">
        <v>43</v>
      </c>
      <c r="B1849" s="91">
        <f>EDATE($B1848,1)</f>
        <v/>
      </c>
      <c r="C1849" s="92">
        <f>EOMONTH($B1849,0)</f>
        <v/>
      </c>
      <c r="D1849" s="87">
        <f>$C1849-$B1849+1</f>
        <v/>
      </c>
      <c r="E1849" s="87">
        <f>MONTH($B1849)</f>
        <v/>
      </c>
      <c r="F1849" s="93">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$N1849*IF($O$1804=1,$O1849/$F$1804,1)</f>
        <v/>
      </c>
      <c r="T1849" s="95">
        <f>IF($G1849&lt;nr_MStartP,$S1849,$T1837*(1+IF($G1849&lt;nr_MStartP1,$M$1804,$N$1804)))</f>
        <v/>
      </c>
      <c r="U1849" s="95">
        <f>IF($L$1804,$T1849,$N1849)</f>
        <v/>
      </c>
    </row>
    <row r="1850">
      <c r="A1850" s="90" t="n">
        <v>44</v>
      </c>
      <c r="B1850" s="91">
        <f>EDATE($B1849,1)</f>
        <v/>
      </c>
      <c r="C1850" s="92">
        <f>EOMONTH($B1850,0)</f>
        <v/>
      </c>
      <c r="D1850" s="87">
        <f>$C1850-$B1850+1</f>
        <v/>
      </c>
      <c r="E1850" s="87">
        <f>MONTH($B1850)</f>
        <v/>
      </c>
      <c r="F1850" s="93">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$N1850*IF($O$1804=1,$O1850/$F$1804,1)</f>
        <v/>
      </c>
      <c r="T1850" s="95">
        <f>IF($G1850&lt;nr_MStartP,$S1850,$T1838*(1+IF($G1850&lt;nr_MStartP1,$M$1804,$N$1804)))</f>
        <v/>
      </c>
      <c r="U1850" s="95">
        <f>IF($L$1804,$T1850,$N1850)</f>
        <v/>
      </c>
    </row>
    <row r="1851">
      <c r="A1851" s="90" t="n">
        <v>45</v>
      </c>
      <c r="B1851" s="91">
        <f>EDATE($B1850,1)</f>
        <v/>
      </c>
      <c r="C1851" s="92">
        <f>EOMONTH($B1851,0)</f>
        <v/>
      </c>
      <c r="D1851" s="87">
        <f>$C1851-$B1851+1</f>
        <v/>
      </c>
      <c r="E1851" s="87">
        <f>MONTH($B1851)</f>
        <v/>
      </c>
      <c r="F1851" s="93">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$N1851*IF($O$1804=1,$O1851/$F$1804,1)</f>
        <v/>
      </c>
      <c r="T1851" s="95">
        <f>IF($G1851&lt;nr_MStartP,$S1851,$T1839*(1+IF($G1851&lt;nr_MStartP1,$M$1804,$N$1804)))</f>
        <v/>
      </c>
      <c r="U1851" s="95">
        <f>IF($L$1804,$T1851,$N1851)</f>
        <v/>
      </c>
    </row>
    <row r="1852">
      <c r="A1852" s="90" t="n">
        <v>46</v>
      </c>
      <c r="B1852" s="91">
        <f>EDATE($B1851,1)</f>
        <v/>
      </c>
      <c r="C1852" s="92">
        <f>EOMONTH($B1852,0)</f>
        <v/>
      </c>
      <c r="D1852" s="87">
        <f>$C1852-$B1852+1</f>
        <v/>
      </c>
      <c r="E1852" s="87">
        <f>MONTH($B1852)</f>
        <v/>
      </c>
      <c r="F1852" s="93">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$N1852*IF($O$1804=1,$O1852/$F$1804,1)</f>
        <v/>
      </c>
      <c r="T1852" s="95">
        <f>IF($G1852&lt;nr_MStartP,$S1852,$T1840*(1+IF($G1852&lt;nr_MStartP1,$M$1804,$N$1804)))</f>
        <v/>
      </c>
      <c r="U1852" s="95">
        <f>IF($L$1804,$T1852,$N1852)</f>
        <v/>
      </c>
    </row>
    <row r="1853">
      <c r="A1853" s="90" t="n">
        <v>47</v>
      </c>
      <c r="B1853" s="91">
        <f>EDATE($B1852,1)</f>
        <v/>
      </c>
      <c r="C1853" s="92">
        <f>EOMONTH($B1853,0)</f>
        <v/>
      </c>
      <c r="D1853" s="87">
        <f>$C1853-$B1853+1</f>
        <v/>
      </c>
      <c r="E1853" s="87">
        <f>MONTH($B1853)</f>
        <v/>
      </c>
      <c r="F1853" s="93">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$N1853*IF($O$1804=1,$O1853/$F$1804,1)</f>
        <v/>
      </c>
      <c r="T1853" s="95">
        <f>IF($G1853&lt;nr_MStartP,$S1853,$T1841*(1+IF($G1853&lt;nr_MStartP1,$M$1804,$N$1804)))</f>
        <v/>
      </c>
      <c r="U1853" s="95">
        <f>IF($L$1804,$T1853,$N1853)</f>
        <v/>
      </c>
    </row>
    <row r="1854">
      <c r="A1854" s="90" t="n">
        <v>48</v>
      </c>
      <c r="B1854" s="91">
        <f>EDATE($B1853,1)</f>
        <v/>
      </c>
      <c r="C1854" s="92">
        <f>EOMONTH($B1854,0)</f>
        <v/>
      </c>
      <c r="D1854" s="87">
        <f>$C1854-$B1854+1</f>
        <v/>
      </c>
      <c r="E1854" s="87">
        <f>MONTH($B1854)</f>
        <v/>
      </c>
      <c r="F1854" s="93">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$N1854*IF($O$1804=1,$O1854/$F$1804,1)</f>
        <v/>
      </c>
      <c r="T1854" s="95">
        <f>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04">
        <f>SUMPRODUCT($H$1807:$H$1854,$Q$1807:$Q$1854,$O$1807:$O$1854)/SUMPRODUCT($H$1807:$H$1854,$Q$1807:$Q$1854)</f>
        <v/>
      </c>
      <c r="G1855" s="20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04">
        <f>IF(N(INDEX(lr_mind,34))=0,1,INDEX(lr_mind,34))</f>
        <v/>
      </c>
      <c r="G1858" s="204">
        <f>IF(N(INDEX(lr_m0,34))=0,1,INDEX(lr_m0,34))</f>
        <v/>
      </c>
      <c r="H1858" s="73">
        <f>IF(N(INDEX(lr_m0asof,34))=0,DATE(nr_PlanYear-1,10,1),INDEX(lr_m0asof,34))</f>
        <v/>
      </c>
      <c r="I1858" s="204">
        <f>IF(N(INDEX(lr_m1,34))=0,1,INDEX(lr_m1,34))</f>
        <v/>
      </c>
      <c r="J1858" s="204">
        <f>INDEX(lr_mprior,34)</f>
        <v/>
      </c>
      <c r="K1858" s="20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93">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$N1861*IF($O$1858=1,$O1861/$F$1858,1)</f>
        <v/>
      </c>
      <c r="T1861" s="95">
        <f>IF($G1861&lt;nr_MStartP,$S1861,$T1849*(1+IF($G1861&lt;nr_MStartP1,$M$1858,$N$1858)))</f>
        <v/>
      </c>
      <c r="U1861" s="95">
        <f>IF($L$1858,$T1861,$N1861)</f>
        <v/>
      </c>
    </row>
    <row r="1862">
      <c r="A1862" s="90" t="n">
        <v>2</v>
      </c>
      <c r="B1862" s="91">
        <f>EDATE($B1861,1)</f>
        <v/>
      </c>
      <c r="C1862" s="92">
        <f>EOMONTH($B1862,0)</f>
        <v/>
      </c>
      <c r="D1862" s="87">
        <f>$C1862-$B1862+1</f>
        <v/>
      </c>
      <c r="E1862" s="87">
        <f>MONTH($B1862)</f>
        <v/>
      </c>
      <c r="F1862" s="93">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$N1862*IF($O$1858=1,$O1862/$F$1858,1)</f>
        <v/>
      </c>
      <c r="T1862" s="95">
        <f>IF($G1862&lt;nr_MStartP,$S1862,$T1850*(1+IF($G1862&lt;nr_MStartP1,$M$1858,$N$1858)))</f>
        <v/>
      </c>
      <c r="U1862" s="95">
        <f>IF($L$1858,$T1862,$N1862)</f>
        <v/>
      </c>
    </row>
    <row r="1863">
      <c r="A1863" s="90" t="n">
        <v>3</v>
      </c>
      <c r="B1863" s="91">
        <f>EDATE($B1862,1)</f>
        <v/>
      </c>
      <c r="C1863" s="92">
        <f>EOMONTH($B1863,0)</f>
        <v/>
      </c>
      <c r="D1863" s="87">
        <f>$C1863-$B1863+1</f>
        <v/>
      </c>
      <c r="E1863" s="87">
        <f>MONTH($B1863)</f>
        <v/>
      </c>
      <c r="F1863" s="93">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$N1863*IF($O$1858=1,$O1863/$F$1858,1)</f>
        <v/>
      </c>
      <c r="T1863" s="95">
        <f>IF($G1863&lt;nr_MStartP,$S1863,$T1851*(1+IF($G1863&lt;nr_MStartP1,$M$1858,$N$1858)))</f>
        <v/>
      </c>
      <c r="U1863" s="95">
        <f>IF($L$1858,$T1863,$N1863)</f>
        <v/>
      </c>
    </row>
    <row r="1864">
      <c r="A1864" s="90" t="n">
        <v>4</v>
      </c>
      <c r="B1864" s="91">
        <f>EDATE($B1863,1)</f>
        <v/>
      </c>
      <c r="C1864" s="92">
        <f>EOMONTH($B1864,0)</f>
        <v/>
      </c>
      <c r="D1864" s="87">
        <f>$C1864-$B1864+1</f>
        <v/>
      </c>
      <c r="E1864" s="87">
        <f>MONTH($B1864)</f>
        <v/>
      </c>
      <c r="F1864" s="93">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$N1864*IF($O$1858=1,$O1864/$F$1858,1)</f>
        <v/>
      </c>
      <c r="T1864" s="95">
        <f>IF($G1864&lt;nr_MStartP,$S1864,$T1852*(1+IF($G1864&lt;nr_MStartP1,$M$1858,$N$1858)))</f>
        <v/>
      </c>
      <c r="U1864" s="95">
        <f>IF($L$1858,$T1864,$N1864)</f>
        <v/>
      </c>
    </row>
    <row r="1865">
      <c r="A1865" s="90" t="n">
        <v>5</v>
      </c>
      <c r="B1865" s="91">
        <f>EDATE($B1864,1)</f>
        <v/>
      </c>
      <c r="C1865" s="92">
        <f>EOMONTH($B1865,0)</f>
        <v/>
      </c>
      <c r="D1865" s="87">
        <f>$C1865-$B1865+1</f>
        <v/>
      </c>
      <c r="E1865" s="87">
        <f>MONTH($B1865)</f>
        <v/>
      </c>
      <c r="F1865" s="93">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$N1865*IF($O$1858=1,$O1865/$F$1858,1)</f>
        <v/>
      </c>
      <c r="T1865" s="95">
        <f>IF($G1865&lt;nr_MStartP,$S1865,$T1853*(1+IF($G1865&lt;nr_MStartP1,$M$1858,$N$1858)))</f>
        <v/>
      </c>
      <c r="U1865" s="95">
        <f>IF($L$1858,$T1865,$N1865)</f>
        <v/>
      </c>
    </row>
    <row r="1866">
      <c r="A1866" s="90" t="n">
        <v>6</v>
      </c>
      <c r="B1866" s="91">
        <f>EDATE($B1865,1)</f>
        <v/>
      </c>
      <c r="C1866" s="92">
        <f>EOMONTH($B1866,0)</f>
        <v/>
      </c>
      <c r="D1866" s="87">
        <f>$C1866-$B1866+1</f>
        <v/>
      </c>
      <c r="E1866" s="87">
        <f>MONTH($B1866)</f>
        <v/>
      </c>
      <c r="F1866" s="93">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$N1866*IF($O$1858=1,$O1866/$F$1858,1)</f>
        <v/>
      </c>
      <c r="T1866" s="95">
        <f>IF($G1866&lt;nr_MStartP,$S1866,$T1854*(1+IF($G1866&lt;nr_MStartP1,$M$1858,$N$1858)))</f>
        <v/>
      </c>
      <c r="U1866" s="95">
        <f>IF($L$1858,$T1866,$N1866)</f>
        <v/>
      </c>
    </row>
    <row r="1867">
      <c r="A1867" s="90" t="n">
        <v>7</v>
      </c>
      <c r="B1867" s="91">
        <f>EDATE($B1866,1)</f>
        <v/>
      </c>
      <c r="C1867" s="92">
        <f>EOMONTH($B1867,0)</f>
        <v/>
      </c>
      <c r="D1867" s="87">
        <f>$C1867-$B1867+1</f>
        <v/>
      </c>
      <c r="E1867" s="87">
        <f>MONTH($B1867)</f>
        <v/>
      </c>
      <c r="F1867" s="93">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$N1867*IF($O$1858=1,$O1867/$F$1858,1)</f>
        <v/>
      </c>
      <c r="T1867" s="95">
        <f>IF($G1867&lt;nr_MStartP,$S1867,$T1855*(1+IF($G1867&lt;nr_MStartP1,$M$1858,$N$1858)))</f>
        <v/>
      </c>
      <c r="U1867" s="95">
        <f>IF($L$1858,$T1867,$N1867)</f>
        <v/>
      </c>
    </row>
    <row r="1868">
      <c r="A1868" s="90" t="n">
        <v>8</v>
      </c>
      <c r="B1868" s="91">
        <f>EDATE($B1867,1)</f>
        <v/>
      </c>
      <c r="C1868" s="92">
        <f>EOMONTH($B1868,0)</f>
        <v/>
      </c>
      <c r="D1868" s="87">
        <f>$C1868-$B1868+1</f>
        <v/>
      </c>
      <c r="E1868" s="87">
        <f>MONTH($B1868)</f>
        <v/>
      </c>
      <c r="F1868" s="93">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$N1868*IF($O$1858=1,$O1868/$F$1858,1)</f>
        <v/>
      </c>
      <c r="T1868" s="95">
        <f>IF($G1868&lt;nr_MStartP,$S1868,$T1856*(1+IF($G1868&lt;nr_MStartP1,$M$1858,$N$1858)))</f>
        <v/>
      </c>
      <c r="U1868" s="95">
        <f>IF($L$1858,$T1868,$N1868)</f>
        <v/>
      </c>
    </row>
    <row r="1869">
      <c r="A1869" s="90" t="n">
        <v>9</v>
      </c>
      <c r="B1869" s="91">
        <f>EDATE($B1868,1)</f>
        <v/>
      </c>
      <c r="C1869" s="92">
        <f>EOMONTH($B1869,0)</f>
        <v/>
      </c>
      <c r="D1869" s="87">
        <f>$C1869-$B1869+1</f>
        <v/>
      </c>
      <c r="E1869" s="87">
        <f>MONTH($B1869)</f>
        <v/>
      </c>
      <c r="F1869" s="93">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$N1869*IF($O$1858=1,$O1869/$F$1858,1)</f>
        <v/>
      </c>
      <c r="T1869" s="95">
        <f>IF($G1869&lt;nr_MStartP,$S1869,$T1857*(1+IF($G1869&lt;nr_MStartP1,$M$1858,$N$1858)))</f>
        <v/>
      </c>
      <c r="U1869" s="95">
        <f>IF($L$1858,$T1869,$N1869)</f>
        <v/>
      </c>
    </row>
    <row r="1870">
      <c r="A1870" s="90" t="n">
        <v>10</v>
      </c>
      <c r="B1870" s="91">
        <f>EDATE($B1869,1)</f>
        <v/>
      </c>
      <c r="C1870" s="92">
        <f>EOMONTH($B1870,0)</f>
        <v/>
      </c>
      <c r="D1870" s="87">
        <f>$C1870-$B1870+1</f>
        <v/>
      </c>
      <c r="E1870" s="87">
        <f>MONTH($B1870)</f>
        <v/>
      </c>
      <c r="F1870" s="93">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$N1870*IF($O$1858=1,$O1870/$F$1858,1)</f>
        <v/>
      </c>
      <c r="T1870" s="95">
        <f>IF($G1870&lt;nr_MStartP,$S1870,$T1858*(1+IF($G1870&lt;nr_MStartP1,$M$1858,$N$1858)))</f>
        <v/>
      </c>
      <c r="U1870" s="95">
        <f>IF($L$1858,$T1870,$N1870)</f>
        <v/>
      </c>
    </row>
    <row r="1871">
      <c r="A1871" s="90" t="n">
        <v>11</v>
      </c>
      <c r="B1871" s="91">
        <f>EDATE($B1870,1)</f>
        <v/>
      </c>
      <c r="C1871" s="92">
        <f>EOMONTH($B1871,0)</f>
        <v/>
      </c>
      <c r="D1871" s="87">
        <f>$C1871-$B1871+1</f>
        <v/>
      </c>
      <c r="E1871" s="87">
        <f>MONTH($B1871)</f>
        <v/>
      </c>
      <c r="F1871" s="93">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$N1871*IF($O$1858=1,$O1871/$F$1858,1)</f>
        <v/>
      </c>
      <c r="T1871" s="95">
        <f>IF($G1871&lt;nr_MStartP,$S1871,$T1859*(1+IF($G1871&lt;nr_MStartP1,$M$1858,$N$1858)))</f>
        <v/>
      </c>
      <c r="U1871" s="95">
        <f>IF($L$1858,$T1871,$N1871)</f>
        <v/>
      </c>
    </row>
    <row r="1872">
      <c r="A1872" s="90" t="n">
        <v>12</v>
      </c>
      <c r="B1872" s="91">
        <f>EDATE($B1871,1)</f>
        <v/>
      </c>
      <c r="C1872" s="92">
        <f>EOMONTH($B1872,0)</f>
        <v/>
      </c>
      <c r="D1872" s="87">
        <f>$C1872-$B1872+1</f>
        <v/>
      </c>
      <c r="E1872" s="87">
        <f>MONTH($B1872)</f>
        <v/>
      </c>
      <c r="F1872" s="93">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$N1872*IF($O$1858=1,$O1872/$F$1858,1)</f>
        <v/>
      </c>
      <c r="T1872" s="95">
        <f>IF($G1872&lt;nr_MStartP,$S1872,$T1860*(1+IF($G1872&lt;nr_MStartP1,$M$1858,$N$1858)))</f>
        <v/>
      </c>
      <c r="U1872" s="95">
        <f>IF($L$1858,$T1872,$N1872)</f>
        <v/>
      </c>
    </row>
    <row r="1873">
      <c r="A1873" s="90" t="n">
        <v>13</v>
      </c>
      <c r="B1873" s="91">
        <f>EDATE($B1872,1)</f>
        <v/>
      </c>
      <c r="C1873" s="92">
        <f>EOMONTH($B1873,0)</f>
        <v/>
      </c>
      <c r="D1873" s="87">
        <f>$C1873-$B1873+1</f>
        <v/>
      </c>
      <c r="E1873" s="87">
        <f>MONTH($B1873)</f>
        <v/>
      </c>
      <c r="F1873" s="93">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$N1873*IF($O$1858=1,$O1873/$F$1858,1)</f>
        <v/>
      </c>
      <c r="T1873" s="95">
        <f>IF($G1873&lt;nr_MStartP,$S1873,$T1861*(1+IF($G1873&lt;nr_MStartP1,$M$1858,$N$1858)))</f>
        <v/>
      </c>
      <c r="U1873" s="95">
        <f>IF($L$1858,$T1873,$N1873)</f>
        <v/>
      </c>
    </row>
    <row r="1874">
      <c r="A1874" s="90" t="n">
        <v>14</v>
      </c>
      <c r="B1874" s="91">
        <f>EDATE($B1873,1)</f>
        <v/>
      </c>
      <c r="C1874" s="92">
        <f>EOMONTH($B1874,0)</f>
        <v/>
      </c>
      <c r="D1874" s="87">
        <f>$C1874-$B1874+1</f>
        <v/>
      </c>
      <c r="E1874" s="87">
        <f>MONTH($B1874)</f>
        <v/>
      </c>
      <c r="F1874" s="93">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$N1874*IF($O$1858=1,$O1874/$F$1858,1)</f>
        <v/>
      </c>
      <c r="T1874" s="95">
        <f>IF($G1874&lt;nr_MStartP,$S1874,$T1862*(1+IF($G1874&lt;nr_MStartP1,$M$1858,$N$1858)))</f>
        <v/>
      </c>
      <c r="U1874" s="95">
        <f>IF($L$1858,$T1874,$N1874)</f>
        <v/>
      </c>
    </row>
    <row r="1875">
      <c r="A1875" s="90" t="n">
        <v>15</v>
      </c>
      <c r="B1875" s="91">
        <f>EDATE($B1874,1)</f>
        <v/>
      </c>
      <c r="C1875" s="92">
        <f>EOMONTH($B1875,0)</f>
        <v/>
      </c>
      <c r="D1875" s="87">
        <f>$C1875-$B1875+1</f>
        <v/>
      </c>
      <c r="E1875" s="87">
        <f>MONTH($B1875)</f>
        <v/>
      </c>
      <c r="F1875" s="93">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$N1875*IF($O$1858=1,$O1875/$F$1858,1)</f>
        <v/>
      </c>
      <c r="T1875" s="95">
        <f>IF($G1875&lt;nr_MStartP,$S1875,$T1863*(1+IF($G1875&lt;nr_MStartP1,$M$1858,$N$1858)))</f>
        <v/>
      </c>
      <c r="U1875" s="95">
        <f>IF($L$1858,$T1875,$N1875)</f>
        <v/>
      </c>
    </row>
    <row r="1876">
      <c r="A1876" s="90" t="n">
        <v>16</v>
      </c>
      <c r="B1876" s="91">
        <f>EDATE($B1875,1)</f>
        <v/>
      </c>
      <c r="C1876" s="92">
        <f>EOMONTH($B1876,0)</f>
        <v/>
      </c>
      <c r="D1876" s="87">
        <f>$C1876-$B1876+1</f>
        <v/>
      </c>
      <c r="E1876" s="87">
        <f>MONTH($B1876)</f>
        <v/>
      </c>
      <c r="F1876" s="93">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$N1876*IF($O$1858=1,$O1876/$F$1858,1)</f>
        <v/>
      </c>
      <c r="T1876" s="95">
        <f>IF($G1876&lt;nr_MStartP,$S1876,$T1864*(1+IF($G1876&lt;nr_MStartP1,$M$1858,$N$1858)))</f>
        <v/>
      </c>
      <c r="U1876" s="95">
        <f>IF($L$1858,$T1876,$N1876)</f>
        <v/>
      </c>
    </row>
    <row r="1877">
      <c r="A1877" s="90" t="n">
        <v>17</v>
      </c>
      <c r="B1877" s="91">
        <f>EDATE($B1876,1)</f>
        <v/>
      </c>
      <c r="C1877" s="92">
        <f>EOMONTH($B1877,0)</f>
        <v/>
      </c>
      <c r="D1877" s="87">
        <f>$C1877-$B1877+1</f>
        <v/>
      </c>
      <c r="E1877" s="87">
        <f>MONTH($B1877)</f>
        <v/>
      </c>
      <c r="F1877" s="93">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$N1877*IF($O$1858=1,$O1877/$F$1858,1)</f>
        <v/>
      </c>
      <c r="T1877" s="95">
        <f>IF($G1877&lt;nr_MStartP,$S1877,$T1865*(1+IF($G1877&lt;nr_MStartP1,$M$1858,$N$1858)))</f>
        <v/>
      </c>
      <c r="U1877" s="95">
        <f>IF($L$1858,$T1877,$N1877)</f>
        <v/>
      </c>
    </row>
    <row r="1878">
      <c r="A1878" s="90" t="n">
        <v>18</v>
      </c>
      <c r="B1878" s="91">
        <f>EDATE($B1877,1)</f>
        <v/>
      </c>
      <c r="C1878" s="92">
        <f>EOMONTH($B1878,0)</f>
        <v/>
      </c>
      <c r="D1878" s="87">
        <f>$C1878-$B1878+1</f>
        <v/>
      </c>
      <c r="E1878" s="87">
        <f>MONTH($B1878)</f>
        <v/>
      </c>
      <c r="F1878" s="93">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$N1878*IF($O$1858=1,$O1878/$F$1858,1)</f>
        <v/>
      </c>
      <c r="T1878" s="95">
        <f>IF($G1878&lt;nr_MStartP,$S1878,$T1866*(1+IF($G1878&lt;nr_MStartP1,$M$1858,$N$1858)))</f>
        <v/>
      </c>
      <c r="U1878" s="95">
        <f>IF($L$1858,$T1878,$N1878)</f>
        <v/>
      </c>
    </row>
    <row r="1879">
      <c r="A1879" s="90" t="n">
        <v>19</v>
      </c>
      <c r="B1879" s="91">
        <f>EDATE($B1878,1)</f>
        <v/>
      </c>
      <c r="C1879" s="92">
        <f>EOMONTH($B1879,0)</f>
        <v/>
      </c>
      <c r="D1879" s="87">
        <f>$C1879-$B1879+1</f>
        <v/>
      </c>
      <c r="E1879" s="87">
        <f>MONTH($B1879)</f>
        <v/>
      </c>
      <c r="F1879" s="93">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$N1879*IF($O$1858=1,$O1879/$F$1858,1)</f>
        <v/>
      </c>
      <c r="T1879" s="95">
        <f>IF($G1879&lt;nr_MStartP,$S1879,$T1867*(1+IF($G1879&lt;nr_MStartP1,$M$1858,$N$1858)))</f>
        <v/>
      </c>
      <c r="U1879" s="95">
        <f>IF($L$1858,$T1879,$N1879)</f>
        <v/>
      </c>
    </row>
    <row r="1880">
      <c r="A1880" s="90" t="n">
        <v>20</v>
      </c>
      <c r="B1880" s="91">
        <f>EDATE($B1879,1)</f>
        <v/>
      </c>
      <c r="C1880" s="92">
        <f>EOMONTH($B1880,0)</f>
        <v/>
      </c>
      <c r="D1880" s="87">
        <f>$C1880-$B1880+1</f>
        <v/>
      </c>
      <c r="E1880" s="87">
        <f>MONTH($B1880)</f>
        <v/>
      </c>
      <c r="F1880" s="93">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$N1880*IF($O$1858=1,$O1880/$F$1858,1)</f>
        <v/>
      </c>
      <c r="T1880" s="95">
        <f>IF($G1880&lt;nr_MStartP,$S1880,$T1868*(1+IF($G1880&lt;nr_MStartP1,$M$1858,$N$1858)))</f>
        <v/>
      </c>
      <c r="U1880" s="95">
        <f>IF($L$1858,$T1880,$N1880)</f>
        <v/>
      </c>
    </row>
    <row r="1881">
      <c r="A1881" s="90" t="n">
        <v>21</v>
      </c>
      <c r="B1881" s="91">
        <f>EDATE($B1880,1)</f>
        <v/>
      </c>
      <c r="C1881" s="92">
        <f>EOMONTH($B1881,0)</f>
        <v/>
      </c>
      <c r="D1881" s="87">
        <f>$C1881-$B1881+1</f>
        <v/>
      </c>
      <c r="E1881" s="87">
        <f>MONTH($B1881)</f>
        <v/>
      </c>
      <c r="F1881" s="93">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$N1881*IF($O$1858=1,$O1881/$F$1858,1)</f>
        <v/>
      </c>
      <c r="T1881" s="95">
        <f>IF($G1881&lt;nr_MStartP,$S1881,$T1869*(1+IF($G1881&lt;nr_MStartP1,$M$1858,$N$1858)))</f>
        <v/>
      </c>
      <c r="U1881" s="95">
        <f>IF($L$1858,$T1881,$N1881)</f>
        <v/>
      </c>
    </row>
    <row r="1882">
      <c r="A1882" s="90" t="n">
        <v>22</v>
      </c>
      <c r="B1882" s="91">
        <f>EDATE($B1881,1)</f>
        <v/>
      </c>
      <c r="C1882" s="92">
        <f>EOMONTH($B1882,0)</f>
        <v/>
      </c>
      <c r="D1882" s="87">
        <f>$C1882-$B1882+1</f>
        <v/>
      </c>
      <c r="E1882" s="87">
        <f>MONTH($B1882)</f>
        <v/>
      </c>
      <c r="F1882" s="93">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$N1882*IF($O$1858=1,$O1882/$F$1858,1)</f>
        <v/>
      </c>
      <c r="T1882" s="95">
        <f>IF($G1882&lt;nr_MStartP,$S1882,$T1870*(1+IF($G1882&lt;nr_MStartP1,$M$1858,$N$1858)))</f>
        <v/>
      </c>
      <c r="U1882" s="95">
        <f>IF($L$1858,$T1882,$N1882)</f>
        <v/>
      </c>
    </row>
    <row r="1883">
      <c r="A1883" s="90" t="n">
        <v>23</v>
      </c>
      <c r="B1883" s="91">
        <f>EDATE($B1882,1)</f>
        <v/>
      </c>
      <c r="C1883" s="92">
        <f>EOMONTH($B1883,0)</f>
        <v/>
      </c>
      <c r="D1883" s="87">
        <f>$C1883-$B1883+1</f>
        <v/>
      </c>
      <c r="E1883" s="87">
        <f>MONTH($B1883)</f>
        <v/>
      </c>
      <c r="F1883" s="93">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$N1883*IF($O$1858=1,$O1883/$F$1858,1)</f>
        <v/>
      </c>
      <c r="T1883" s="95">
        <f>IF($G1883&lt;nr_MStartP,$S1883,$T1871*(1+IF($G1883&lt;nr_MStartP1,$M$1858,$N$1858)))</f>
        <v/>
      </c>
      <c r="U1883" s="95">
        <f>IF($L$1858,$T1883,$N1883)</f>
        <v/>
      </c>
    </row>
    <row r="1884">
      <c r="A1884" s="90" t="n">
        <v>24</v>
      </c>
      <c r="B1884" s="91">
        <f>EDATE($B1883,1)</f>
        <v/>
      </c>
      <c r="C1884" s="92">
        <f>EOMONTH($B1884,0)</f>
        <v/>
      </c>
      <c r="D1884" s="87">
        <f>$C1884-$B1884+1</f>
        <v/>
      </c>
      <c r="E1884" s="87">
        <f>MONTH($B1884)</f>
        <v/>
      </c>
      <c r="F1884" s="93">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$N1884*IF($O$1858=1,$O1884/$F$1858,1)</f>
        <v/>
      </c>
      <c r="T1884" s="95">
        <f>IF($G1884&lt;nr_MStartP,$S1884,$T1872*(1+IF($G1884&lt;nr_MStartP1,$M$1858,$N$1858)))</f>
        <v/>
      </c>
      <c r="U1884" s="95">
        <f>IF($L$1858,$T1884,$N1884)</f>
        <v/>
      </c>
    </row>
    <row r="1885">
      <c r="A1885" s="90" t="n">
        <v>25</v>
      </c>
      <c r="B1885" s="91">
        <f>EDATE($B1884,1)</f>
        <v/>
      </c>
      <c r="C1885" s="92">
        <f>EOMONTH($B1885,0)</f>
        <v/>
      </c>
      <c r="D1885" s="87">
        <f>$C1885-$B1885+1</f>
        <v/>
      </c>
      <c r="E1885" s="87">
        <f>MONTH($B1885)</f>
        <v/>
      </c>
      <c r="F1885" s="93">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$N1885*IF($O$1858=1,$O1885/$F$1858,1)</f>
        <v/>
      </c>
      <c r="T1885" s="95">
        <f>IF($G1885&lt;nr_MStartP,$S1885,$T1873*(1+IF($G1885&lt;nr_MStartP1,$M$1858,$N$1858)))</f>
        <v/>
      </c>
      <c r="U1885" s="95">
        <f>IF($L$1858,$T1885,$N1885)</f>
        <v/>
      </c>
    </row>
    <row r="1886">
      <c r="A1886" s="90" t="n">
        <v>26</v>
      </c>
      <c r="B1886" s="91">
        <f>EDATE($B1885,1)</f>
        <v/>
      </c>
      <c r="C1886" s="92">
        <f>EOMONTH($B1886,0)</f>
        <v/>
      </c>
      <c r="D1886" s="87">
        <f>$C1886-$B1886+1</f>
        <v/>
      </c>
      <c r="E1886" s="87">
        <f>MONTH($B1886)</f>
        <v/>
      </c>
      <c r="F1886" s="93">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$N1886*IF($O$1858=1,$O1886/$F$1858,1)</f>
        <v/>
      </c>
      <c r="T1886" s="95">
        <f>IF($G1886&lt;nr_MStartP,$S1886,$T1874*(1+IF($G1886&lt;nr_MStartP1,$M$1858,$N$1858)))</f>
        <v/>
      </c>
      <c r="U1886" s="95">
        <f>IF($L$1858,$T1886,$N1886)</f>
        <v/>
      </c>
    </row>
    <row r="1887">
      <c r="A1887" s="90" t="n">
        <v>27</v>
      </c>
      <c r="B1887" s="91">
        <f>EDATE($B1886,1)</f>
        <v/>
      </c>
      <c r="C1887" s="92">
        <f>EOMONTH($B1887,0)</f>
        <v/>
      </c>
      <c r="D1887" s="87">
        <f>$C1887-$B1887+1</f>
        <v/>
      </c>
      <c r="E1887" s="87">
        <f>MONTH($B1887)</f>
        <v/>
      </c>
      <c r="F1887" s="93">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$N1887*IF($O$1858=1,$O1887/$F$1858,1)</f>
        <v/>
      </c>
      <c r="T1887" s="95">
        <f>IF($G1887&lt;nr_MStartP,$S1887,$T1875*(1+IF($G1887&lt;nr_MStartP1,$M$1858,$N$1858)))</f>
        <v/>
      </c>
      <c r="U1887" s="95">
        <f>IF($L$1858,$T1887,$N1887)</f>
        <v/>
      </c>
    </row>
    <row r="1888">
      <c r="A1888" s="90" t="n">
        <v>28</v>
      </c>
      <c r="B1888" s="91">
        <f>EDATE($B1887,1)</f>
        <v/>
      </c>
      <c r="C1888" s="92">
        <f>EOMONTH($B1888,0)</f>
        <v/>
      </c>
      <c r="D1888" s="87">
        <f>$C1888-$B1888+1</f>
        <v/>
      </c>
      <c r="E1888" s="87">
        <f>MONTH($B1888)</f>
        <v/>
      </c>
      <c r="F1888" s="93">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$N1888*IF($O$1858=1,$O1888/$F$1858,1)</f>
        <v/>
      </c>
      <c r="T1888" s="95">
        <f>IF($G1888&lt;nr_MStartP,$S1888,$T1876*(1+IF($G1888&lt;nr_MStartP1,$M$1858,$N$1858)))</f>
        <v/>
      </c>
      <c r="U1888" s="95">
        <f>IF($L$1858,$T1888,$N1888)</f>
        <v/>
      </c>
    </row>
    <row r="1889">
      <c r="A1889" s="90" t="n">
        <v>29</v>
      </c>
      <c r="B1889" s="91">
        <f>EDATE($B1888,1)</f>
        <v/>
      </c>
      <c r="C1889" s="92">
        <f>EOMONTH($B1889,0)</f>
        <v/>
      </c>
      <c r="D1889" s="87">
        <f>$C1889-$B1889+1</f>
        <v/>
      </c>
      <c r="E1889" s="87">
        <f>MONTH($B1889)</f>
        <v/>
      </c>
      <c r="F1889" s="93">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$N1889*IF($O$1858=1,$O1889/$F$1858,1)</f>
        <v/>
      </c>
      <c r="T1889" s="95">
        <f>IF($G1889&lt;nr_MStartP,$S1889,$T1877*(1+IF($G1889&lt;nr_MStartP1,$M$1858,$N$1858)))</f>
        <v/>
      </c>
      <c r="U1889" s="95">
        <f>IF($L$1858,$T1889,$N1889)</f>
        <v/>
      </c>
    </row>
    <row r="1890">
      <c r="A1890" s="90" t="n">
        <v>30</v>
      </c>
      <c r="B1890" s="91">
        <f>EDATE($B1889,1)</f>
        <v/>
      </c>
      <c r="C1890" s="92">
        <f>EOMONTH($B1890,0)</f>
        <v/>
      </c>
      <c r="D1890" s="87">
        <f>$C1890-$B1890+1</f>
        <v/>
      </c>
      <c r="E1890" s="87">
        <f>MONTH($B1890)</f>
        <v/>
      </c>
      <c r="F1890" s="93">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$N1890*IF($O$1858=1,$O1890/$F$1858,1)</f>
        <v/>
      </c>
      <c r="T1890" s="95">
        <f>IF($G1890&lt;nr_MStartP,$S1890,$T1878*(1+IF($G1890&lt;nr_MStartP1,$M$1858,$N$1858)))</f>
        <v/>
      </c>
      <c r="U1890" s="95">
        <f>IF($L$1858,$T1890,$N1890)</f>
        <v/>
      </c>
    </row>
    <row r="1891">
      <c r="A1891" s="90" t="n">
        <v>31</v>
      </c>
      <c r="B1891" s="91">
        <f>EDATE($B1890,1)</f>
        <v/>
      </c>
      <c r="C1891" s="92">
        <f>EOMONTH($B1891,0)</f>
        <v/>
      </c>
      <c r="D1891" s="87">
        <f>$C1891-$B1891+1</f>
        <v/>
      </c>
      <c r="E1891" s="87">
        <f>MONTH($B1891)</f>
        <v/>
      </c>
      <c r="F1891" s="93">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$N1891*IF($O$1858=1,$O1891/$F$1858,1)</f>
        <v/>
      </c>
      <c r="T1891" s="95">
        <f>IF($G1891&lt;nr_MStartP,$S1891,$T1879*(1+IF($G1891&lt;nr_MStartP1,$M$1858,$N$1858)))</f>
        <v/>
      </c>
      <c r="U1891" s="95">
        <f>IF($L$1858,$T1891,$N1891)</f>
        <v/>
      </c>
    </row>
    <row r="1892">
      <c r="A1892" s="90" t="n">
        <v>32</v>
      </c>
      <c r="B1892" s="91">
        <f>EDATE($B1891,1)</f>
        <v/>
      </c>
      <c r="C1892" s="92">
        <f>EOMONTH($B1892,0)</f>
        <v/>
      </c>
      <c r="D1892" s="87">
        <f>$C1892-$B1892+1</f>
        <v/>
      </c>
      <c r="E1892" s="87">
        <f>MONTH($B1892)</f>
        <v/>
      </c>
      <c r="F1892" s="93">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$N1892*IF($O$1858=1,$O1892/$F$1858,1)</f>
        <v/>
      </c>
      <c r="T1892" s="95">
        <f>IF($G1892&lt;nr_MStartP,$S1892,$T1880*(1+IF($G1892&lt;nr_MStartP1,$M$1858,$N$1858)))</f>
        <v/>
      </c>
      <c r="U1892" s="95">
        <f>IF($L$1858,$T1892,$N1892)</f>
        <v/>
      </c>
    </row>
    <row r="1893">
      <c r="A1893" s="90" t="n">
        <v>33</v>
      </c>
      <c r="B1893" s="91">
        <f>EDATE($B1892,1)</f>
        <v/>
      </c>
      <c r="C1893" s="92">
        <f>EOMONTH($B1893,0)</f>
        <v/>
      </c>
      <c r="D1893" s="87">
        <f>$C1893-$B1893+1</f>
        <v/>
      </c>
      <c r="E1893" s="87">
        <f>MONTH($B1893)</f>
        <v/>
      </c>
      <c r="F1893" s="93">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$N1893*IF($O$1858=1,$O1893/$F$1858,1)</f>
        <v/>
      </c>
      <c r="T1893" s="95">
        <f>IF($G1893&lt;nr_MStartP,$S1893,$T1881*(1+IF($G1893&lt;nr_MStartP1,$M$1858,$N$1858)))</f>
        <v/>
      </c>
      <c r="U1893" s="95">
        <f>IF($L$1858,$T1893,$N1893)</f>
        <v/>
      </c>
    </row>
    <row r="1894">
      <c r="A1894" s="90" t="n">
        <v>34</v>
      </c>
      <c r="B1894" s="91">
        <f>EDATE($B1893,1)</f>
        <v/>
      </c>
      <c r="C1894" s="92">
        <f>EOMONTH($B1894,0)</f>
        <v/>
      </c>
      <c r="D1894" s="87">
        <f>$C1894-$B1894+1</f>
        <v/>
      </c>
      <c r="E1894" s="87">
        <f>MONTH($B1894)</f>
        <v/>
      </c>
      <c r="F1894" s="93">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$N1894*IF($O$1858=1,$O1894/$F$1858,1)</f>
        <v/>
      </c>
      <c r="T1894" s="95">
        <f>IF($G1894&lt;nr_MStartP,$S1894,$T1882*(1+IF($G1894&lt;nr_MStartP1,$M$1858,$N$1858)))</f>
        <v/>
      </c>
      <c r="U1894" s="95">
        <f>IF($L$1858,$T1894,$N1894)</f>
        <v/>
      </c>
    </row>
    <row r="1895">
      <c r="A1895" s="90" t="n">
        <v>35</v>
      </c>
      <c r="B1895" s="91">
        <f>EDATE($B1894,1)</f>
        <v/>
      </c>
      <c r="C1895" s="92">
        <f>EOMONTH($B1895,0)</f>
        <v/>
      </c>
      <c r="D1895" s="87">
        <f>$C1895-$B1895+1</f>
        <v/>
      </c>
      <c r="E1895" s="87">
        <f>MONTH($B1895)</f>
        <v/>
      </c>
      <c r="F1895" s="93">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$N1895*IF($O$1858=1,$O1895/$F$1858,1)</f>
        <v/>
      </c>
      <c r="T1895" s="95">
        <f>IF($G1895&lt;nr_MStartP,$S1895,$T1883*(1+IF($G1895&lt;nr_MStartP1,$M$1858,$N$1858)))</f>
        <v/>
      </c>
      <c r="U1895" s="95">
        <f>IF($L$1858,$T1895,$N1895)</f>
        <v/>
      </c>
    </row>
    <row r="1896">
      <c r="A1896" s="90" t="n">
        <v>36</v>
      </c>
      <c r="B1896" s="91">
        <f>EDATE($B1895,1)</f>
        <v/>
      </c>
      <c r="C1896" s="92">
        <f>EOMONTH($B1896,0)</f>
        <v/>
      </c>
      <c r="D1896" s="87">
        <f>$C1896-$B1896+1</f>
        <v/>
      </c>
      <c r="E1896" s="87">
        <f>MONTH($B1896)</f>
        <v/>
      </c>
      <c r="F1896" s="93">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$N1896*IF($O$1858=1,$O1896/$F$1858,1)</f>
        <v/>
      </c>
      <c r="T1896" s="95">
        <f>IF($G1896&lt;nr_MStartP,$S1896,$T1884*(1+IF($G1896&lt;nr_MStartP1,$M$1858,$N$1858)))</f>
        <v/>
      </c>
      <c r="U1896" s="95">
        <f>IF($L$1858,$T1896,$N1896)</f>
        <v/>
      </c>
    </row>
    <row r="1897">
      <c r="A1897" s="90" t="n">
        <v>37</v>
      </c>
      <c r="B1897" s="91">
        <f>EDATE($B1896,1)</f>
        <v/>
      </c>
      <c r="C1897" s="92">
        <f>EOMONTH($B1897,0)</f>
        <v/>
      </c>
      <c r="D1897" s="87">
        <f>$C1897-$B1897+1</f>
        <v/>
      </c>
      <c r="E1897" s="87">
        <f>MONTH($B1897)</f>
        <v/>
      </c>
      <c r="F1897" s="93">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$N1897*IF($O$1858=1,$O1897/$F$1858,1)</f>
        <v/>
      </c>
      <c r="T1897" s="95">
        <f>IF($G1897&lt;nr_MStartP,$S1897,$T1885*(1+IF($G1897&lt;nr_MStartP1,$M$1858,$N$1858)))</f>
        <v/>
      </c>
      <c r="U1897" s="95">
        <f>IF($L$1858,$T1897,$N1897)</f>
        <v/>
      </c>
    </row>
    <row r="1898">
      <c r="A1898" s="90" t="n">
        <v>38</v>
      </c>
      <c r="B1898" s="91">
        <f>EDATE($B1897,1)</f>
        <v/>
      </c>
      <c r="C1898" s="92">
        <f>EOMONTH($B1898,0)</f>
        <v/>
      </c>
      <c r="D1898" s="87">
        <f>$C1898-$B1898+1</f>
        <v/>
      </c>
      <c r="E1898" s="87">
        <f>MONTH($B1898)</f>
        <v/>
      </c>
      <c r="F1898" s="93">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$N1898*IF($O$1858=1,$O1898/$F$1858,1)</f>
        <v/>
      </c>
      <c r="T1898" s="95">
        <f>IF($G1898&lt;nr_MStartP,$S1898,$T1886*(1+IF($G1898&lt;nr_MStartP1,$M$1858,$N$1858)))</f>
        <v/>
      </c>
      <c r="U1898" s="95">
        <f>IF($L$1858,$T1898,$N1898)</f>
        <v/>
      </c>
    </row>
    <row r="1899">
      <c r="A1899" s="90" t="n">
        <v>39</v>
      </c>
      <c r="B1899" s="91">
        <f>EDATE($B1898,1)</f>
        <v/>
      </c>
      <c r="C1899" s="92">
        <f>EOMONTH($B1899,0)</f>
        <v/>
      </c>
      <c r="D1899" s="87">
        <f>$C1899-$B1899+1</f>
        <v/>
      </c>
      <c r="E1899" s="87">
        <f>MONTH($B1899)</f>
        <v/>
      </c>
      <c r="F1899" s="93">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$N1899*IF($O$1858=1,$O1899/$F$1858,1)</f>
        <v/>
      </c>
      <c r="T1899" s="95">
        <f>IF($G1899&lt;nr_MStartP,$S1899,$T1887*(1+IF($G1899&lt;nr_MStartP1,$M$1858,$N$1858)))</f>
        <v/>
      </c>
      <c r="U1899" s="95">
        <f>IF($L$1858,$T1899,$N1899)</f>
        <v/>
      </c>
    </row>
    <row r="1900">
      <c r="A1900" s="90" t="n">
        <v>40</v>
      </c>
      <c r="B1900" s="91">
        <f>EDATE($B1899,1)</f>
        <v/>
      </c>
      <c r="C1900" s="92">
        <f>EOMONTH($B1900,0)</f>
        <v/>
      </c>
      <c r="D1900" s="87">
        <f>$C1900-$B1900+1</f>
        <v/>
      </c>
      <c r="E1900" s="87">
        <f>MONTH($B1900)</f>
        <v/>
      </c>
      <c r="F1900" s="93">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$N1900*IF($O$1858=1,$O1900/$F$1858,1)</f>
        <v/>
      </c>
      <c r="T1900" s="95">
        <f>IF($G1900&lt;nr_MStartP,$S1900,$T1888*(1+IF($G1900&lt;nr_MStartP1,$M$1858,$N$1858)))</f>
        <v/>
      </c>
      <c r="U1900" s="95">
        <f>IF($L$1858,$T1900,$N1900)</f>
        <v/>
      </c>
    </row>
    <row r="1901">
      <c r="A1901" s="90" t="n">
        <v>41</v>
      </c>
      <c r="B1901" s="91">
        <f>EDATE($B1900,1)</f>
        <v/>
      </c>
      <c r="C1901" s="92">
        <f>EOMONTH($B1901,0)</f>
        <v/>
      </c>
      <c r="D1901" s="87">
        <f>$C1901-$B1901+1</f>
        <v/>
      </c>
      <c r="E1901" s="87">
        <f>MONTH($B1901)</f>
        <v/>
      </c>
      <c r="F1901" s="93">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$N1901*IF($O$1858=1,$O1901/$F$1858,1)</f>
        <v/>
      </c>
      <c r="T1901" s="95">
        <f>IF($G1901&lt;nr_MStartP,$S1901,$T1889*(1+IF($G1901&lt;nr_MStartP1,$M$1858,$N$1858)))</f>
        <v/>
      </c>
      <c r="U1901" s="95">
        <f>IF($L$1858,$T1901,$N1901)</f>
        <v/>
      </c>
    </row>
    <row r="1902">
      <c r="A1902" s="90" t="n">
        <v>42</v>
      </c>
      <c r="B1902" s="91">
        <f>EDATE($B1901,1)</f>
        <v/>
      </c>
      <c r="C1902" s="92">
        <f>EOMONTH($B1902,0)</f>
        <v/>
      </c>
      <c r="D1902" s="87">
        <f>$C1902-$B1902+1</f>
        <v/>
      </c>
      <c r="E1902" s="87">
        <f>MONTH($B1902)</f>
        <v/>
      </c>
      <c r="F1902" s="93">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$N1902*IF($O$1858=1,$O1902/$F$1858,1)</f>
        <v/>
      </c>
      <c r="T1902" s="95">
        <f>IF($G1902&lt;nr_MStartP,$S1902,$T1890*(1+IF($G1902&lt;nr_MStartP1,$M$1858,$N$1858)))</f>
        <v/>
      </c>
      <c r="U1902" s="95">
        <f>IF($L$1858,$T1902,$N1902)</f>
        <v/>
      </c>
    </row>
    <row r="1903">
      <c r="A1903" s="90" t="n">
        <v>43</v>
      </c>
      <c r="B1903" s="91">
        <f>EDATE($B1902,1)</f>
        <v/>
      </c>
      <c r="C1903" s="92">
        <f>EOMONTH($B1903,0)</f>
        <v/>
      </c>
      <c r="D1903" s="87">
        <f>$C1903-$B1903+1</f>
        <v/>
      </c>
      <c r="E1903" s="87">
        <f>MONTH($B1903)</f>
        <v/>
      </c>
      <c r="F1903" s="93">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$N1903*IF($O$1858=1,$O1903/$F$1858,1)</f>
        <v/>
      </c>
      <c r="T1903" s="95">
        <f>IF($G1903&lt;nr_MStartP,$S1903,$T1891*(1+IF($G1903&lt;nr_MStartP1,$M$1858,$N$1858)))</f>
        <v/>
      </c>
      <c r="U1903" s="95">
        <f>IF($L$1858,$T1903,$N1903)</f>
        <v/>
      </c>
    </row>
    <row r="1904">
      <c r="A1904" s="90" t="n">
        <v>44</v>
      </c>
      <c r="B1904" s="91">
        <f>EDATE($B1903,1)</f>
        <v/>
      </c>
      <c r="C1904" s="92">
        <f>EOMONTH($B1904,0)</f>
        <v/>
      </c>
      <c r="D1904" s="87">
        <f>$C1904-$B1904+1</f>
        <v/>
      </c>
      <c r="E1904" s="87">
        <f>MONTH($B1904)</f>
        <v/>
      </c>
      <c r="F1904" s="93">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$N1904*IF($O$1858=1,$O1904/$F$1858,1)</f>
        <v/>
      </c>
      <c r="T1904" s="95">
        <f>IF($G1904&lt;nr_MStartP,$S1904,$T1892*(1+IF($G1904&lt;nr_MStartP1,$M$1858,$N$1858)))</f>
        <v/>
      </c>
      <c r="U1904" s="95">
        <f>IF($L$1858,$T1904,$N1904)</f>
        <v/>
      </c>
    </row>
    <row r="1905">
      <c r="A1905" s="90" t="n">
        <v>45</v>
      </c>
      <c r="B1905" s="91">
        <f>EDATE($B1904,1)</f>
        <v/>
      </c>
      <c r="C1905" s="92">
        <f>EOMONTH($B1905,0)</f>
        <v/>
      </c>
      <c r="D1905" s="87">
        <f>$C1905-$B1905+1</f>
        <v/>
      </c>
      <c r="E1905" s="87">
        <f>MONTH($B1905)</f>
        <v/>
      </c>
      <c r="F1905" s="93">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$N1905*IF($O$1858=1,$O1905/$F$1858,1)</f>
        <v/>
      </c>
      <c r="T1905" s="95">
        <f>IF($G1905&lt;nr_MStartP,$S1905,$T1893*(1+IF($G1905&lt;nr_MStartP1,$M$1858,$N$1858)))</f>
        <v/>
      </c>
      <c r="U1905" s="95">
        <f>IF($L$1858,$T1905,$N1905)</f>
        <v/>
      </c>
    </row>
    <row r="1906">
      <c r="A1906" s="90" t="n">
        <v>46</v>
      </c>
      <c r="B1906" s="91">
        <f>EDATE($B1905,1)</f>
        <v/>
      </c>
      <c r="C1906" s="92">
        <f>EOMONTH($B1906,0)</f>
        <v/>
      </c>
      <c r="D1906" s="87">
        <f>$C1906-$B1906+1</f>
        <v/>
      </c>
      <c r="E1906" s="87">
        <f>MONTH($B1906)</f>
        <v/>
      </c>
      <c r="F1906" s="93">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$N1906*IF($O$1858=1,$O1906/$F$1858,1)</f>
        <v/>
      </c>
      <c r="T1906" s="95">
        <f>IF($G1906&lt;nr_MStartP,$S1906,$T1894*(1+IF($G1906&lt;nr_MStartP1,$M$1858,$N$1858)))</f>
        <v/>
      </c>
      <c r="U1906" s="95">
        <f>IF($L$1858,$T1906,$N1906)</f>
        <v/>
      </c>
    </row>
    <row r="1907">
      <c r="A1907" s="90" t="n">
        <v>47</v>
      </c>
      <c r="B1907" s="91">
        <f>EDATE($B1906,1)</f>
        <v/>
      </c>
      <c r="C1907" s="92">
        <f>EOMONTH($B1907,0)</f>
        <v/>
      </c>
      <c r="D1907" s="87">
        <f>$C1907-$B1907+1</f>
        <v/>
      </c>
      <c r="E1907" s="87">
        <f>MONTH($B1907)</f>
        <v/>
      </c>
      <c r="F1907" s="93">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$N1907*IF($O$1858=1,$O1907/$F$1858,1)</f>
        <v/>
      </c>
      <c r="T1907" s="95">
        <f>IF($G1907&lt;nr_MStartP,$S1907,$T1895*(1+IF($G1907&lt;nr_MStartP1,$M$1858,$N$1858)))</f>
        <v/>
      </c>
      <c r="U1907" s="95">
        <f>IF($L$1858,$T1907,$N1907)</f>
        <v/>
      </c>
    </row>
    <row r="1908">
      <c r="A1908" s="90" t="n">
        <v>48</v>
      </c>
      <c r="B1908" s="91">
        <f>EDATE($B1907,1)</f>
        <v/>
      </c>
      <c r="C1908" s="92">
        <f>EOMONTH($B1908,0)</f>
        <v/>
      </c>
      <c r="D1908" s="87">
        <f>$C1908-$B1908+1</f>
        <v/>
      </c>
      <c r="E1908" s="87">
        <f>MONTH($B1908)</f>
        <v/>
      </c>
      <c r="F1908" s="93">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$N1908*IF($O$1858=1,$O1908/$F$1858,1)</f>
        <v/>
      </c>
      <c r="T1908" s="95">
        <f>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04">
        <f>SUMPRODUCT($H$1861:$H$1908,$Q$1861:$Q$1908,$O$1861:$O$1908)/SUMPRODUCT($H$1861:$H$1908,$Q$1861:$Q$1908)</f>
        <v/>
      </c>
      <c r="G1909" s="20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04">
        <f>IF(N(INDEX(lr_mind,35))=0,1,INDEX(lr_mind,35))</f>
        <v/>
      </c>
      <c r="G1912" s="204">
        <f>IF(N(INDEX(lr_m0,35))=0,1,INDEX(lr_m0,35))</f>
        <v/>
      </c>
      <c r="H1912" s="73">
        <f>IF(N(INDEX(lr_m0asof,35))=0,DATE(nr_PlanYear-1,10,1),INDEX(lr_m0asof,35))</f>
        <v/>
      </c>
      <c r="I1912" s="204">
        <f>IF(N(INDEX(lr_m1,35))=0,1,INDEX(lr_m1,35))</f>
        <v/>
      </c>
      <c r="J1912" s="204">
        <f>INDEX(lr_mprior,35)</f>
        <v/>
      </c>
      <c r="K1912" s="20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93">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$N1915*IF($O$1912=1,$O1915/$F$1912,1)</f>
        <v/>
      </c>
      <c r="T1915" s="95">
        <f>IF($G1915&lt;nr_MStartP,$S1915,$T1903*(1+IF($G1915&lt;nr_MStartP1,$M$1912,$N$1912)))</f>
        <v/>
      </c>
      <c r="U1915" s="95">
        <f>IF($L$1912,$T1915,$N1915)</f>
        <v/>
      </c>
    </row>
    <row r="1916">
      <c r="A1916" s="90" t="n">
        <v>2</v>
      </c>
      <c r="B1916" s="91">
        <f>EDATE($B1915,1)</f>
        <v/>
      </c>
      <c r="C1916" s="92">
        <f>EOMONTH($B1916,0)</f>
        <v/>
      </c>
      <c r="D1916" s="87">
        <f>$C1916-$B1916+1</f>
        <v/>
      </c>
      <c r="E1916" s="87">
        <f>MONTH($B1916)</f>
        <v/>
      </c>
      <c r="F1916" s="93">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$N1916*IF($O$1912=1,$O1916/$F$1912,1)</f>
        <v/>
      </c>
      <c r="T1916" s="95">
        <f>IF($G1916&lt;nr_MStartP,$S1916,$T1904*(1+IF($G1916&lt;nr_MStartP1,$M$1912,$N$1912)))</f>
        <v/>
      </c>
      <c r="U1916" s="95">
        <f>IF($L$1912,$T1916,$N1916)</f>
        <v/>
      </c>
    </row>
    <row r="1917">
      <c r="A1917" s="90" t="n">
        <v>3</v>
      </c>
      <c r="B1917" s="91">
        <f>EDATE($B1916,1)</f>
        <v/>
      </c>
      <c r="C1917" s="92">
        <f>EOMONTH($B1917,0)</f>
        <v/>
      </c>
      <c r="D1917" s="87">
        <f>$C1917-$B1917+1</f>
        <v/>
      </c>
      <c r="E1917" s="87">
        <f>MONTH($B1917)</f>
        <v/>
      </c>
      <c r="F1917" s="93">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$N1917*IF($O$1912=1,$O1917/$F$1912,1)</f>
        <v/>
      </c>
      <c r="T1917" s="95">
        <f>IF($G1917&lt;nr_MStartP,$S1917,$T1905*(1+IF($G1917&lt;nr_MStartP1,$M$1912,$N$1912)))</f>
        <v/>
      </c>
      <c r="U1917" s="95">
        <f>IF($L$1912,$T1917,$N1917)</f>
        <v/>
      </c>
    </row>
    <row r="1918">
      <c r="A1918" s="90" t="n">
        <v>4</v>
      </c>
      <c r="B1918" s="91">
        <f>EDATE($B1917,1)</f>
        <v/>
      </c>
      <c r="C1918" s="92">
        <f>EOMONTH($B1918,0)</f>
        <v/>
      </c>
      <c r="D1918" s="87">
        <f>$C1918-$B1918+1</f>
        <v/>
      </c>
      <c r="E1918" s="87">
        <f>MONTH($B1918)</f>
        <v/>
      </c>
      <c r="F1918" s="93">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$N1918*IF($O$1912=1,$O1918/$F$1912,1)</f>
        <v/>
      </c>
      <c r="T1918" s="95">
        <f>IF($G1918&lt;nr_MStartP,$S1918,$T1906*(1+IF($G1918&lt;nr_MStartP1,$M$1912,$N$1912)))</f>
        <v/>
      </c>
      <c r="U1918" s="95">
        <f>IF($L$1912,$T1918,$N1918)</f>
        <v/>
      </c>
    </row>
    <row r="1919">
      <c r="A1919" s="90" t="n">
        <v>5</v>
      </c>
      <c r="B1919" s="91">
        <f>EDATE($B1918,1)</f>
        <v/>
      </c>
      <c r="C1919" s="92">
        <f>EOMONTH($B1919,0)</f>
        <v/>
      </c>
      <c r="D1919" s="87">
        <f>$C1919-$B1919+1</f>
        <v/>
      </c>
      <c r="E1919" s="87">
        <f>MONTH($B1919)</f>
        <v/>
      </c>
      <c r="F1919" s="93">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$N1919*IF($O$1912=1,$O1919/$F$1912,1)</f>
        <v/>
      </c>
      <c r="T1919" s="95">
        <f>IF($G1919&lt;nr_MStartP,$S1919,$T1907*(1+IF($G1919&lt;nr_MStartP1,$M$1912,$N$1912)))</f>
        <v/>
      </c>
      <c r="U1919" s="95">
        <f>IF($L$1912,$T1919,$N1919)</f>
        <v/>
      </c>
    </row>
    <row r="1920">
      <c r="A1920" s="90" t="n">
        <v>6</v>
      </c>
      <c r="B1920" s="91">
        <f>EDATE($B1919,1)</f>
        <v/>
      </c>
      <c r="C1920" s="92">
        <f>EOMONTH($B1920,0)</f>
        <v/>
      </c>
      <c r="D1920" s="87">
        <f>$C1920-$B1920+1</f>
        <v/>
      </c>
      <c r="E1920" s="87">
        <f>MONTH($B1920)</f>
        <v/>
      </c>
      <c r="F1920" s="93">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$N1920*IF($O$1912=1,$O1920/$F$1912,1)</f>
        <v/>
      </c>
      <c r="T1920" s="95">
        <f>IF($G1920&lt;nr_MStartP,$S1920,$T1908*(1+IF($G1920&lt;nr_MStartP1,$M$1912,$N$1912)))</f>
        <v/>
      </c>
      <c r="U1920" s="95">
        <f>IF($L$1912,$T1920,$N1920)</f>
        <v/>
      </c>
    </row>
    <row r="1921">
      <c r="A1921" s="90" t="n">
        <v>7</v>
      </c>
      <c r="B1921" s="91">
        <f>EDATE($B1920,1)</f>
        <v/>
      </c>
      <c r="C1921" s="92">
        <f>EOMONTH($B1921,0)</f>
        <v/>
      </c>
      <c r="D1921" s="87">
        <f>$C1921-$B1921+1</f>
        <v/>
      </c>
      <c r="E1921" s="87">
        <f>MONTH($B1921)</f>
        <v/>
      </c>
      <c r="F1921" s="93">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$N1921*IF($O$1912=1,$O1921/$F$1912,1)</f>
        <v/>
      </c>
      <c r="T1921" s="95">
        <f>IF($G1921&lt;nr_MStartP,$S1921,$T1909*(1+IF($G1921&lt;nr_MStartP1,$M$1912,$N$1912)))</f>
        <v/>
      </c>
      <c r="U1921" s="95">
        <f>IF($L$1912,$T1921,$N1921)</f>
        <v/>
      </c>
    </row>
    <row r="1922">
      <c r="A1922" s="90" t="n">
        <v>8</v>
      </c>
      <c r="B1922" s="91">
        <f>EDATE($B1921,1)</f>
        <v/>
      </c>
      <c r="C1922" s="92">
        <f>EOMONTH($B1922,0)</f>
        <v/>
      </c>
      <c r="D1922" s="87">
        <f>$C1922-$B1922+1</f>
        <v/>
      </c>
      <c r="E1922" s="87">
        <f>MONTH($B1922)</f>
        <v/>
      </c>
      <c r="F1922" s="93">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$N1922*IF($O$1912=1,$O1922/$F$1912,1)</f>
        <v/>
      </c>
      <c r="T1922" s="95">
        <f>IF($G1922&lt;nr_MStartP,$S1922,$T1910*(1+IF($G1922&lt;nr_MStartP1,$M$1912,$N$1912)))</f>
        <v/>
      </c>
      <c r="U1922" s="95">
        <f>IF($L$1912,$T1922,$N1922)</f>
        <v/>
      </c>
    </row>
    <row r="1923">
      <c r="A1923" s="90" t="n">
        <v>9</v>
      </c>
      <c r="B1923" s="91">
        <f>EDATE($B1922,1)</f>
        <v/>
      </c>
      <c r="C1923" s="92">
        <f>EOMONTH($B1923,0)</f>
        <v/>
      </c>
      <c r="D1923" s="87">
        <f>$C1923-$B1923+1</f>
        <v/>
      </c>
      <c r="E1923" s="87">
        <f>MONTH($B1923)</f>
        <v/>
      </c>
      <c r="F1923" s="93">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$N1923*IF($O$1912=1,$O1923/$F$1912,1)</f>
        <v/>
      </c>
      <c r="T1923" s="95">
        <f>IF($G1923&lt;nr_MStartP,$S1923,$T1911*(1+IF($G1923&lt;nr_MStartP1,$M$1912,$N$1912)))</f>
        <v/>
      </c>
      <c r="U1923" s="95">
        <f>IF($L$1912,$T1923,$N1923)</f>
        <v/>
      </c>
    </row>
    <row r="1924">
      <c r="A1924" s="90" t="n">
        <v>10</v>
      </c>
      <c r="B1924" s="91">
        <f>EDATE($B1923,1)</f>
        <v/>
      </c>
      <c r="C1924" s="92">
        <f>EOMONTH($B1924,0)</f>
        <v/>
      </c>
      <c r="D1924" s="87">
        <f>$C1924-$B1924+1</f>
        <v/>
      </c>
      <c r="E1924" s="87">
        <f>MONTH($B1924)</f>
        <v/>
      </c>
      <c r="F1924" s="93">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$N1924*IF($O$1912=1,$O1924/$F$1912,1)</f>
        <v/>
      </c>
      <c r="T1924" s="95">
        <f>IF($G1924&lt;nr_MStartP,$S1924,$T1912*(1+IF($G1924&lt;nr_MStartP1,$M$1912,$N$1912)))</f>
        <v/>
      </c>
      <c r="U1924" s="95">
        <f>IF($L$1912,$T1924,$N1924)</f>
        <v/>
      </c>
    </row>
    <row r="1925">
      <c r="A1925" s="90" t="n">
        <v>11</v>
      </c>
      <c r="B1925" s="91">
        <f>EDATE($B1924,1)</f>
        <v/>
      </c>
      <c r="C1925" s="92">
        <f>EOMONTH($B1925,0)</f>
        <v/>
      </c>
      <c r="D1925" s="87">
        <f>$C1925-$B1925+1</f>
        <v/>
      </c>
      <c r="E1925" s="87">
        <f>MONTH($B1925)</f>
        <v/>
      </c>
      <c r="F1925" s="93">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$N1925*IF($O$1912=1,$O1925/$F$1912,1)</f>
        <v/>
      </c>
      <c r="T1925" s="95">
        <f>IF($G1925&lt;nr_MStartP,$S1925,$T1913*(1+IF($G1925&lt;nr_MStartP1,$M$1912,$N$1912)))</f>
        <v/>
      </c>
      <c r="U1925" s="95">
        <f>IF($L$1912,$T1925,$N1925)</f>
        <v/>
      </c>
    </row>
    <row r="1926">
      <c r="A1926" s="90" t="n">
        <v>12</v>
      </c>
      <c r="B1926" s="91">
        <f>EDATE($B1925,1)</f>
        <v/>
      </c>
      <c r="C1926" s="92">
        <f>EOMONTH($B1926,0)</f>
        <v/>
      </c>
      <c r="D1926" s="87">
        <f>$C1926-$B1926+1</f>
        <v/>
      </c>
      <c r="E1926" s="87">
        <f>MONTH($B1926)</f>
        <v/>
      </c>
      <c r="F1926" s="93">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$N1926*IF($O$1912=1,$O1926/$F$1912,1)</f>
        <v/>
      </c>
      <c r="T1926" s="95">
        <f>IF($G1926&lt;nr_MStartP,$S1926,$T1914*(1+IF($G1926&lt;nr_MStartP1,$M$1912,$N$1912)))</f>
        <v/>
      </c>
      <c r="U1926" s="95">
        <f>IF($L$1912,$T1926,$N1926)</f>
        <v/>
      </c>
    </row>
    <row r="1927">
      <c r="A1927" s="90" t="n">
        <v>13</v>
      </c>
      <c r="B1927" s="91">
        <f>EDATE($B1926,1)</f>
        <v/>
      </c>
      <c r="C1927" s="92">
        <f>EOMONTH($B1927,0)</f>
        <v/>
      </c>
      <c r="D1927" s="87">
        <f>$C1927-$B1927+1</f>
        <v/>
      </c>
      <c r="E1927" s="87">
        <f>MONTH($B1927)</f>
        <v/>
      </c>
      <c r="F1927" s="93">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$N1927*IF($O$1912=1,$O1927/$F$1912,1)</f>
        <v/>
      </c>
      <c r="T1927" s="95">
        <f>IF($G1927&lt;nr_MStartP,$S1927,$T1915*(1+IF($G1927&lt;nr_MStartP1,$M$1912,$N$1912)))</f>
        <v/>
      </c>
      <c r="U1927" s="95">
        <f>IF($L$1912,$T1927,$N1927)</f>
        <v/>
      </c>
    </row>
    <row r="1928">
      <c r="A1928" s="90" t="n">
        <v>14</v>
      </c>
      <c r="B1928" s="91">
        <f>EDATE($B1927,1)</f>
        <v/>
      </c>
      <c r="C1928" s="92">
        <f>EOMONTH($B1928,0)</f>
        <v/>
      </c>
      <c r="D1928" s="87">
        <f>$C1928-$B1928+1</f>
        <v/>
      </c>
      <c r="E1928" s="87">
        <f>MONTH($B1928)</f>
        <v/>
      </c>
      <c r="F1928" s="93">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$N1928*IF($O$1912=1,$O1928/$F$1912,1)</f>
        <v/>
      </c>
      <c r="T1928" s="95">
        <f>IF($G1928&lt;nr_MStartP,$S1928,$T1916*(1+IF($G1928&lt;nr_MStartP1,$M$1912,$N$1912)))</f>
        <v/>
      </c>
      <c r="U1928" s="95">
        <f>IF($L$1912,$T1928,$N1928)</f>
        <v/>
      </c>
    </row>
    <row r="1929">
      <c r="A1929" s="90" t="n">
        <v>15</v>
      </c>
      <c r="B1929" s="91">
        <f>EDATE($B1928,1)</f>
        <v/>
      </c>
      <c r="C1929" s="92">
        <f>EOMONTH($B1929,0)</f>
        <v/>
      </c>
      <c r="D1929" s="87">
        <f>$C1929-$B1929+1</f>
        <v/>
      </c>
      <c r="E1929" s="87">
        <f>MONTH($B1929)</f>
        <v/>
      </c>
      <c r="F1929" s="93">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$N1929*IF($O$1912=1,$O1929/$F$1912,1)</f>
        <v/>
      </c>
      <c r="T1929" s="95">
        <f>IF($G1929&lt;nr_MStartP,$S1929,$T1917*(1+IF($G1929&lt;nr_MStartP1,$M$1912,$N$1912)))</f>
        <v/>
      </c>
      <c r="U1929" s="95">
        <f>IF($L$1912,$T1929,$N1929)</f>
        <v/>
      </c>
    </row>
    <row r="1930">
      <c r="A1930" s="90" t="n">
        <v>16</v>
      </c>
      <c r="B1930" s="91">
        <f>EDATE($B1929,1)</f>
        <v/>
      </c>
      <c r="C1930" s="92">
        <f>EOMONTH($B1930,0)</f>
        <v/>
      </c>
      <c r="D1930" s="87">
        <f>$C1930-$B1930+1</f>
        <v/>
      </c>
      <c r="E1930" s="87">
        <f>MONTH($B1930)</f>
        <v/>
      </c>
      <c r="F1930" s="93">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$N1930*IF($O$1912=1,$O1930/$F$1912,1)</f>
        <v/>
      </c>
      <c r="T1930" s="95">
        <f>IF($G1930&lt;nr_MStartP,$S1930,$T1918*(1+IF($G1930&lt;nr_MStartP1,$M$1912,$N$1912)))</f>
        <v/>
      </c>
      <c r="U1930" s="95">
        <f>IF($L$1912,$T1930,$N1930)</f>
        <v/>
      </c>
    </row>
    <row r="1931">
      <c r="A1931" s="90" t="n">
        <v>17</v>
      </c>
      <c r="B1931" s="91">
        <f>EDATE($B1930,1)</f>
        <v/>
      </c>
      <c r="C1931" s="92">
        <f>EOMONTH($B1931,0)</f>
        <v/>
      </c>
      <c r="D1931" s="87">
        <f>$C1931-$B1931+1</f>
        <v/>
      </c>
      <c r="E1931" s="87">
        <f>MONTH($B1931)</f>
        <v/>
      </c>
      <c r="F1931" s="93">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$N1931*IF($O$1912=1,$O1931/$F$1912,1)</f>
        <v/>
      </c>
      <c r="T1931" s="95">
        <f>IF($G1931&lt;nr_MStartP,$S1931,$T1919*(1+IF($G1931&lt;nr_MStartP1,$M$1912,$N$1912)))</f>
        <v/>
      </c>
      <c r="U1931" s="95">
        <f>IF($L$1912,$T1931,$N1931)</f>
        <v/>
      </c>
    </row>
    <row r="1932">
      <c r="A1932" s="90" t="n">
        <v>18</v>
      </c>
      <c r="B1932" s="91">
        <f>EDATE($B1931,1)</f>
        <v/>
      </c>
      <c r="C1932" s="92">
        <f>EOMONTH($B1932,0)</f>
        <v/>
      </c>
      <c r="D1932" s="87">
        <f>$C1932-$B1932+1</f>
        <v/>
      </c>
      <c r="E1932" s="87">
        <f>MONTH($B1932)</f>
        <v/>
      </c>
      <c r="F1932" s="93">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$N1932*IF($O$1912=1,$O1932/$F$1912,1)</f>
        <v/>
      </c>
      <c r="T1932" s="95">
        <f>IF($G1932&lt;nr_MStartP,$S1932,$T1920*(1+IF($G1932&lt;nr_MStartP1,$M$1912,$N$1912)))</f>
        <v/>
      </c>
      <c r="U1932" s="95">
        <f>IF($L$1912,$T1932,$N1932)</f>
        <v/>
      </c>
    </row>
    <row r="1933">
      <c r="A1933" s="90" t="n">
        <v>19</v>
      </c>
      <c r="B1933" s="91">
        <f>EDATE($B1932,1)</f>
        <v/>
      </c>
      <c r="C1933" s="92">
        <f>EOMONTH($B1933,0)</f>
        <v/>
      </c>
      <c r="D1933" s="87">
        <f>$C1933-$B1933+1</f>
        <v/>
      </c>
      <c r="E1933" s="87">
        <f>MONTH($B1933)</f>
        <v/>
      </c>
      <c r="F1933" s="93">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$N1933*IF($O$1912=1,$O1933/$F$1912,1)</f>
        <v/>
      </c>
      <c r="T1933" s="95">
        <f>IF($G1933&lt;nr_MStartP,$S1933,$T1921*(1+IF($G1933&lt;nr_MStartP1,$M$1912,$N$1912)))</f>
        <v/>
      </c>
      <c r="U1933" s="95">
        <f>IF($L$1912,$T1933,$N1933)</f>
        <v/>
      </c>
    </row>
    <row r="1934">
      <c r="A1934" s="90" t="n">
        <v>20</v>
      </c>
      <c r="B1934" s="91">
        <f>EDATE($B1933,1)</f>
        <v/>
      </c>
      <c r="C1934" s="92">
        <f>EOMONTH($B1934,0)</f>
        <v/>
      </c>
      <c r="D1934" s="87">
        <f>$C1934-$B1934+1</f>
        <v/>
      </c>
      <c r="E1934" s="87">
        <f>MONTH($B1934)</f>
        <v/>
      </c>
      <c r="F1934" s="93">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$N1934*IF($O$1912=1,$O1934/$F$1912,1)</f>
        <v/>
      </c>
      <c r="T1934" s="95">
        <f>IF($G1934&lt;nr_MStartP,$S1934,$T1922*(1+IF($G1934&lt;nr_MStartP1,$M$1912,$N$1912)))</f>
        <v/>
      </c>
      <c r="U1934" s="95">
        <f>IF($L$1912,$T1934,$N1934)</f>
        <v/>
      </c>
    </row>
    <row r="1935">
      <c r="A1935" s="90" t="n">
        <v>21</v>
      </c>
      <c r="B1935" s="91">
        <f>EDATE($B1934,1)</f>
        <v/>
      </c>
      <c r="C1935" s="92">
        <f>EOMONTH($B1935,0)</f>
        <v/>
      </c>
      <c r="D1935" s="87">
        <f>$C1935-$B1935+1</f>
        <v/>
      </c>
      <c r="E1935" s="87">
        <f>MONTH($B1935)</f>
        <v/>
      </c>
      <c r="F1935" s="93">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$N1935*IF($O$1912=1,$O1935/$F$1912,1)</f>
        <v/>
      </c>
      <c r="T1935" s="95">
        <f>IF($G1935&lt;nr_MStartP,$S1935,$T1923*(1+IF($G1935&lt;nr_MStartP1,$M$1912,$N$1912)))</f>
        <v/>
      </c>
      <c r="U1935" s="95">
        <f>IF($L$1912,$T1935,$N1935)</f>
        <v/>
      </c>
    </row>
    <row r="1936">
      <c r="A1936" s="90" t="n">
        <v>22</v>
      </c>
      <c r="B1936" s="91">
        <f>EDATE($B1935,1)</f>
        <v/>
      </c>
      <c r="C1936" s="92">
        <f>EOMONTH($B1936,0)</f>
        <v/>
      </c>
      <c r="D1936" s="87">
        <f>$C1936-$B1936+1</f>
        <v/>
      </c>
      <c r="E1936" s="87">
        <f>MONTH($B1936)</f>
        <v/>
      </c>
      <c r="F1936" s="93">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$N1936*IF($O$1912=1,$O1936/$F$1912,1)</f>
        <v/>
      </c>
      <c r="T1936" s="95">
        <f>IF($G1936&lt;nr_MStartP,$S1936,$T1924*(1+IF($G1936&lt;nr_MStartP1,$M$1912,$N$1912)))</f>
        <v/>
      </c>
      <c r="U1936" s="95">
        <f>IF($L$1912,$T1936,$N1936)</f>
        <v/>
      </c>
    </row>
    <row r="1937">
      <c r="A1937" s="90" t="n">
        <v>23</v>
      </c>
      <c r="B1937" s="91">
        <f>EDATE($B1936,1)</f>
        <v/>
      </c>
      <c r="C1937" s="92">
        <f>EOMONTH($B1937,0)</f>
        <v/>
      </c>
      <c r="D1937" s="87">
        <f>$C1937-$B1937+1</f>
        <v/>
      </c>
      <c r="E1937" s="87">
        <f>MONTH($B1937)</f>
        <v/>
      </c>
      <c r="F1937" s="93">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$N1937*IF($O$1912=1,$O1937/$F$1912,1)</f>
        <v/>
      </c>
      <c r="T1937" s="95">
        <f>IF($G1937&lt;nr_MStartP,$S1937,$T1925*(1+IF($G1937&lt;nr_MStartP1,$M$1912,$N$1912)))</f>
        <v/>
      </c>
      <c r="U1937" s="95">
        <f>IF($L$1912,$T1937,$N1937)</f>
        <v/>
      </c>
    </row>
    <row r="1938">
      <c r="A1938" s="90" t="n">
        <v>24</v>
      </c>
      <c r="B1938" s="91">
        <f>EDATE($B1937,1)</f>
        <v/>
      </c>
      <c r="C1938" s="92">
        <f>EOMONTH($B1938,0)</f>
        <v/>
      </c>
      <c r="D1938" s="87">
        <f>$C1938-$B1938+1</f>
        <v/>
      </c>
      <c r="E1938" s="87">
        <f>MONTH($B1938)</f>
        <v/>
      </c>
      <c r="F1938" s="93">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$N1938*IF($O$1912=1,$O1938/$F$1912,1)</f>
        <v/>
      </c>
      <c r="T1938" s="95">
        <f>IF($G1938&lt;nr_MStartP,$S1938,$T1926*(1+IF($G1938&lt;nr_MStartP1,$M$1912,$N$1912)))</f>
        <v/>
      </c>
      <c r="U1938" s="95">
        <f>IF($L$1912,$T1938,$N1938)</f>
        <v/>
      </c>
    </row>
    <row r="1939">
      <c r="A1939" s="90" t="n">
        <v>25</v>
      </c>
      <c r="B1939" s="91">
        <f>EDATE($B1938,1)</f>
        <v/>
      </c>
      <c r="C1939" s="92">
        <f>EOMONTH($B1939,0)</f>
        <v/>
      </c>
      <c r="D1939" s="87">
        <f>$C1939-$B1939+1</f>
        <v/>
      </c>
      <c r="E1939" s="87">
        <f>MONTH($B1939)</f>
        <v/>
      </c>
      <c r="F1939" s="93">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$N1939*IF($O$1912=1,$O1939/$F$1912,1)</f>
        <v/>
      </c>
      <c r="T1939" s="95">
        <f>IF($G1939&lt;nr_MStartP,$S1939,$T1927*(1+IF($G1939&lt;nr_MStartP1,$M$1912,$N$1912)))</f>
        <v/>
      </c>
      <c r="U1939" s="95">
        <f>IF($L$1912,$T1939,$N1939)</f>
        <v/>
      </c>
    </row>
    <row r="1940">
      <c r="A1940" s="90" t="n">
        <v>26</v>
      </c>
      <c r="B1940" s="91">
        <f>EDATE($B1939,1)</f>
        <v/>
      </c>
      <c r="C1940" s="92">
        <f>EOMONTH($B1940,0)</f>
        <v/>
      </c>
      <c r="D1940" s="87">
        <f>$C1940-$B1940+1</f>
        <v/>
      </c>
      <c r="E1940" s="87">
        <f>MONTH($B1940)</f>
        <v/>
      </c>
      <c r="F1940" s="93">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$N1940*IF($O$1912=1,$O1940/$F$1912,1)</f>
        <v/>
      </c>
      <c r="T1940" s="95">
        <f>IF($G1940&lt;nr_MStartP,$S1940,$T1928*(1+IF($G1940&lt;nr_MStartP1,$M$1912,$N$1912)))</f>
        <v/>
      </c>
      <c r="U1940" s="95">
        <f>IF($L$1912,$T1940,$N1940)</f>
        <v/>
      </c>
    </row>
    <row r="1941">
      <c r="A1941" s="90" t="n">
        <v>27</v>
      </c>
      <c r="B1941" s="91">
        <f>EDATE($B1940,1)</f>
        <v/>
      </c>
      <c r="C1941" s="92">
        <f>EOMONTH($B1941,0)</f>
        <v/>
      </c>
      <c r="D1941" s="87">
        <f>$C1941-$B1941+1</f>
        <v/>
      </c>
      <c r="E1941" s="87">
        <f>MONTH($B1941)</f>
        <v/>
      </c>
      <c r="F1941" s="93">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$N1941*IF($O$1912=1,$O1941/$F$1912,1)</f>
        <v/>
      </c>
      <c r="T1941" s="95">
        <f>IF($G1941&lt;nr_MStartP,$S1941,$T1929*(1+IF($G1941&lt;nr_MStartP1,$M$1912,$N$1912)))</f>
        <v/>
      </c>
      <c r="U1941" s="95">
        <f>IF($L$1912,$T1941,$N1941)</f>
        <v/>
      </c>
    </row>
    <row r="1942">
      <c r="A1942" s="90" t="n">
        <v>28</v>
      </c>
      <c r="B1942" s="91">
        <f>EDATE($B1941,1)</f>
        <v/>
      </c>
      <c r="C1942" s="92">
        <f>EOMONTH($B1942,0)</f>
        <v/>
      </c>
      <c r="D1942" s="87">
        <f>$C1942-$B1942+1</f>
        <v/>
      </c>
      <c r="E1942" s="87">
        <f>MONTH($B1942)</f>
        <v/>
      </c>
      <c r="F1942" s="93">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$N1942*IF($O$1912=1,$O1942/$F$1912,1)</f>
        <v/>
      </c>
      <c r="T1942" s="95">
        <f>IF($G1942&lt;nr_MStartP,$S1942,$T1930*(1+IF($G1942&lt;nr_MStartP1,$M$1912,$N$1912)))</f>
        <v/>
      </c>
      <c r="U1942" s="95">
        <f>IF($L$1912,$T1942,$N1942)</f>
        <v/>
      </c>
    </row>
    <row r="1943">
      <c r="A1943" s="90" t="n">
        <v>29</v>
      </c>
      <c r="B1943" s="91">
        <f>EDATE($B1942,1)</f>
        <v/>
      </c>
      <c r="C1943" s="92">
        <f>EOMONTH($B1943,0)</f>
        <v/>
      </c>
      <c r="D1943" s="87">
        <f>$C1943-$B1943+1</f>
        <v/>
      </c>
      <c r="E1943" s="87">
        <f>MONTH($B1943)</f>
        <v/>
      </c>
      <c r="F1943" s="93">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$N1943*IF($O$1912=1,$O1943/$F$1912,1)</f>
        <v/>
      </c>
      <c r="T1943" s="95">
        <f>IF($G1943&lt;nr_MStartP,$S1943,$T1931*(1+IF($G1943&lt;nr_MStartP1,$M$1912,$N$1912)))</f>
        <v/>
      </c>
      <c r="U1943" s="95">
        <f>IF($L$1912,$T1943,$N1943)</f>
        <v/>
      </c>
    </row>
    <row r="1944">
      <c r="A1944" s="90" t="n">
        <v>30</v>
      </c>
      <c r="B1944" s="91">
        <f>EDATE($B1943,1)</f>
        <v/>
      </c>
      <c r="C1944" s="92">
        <f>EOMONTH($B1944,0)</f>
        <v/>
      </c>
      <c r="D1944" s="87">
        <f>$C1944-$B1944+1</f>
        <v/>
      </c>
      <c r="E1944" s="87">
        <f>MONTH($B1944)</f>
        <v/>
      </c>
      <c r="F1944" s="93">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$N1944*IF($O$1912=1,$O1944/$F$1912,1)</f>
        <v/>
      </c>
      <c r="T1944" s="95">
        <f>IF($G1944&lt;nr_MStartP,$S1944,$T1932*(1+IF($G1944&lt;nr_MStartP1,$M$1912,$N$1912)))</f>
        <v/>
      </c>
      <c r="U1944" s="95">
        <f>IF($L$1912,$T1944,$N1944)</f>
        <v/>
      </c>
    </row>
    <row r="1945">
      <c r="A1945" s="90" t="n">
        <v>31</v>
      </c>
      <c r="B1945" s="91">
        <f>EDATE($B1944,1)</f>
        <v/>
      </c>
      <c r="C1945" s="92">
        <f>EOMONTH($B1945,0)</f>
        <v/>
      </c>
      <c r="D1945" s="87">
        <f>$C1945-$B1945+1</f>
        <v/>
      </c>
      <c r="E1945" s="87">
        <f>MONTH($B1945)</f>
        <v/>
      </c>
      <c r="F1945" s="93">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$N1945*IF($O$1912=1,$O1945/$F$1912,1)</f>
        <v/>
      </c>
      <c r="T1945" s="95">
        <f>IF($G1945&lt;nr_MStartP,$S1945,$T1933*(1+IF($G1945&lt;nr_MStartP1,$M$1912,$N$1912)))</f>
        <v/>
      </c>
      <c r="U1945" s="95">
        <f>IF($L$1912,$T1945,$N1945)</f>
        <v/>
      </c>
    </row>
    <row r="1946">
      <c r="A1946" s="90" t="n">
        <v>32</v>
      </c>
      <c r="B1946" s="91">
        <f>EDATE($B1945,1)</f>
        <v/>
      </c>
      <c r="C1946" s="92">
        <f>EOMONTH($B1946,0)</f>
        <v/>
      </c>
      <c r="D1946" s="87">
        <f>$C1946-$B1946+1</f>
        <v/>
      </c>
      <c r="E1946" s="87">
        <f>MONTH($B1946)</f>
        <v/>
      </c>
      <c r="F1946" s="93">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$N1946*IF($O$1912=1,$O1946/$F$1912,1)</f>
        <v/>
      </c>
      <c r="T1946" s="95">
        <f>IF($G1946&lt;nr_MStartP,$S1946,$T1934*(1+IF($G1946&lt;nr_MStartP1,$M$1912,$N$1912)))</f>
        <v/>
      </c>
      <c r="U1946" s="95">
        <f>IF($L$1912,$T1946,$N1946)</f>
        <v/>
      </c>
    </row>
    <row r="1947">
      <c r="A1947" s="90" t="n">
        <v>33</v>
      </c>
      <c r="B1947" s="91">
        <f>EDATE($B1946,1)</f>
        <v/>
      </c>
      <c r="C1947" s="92">
        <f>EOMONTH($B1947,0)</f>
        <v/>
      </c>
      <c r="D1947" s="87">
        <f>$C1947-$B1947+1</f>
        <v/>
      </c>
      <c r="E1947" s="87">
        <f>MONTH($B1947)</f>
        <v/>
      </c>
      <c r="F1947" s="93">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$N1947*IF($O$1912=1,$O1947/$F$1912,1)</f>
        <v/>
      </c>
      <c r="T1947" s="95">
        <f>IF($G1947&lt;nr_MStartP,$S1947,$T1935*(1+IF($G1947&lt;nr_MStartP1,$M$1912,$N$1912)))</f>
        <v/>
      </c>
      <c r="U1947" s="95">
        <f>IF($L$1912,$T1947,$N1947)</f>
        <v/>
      </c>
    </row>
    <row r="1948">
      <c r="A1948" s="90" t="n">
        <v>34</v>
      </c>
      <c r="B1948" s="91">
        <f>EDATE($B1947,1)</f>
        <v/>
      </c>
      <c r="C1948" s="92">
        <f>EOMONTH($B1948,0)</f>
        <v/>
      </c>
      <c r="D1948" s="87">
        <f>$C1948-$B1948+1</f>
        <v/>
      </c>
      <c r="E1948" s="87">
        <f>MONTH($B1948)</f>
        <v/>
      </c>
      <c r="F1948" s="93">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$N1948*IF($O$1912=1,$O1948/$F$1912,1)</f>
        <v/>
      </c>
      <c r="T1948" s="95">
        <f>IF($G1948&lt;nr_MStartP,$S1948,$T1936*(1+IF($G1948&lt;nr_MStartP1,$M$1912,$N$1912)))</f>
        <v/>
      </c>
      <c r="U1948" s="95">
        <f>IF($L$1912,$T1948,$N1948)</f>
        <v/>
      </c>
    </row>
    <row r="1949">
      <c r="A1949" s="90" t="n">
        <v>35</v>
      </c>
      <c r="B1949" s="91">
        <f>EDATE($B1948,1)</f>
        <v/>
      </c>
      <c r="C1949" s="92">
        <f>EOMONTH($B1949,0)</f>
        <v/>
      </c>
      <c r="D1949" s="87">
        <f>$C1949-$B1949+1</f>
        <v/>
      </c>
      <c r="E1949" s="87">
        <f>MONTH($B1949)</f>
        <v/>
      </c>
      <c r="F1949" s="93">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$N1949*IF($O$1912=1,$O1949/$F$1912,1)</f>
        <v/>
      </c>
      <c r="T1949" s="95">
        <f>IF($G1949&lt;nr_MStartP,$S1949,$T1937*(1+IF($G1949&lt;nr_MStartP1,$M$1912,$N$1912)))</f>
        <v/>
      </c>
      <c r="U1949" s="95">
        <f>IF($L$1912,$T1949,$N1949)</f>
        <v/>
      </c>
    </row>
    <row r="1950">
      <c r="A1950" s="90" t="n">
        <v>36</v>
      </c>
      <c r="B1950" s="91">
        <f>EDATE($B1949,1)</f>
        <v/>
      </c>
      <c r="C1950" s="92">
        <f>EOMONTH($B1950,0)</f>
        <v/>
      </c>
      <c r="D1950" s="87">
        <f>$C1950-$B1950+1</f>
        <v/>
      </c>
      <c r="E1950" s="87">
        <f>MONTH($B1950)</f>
        <v/>
      </c>
      <c r="F1950" s="93">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$N1950*IF($O$1912=1,$O1950/$F$1912,1)</f>
        <v/>
      </c>
      <c r="T1950" s="95">
        <f>IF($G1950&lt;nr_MStartP,$S1950,$T1938*(1+IF($G1950&lt;nr_MStartP1,$M$1912,$N$1912)))</f>
        <v/>
      </c>
      <c r="U1950" s="95">
        <f>IF($L$1912,$T1950,$N1950)</f>
        <v/>
      </c>
    </row>
    <row r="1951">
      <c r="A1951" s="90" t="n">
        <v>37</v>
      </c>
      <c r="B1951" s="91">
        <f>EDATE($B1950,1)</f>
        <v/>
      </c>
      <c r="C1951" s="92">
        <f>EOMONTH($B1951,0)</f>
        <v/>
      </c>
      <c r="D1951" s="87">
        <f>$C1951-$B1951+1</f>
        <v/>
      </c>
      <c r="E1951" s="87">
        <f>MONTH($B1951)</f>
        <v/>
      </c>
      <c r="F1951" s="93">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$N1951*IF($O$1912=1,$O1951/$F$1912,1)</f>
        <v/>
      </c>
      <c r="T1951" s="95">
        <f>IF($G1951&lt;nr_MStartP,$S1951,$T1939*(1+IF($G1951&lt;nr_MStartP1,$M$1912,$N$1912)))</f>
        <v/>
      </c>
      <c r="U1951" s="95">
        <f>IF($L$1912,$T1951,$N1951)</f>
        <v/>
      </c>
    </row>
    <row r="1952">
      <c r="A1952" s="90" t="n">
        <v>38</v>
      </c>
      <c r="B1952" s="91">
        <f>EDATE($B1951,1)</f>
        <v/>
      </c>
      <c r="C1952" s="92">
        <f>EOMONTH($B1952,0)</f>
        <v/>
      </c>
      <c r="D1952" s="87">
        <f>$C1952-$B1952+1</f>
        <v/>
      </c>
      <c r="E1952" s="87">
        <f>MONTH($B1952)</f>
        <v/>
      </c>
      <c r="F1952" s="93">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$N1952*IF($O$1912=1,$O1952/$F$1912,1)</f>
        <v/>
      </c>
      <c r="T1952" s="95">
        <f>IF($G1952&lt;nr_MStartP,$S1952,$T1940*(1+IF($G1952&lt;nr_MStartP1,$M$1912,$N$1912)))</f>
        <v/>
      </c>
      <c r="U1952" s="95">
        <f>IF($L$1912,$T1952,$N1952)</f>
        <v/>
      </c>
    </row>
    <row r="1953">
      <c r="A1953" s="90" t="n">
        <v>39</v>
      </c>
      <c r="B1953" s="91">
        <f>EDATE($B1952,1)</f>
        <v/>
      </c>
      <c r="C1953" s="92">
        <f>EOMONTH($B1953,0)</f>
        <v/>
      </c>
      <c r="D1953" s="87">
        <f>$C1953-$B1953+1</f>
        <v/>
      </c>
      <c r="E1953" s="87">
        <f>MONTH($B1953)</f>
        <v/>
      </c>
      <c r="F1953" s="93">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$N1953*IF($O$1912=1,$O1953/$F$1912,1)</f>
        <v/>
      </c>
      <c r="T1953" s="95">
        <f>IF($G1953&lt;nr_MStartP,$S1953,$T1941*(1+IF($G1953&lt;nr_MStartP1,$M$1912,$N$1912)))</f>
        <v/>
      </c>
      <c r="U1953" s="95">
        <f>IF($L$1912,$T1953,$N1953)</f>
        <v/>
      </c>
    </row>
    <row r="1954">
      <c r="A1954" s="90" t="n">
        <v>40</v>
      </c>
      <c r="B1954" s="91">
        <f>EDATE($B1953,1)</f>
        <v/>
      </c>
      <c r="C1954" s="92">
        <f>EOMONTH($B1954,0)</f>
        <v/>
      </c>
      <c r="D1954" s="87">
        <f>$C1954-$B1954+1</f>
        <v/>
      </c>
      <c r="E1954" s="87">
        <f>MONTH($B1954)</f>
        <v/>
      </c>
      <c r="F1954" s="93">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$N1954*IF($O$1912=1,$O1954/$F$1912,1)</f>
        <v/>
      </c>
      <c r="T1954" s="95">
        <f>IF($G1954&lt;nr_MStartP,$S1954,$T1942*(1+IF($G1954&lt;nr_MStartP1,$M$1912,$N$1912)))</f>
        <v/>
      </c>
      <c r="U1954" s="95">
        <f>IF($L$1912,$T1954,$N1954)</f>
        <v/>
      </c>
    </row>
    <row r="1955">
      <c r="A1955" s="90" t="n">
        <v>41</v>
      </c>
      <c r="B1955" s="91">
        <f>EDATE($B1954,1)</f>
        <v/>
      </c>
      <c r="C1955" s="92">
        <f>EOMONTH($B1955,0)</f>
        <v/>
      </c>
      <c r="D1955" s="87">
        <f>$C1955-$B1955+1</f>
        <v/>
      </c>
      <c r="E1955" s="87">
        <f>MONTH($B1955)</f>
        <v/>
      </c>
      <c r="F1955" s="93">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$N1955*IF($O$1912=1,$O1955/$F$1912,1)</f>
        <v/>
      </c>
      <c r="T1955" s="95">
        <f>IF($G1955&lt;nr_MStartP,$S1955,$T1943*(1+IF($G1955&lt;nr_MStartP1,$M$1912,$N$1912)))</f>
        <v/>
      </c>
      <c r="U1955" s="95">
        <f>IF($L$1912,$T1955,$N1955)</f>
        <v/>
      </c>
    </row>
    <row r="1956">
      <c r="A1956" s="90" t="n">
        <v>42</v>
      </c>
      <c r="B1956" s="91">
        <f>EDATE($B1955,1)</f>
        <v/>
      </c>
      <c r="C1956" s="92">
        <f>EOMONTH($B1956,0)</f>
        <v/>
      </c>
      <c r="D1956" s="87">
        <f>$C1956-$B1956+1</f>
        <v/>
      </c>
      <c r="E1956" s="87">
        <f>MONTH($B1956)</f>
        <v/>
      </c>
      <c r="F1956" s="93">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$N1956*IF($O$1912=1,$O1956/$F$1912,1)</f>
        <v/>
      </c>
      <c r="T1956" s="95">
        <f>IF($G1956&lt;nr_MStartP,$S1956,$T1944*(1+IF($G1956&lt;nr_MStartP1,$M$1912,$N$1912)))</f>
        <v/>
      </c>
      <c r="U1956" s="95">
        <f>IF($L$1912,$T1956,$N1956)</f>
        <v/>
      </c>
    </row>
    <row r="1957">
      <c r="A1957" s="90" t="n">
        <v>43</v>
      </c>
      <c r="B1957" s="91">
        <f>EDATE($B1956,1)</f>
        <v/>
      </c>
      <c r="C1957" s="92">
        <f>EOMONTH($B1957,0)</f>
        <v/>
      </c>
      <c r="D1957" s="87">
        <f>$C1957-$B1957+1</f>
        <v/>
      </c>
      <c r="E1957" s="87">
        <f>MONTH($B1957)</f>
        <v/>
      </c>
      <c r="F1957" s="93">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$N1957*IF($O$1912=1,$O1957/$F$1912,1)</f>
        <v/>
      </c>
      <c r="T1957" s="95">
        <f>IF($G1957&lt;nr_MStartP,$S1957,$T1945*(1+IF($G1957&lt;nr_MStartP1,$M$1912,$N$1912)))</f>
        <v/>
      </c>
      <c r="U1957" s="95">
        <f>IF($L$1912,$T1957,$N1957)</f>
        <v/>
      </c>
    </row>
    <row r="1958">
      <c r="A1958" s="90" t="n">
        <v>44</v>
      </c>
      <c r="B1958" s="91">
        <f>EDATE($B1957,1)</f>
        <v/>
      </c>
      <c r="C1958" s="92">
        <f>EOMONTH($B1958,0)</f>
        <v/>
      </c>
      <c r="D1958" s="87">
        <f>$C1958-$B1958+1</f>
        <v/>
      </c>
      <c r="E1958" s="87">
        <f>MONTH($B1958)</f>
        <v/>
      </c>
      <c r="F1958" s="93">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$N1958*IF($O$1912=1,$O1958/$F$1912,1)</f>
        <v/>
      </c>
      <c r="T1958" s="95">
        <f>IF($G1958&lt;nr_MStartP,$S1958,$T1946*(1+IF($G1958&lt;nr_MStartP1,$M$1912,$N$1912)))</f>
        <v/>
      </c>
      <c r="U1958" s="95">
        <f>IF($L$1912,$T1958,$N1958)</f>
        <v/>
      </c>
    </row>
    <row r="1959">
      <c r="A1959" s="90" t="n">
        <v>45</v>
      </c>
      <c r="B1959" s="91">
        <f>EDATE($B1958,1)</f>
        <v/>
      </c>
      <c r="C1959" s="92">
        <f>EOMONTH($B1959,0)</f>
        <v/>
      </c>
      <c r="D1959" s="87">
        <f>$C1959-$B1959+1</f>
        <v/>
      </c>
      <c r="E1959" s="87">
        <f>MONTH($B1959)</f>
        <v/>
      </c>
      <c r="F1959" s="93">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$N1959*IF($O$1912=1,$O1959/$F$1912,1)</f>
        <v/>
      </c>
      <c r="T1959" s="95">
        <f>IF($G1959&lt;nr_MStartP,$S1959,$T1947*(1+IF($G1959&lt;nr_MStartP1,$M$1912,$N$1912)))</f>
        <v/>
      </c>
      <c r="U1959" s="95">
        <f>IF($L$1912,$T1959,$N1959)</f>
        <v/>
      </c>
    </row>
    <row r="1960">
      <c r="A1960" s="90" t="n">
        <v>46</v>
      </c>
      <c r="B1960" s="91">
        <f>EDATE($B1959,1)</f>
        <v/>
      </c>
      <c r="C1960" s="92">
        <f>EOMONTH($B1960,0)</f>
        <v/>
      </c>
      <c r="D1960" s="87">
        <f>$C1960-$B1960+1</f>
        <v/>
      </c>
      <c r="E1960" s="87">
        <f>MONTH($B1960)</f>
        <v/>
      </c>
      <c r="F1960" s="93">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$N1960*IF($O$1912=1,$O1960/$F$1912,1)</f>
        <v/>
      </c>
      <c r="T1960" s="95">
        <f>IF($G1960&lt;nr_MStartP,$S1960,$T1948*(1+IF($G1960&lt;nr_MStartP1,$M$1912,$N$1912)))</f>
        <v/>
      </c>
      <c r="U1960" s="95">
        <f>IF($L$1912,$T1960,$N1960)</f>
        <v/>
      </c>
    </row>
    <row r="1961">
      <c r="A1961" s="90" t="n">
        <v>47</v>
      </c>
      <c r="B1961" s="91">
        <f>EDATE($B1960,1)</f>
        <v/>
      </c>
      <c r="C1961" s="92">
        <f>EOMONTH($B1961,0)</f>
        <v/>
      </c>
      <c r="D1961" s="87">
        <f>$C1961-$B1961+1</f>
        <v/>
      </c>
      <c r="E1961" s="87">
        <f>MONTH($B1961)</f>
        <v/>
      </c>
      <c r="F1961" s="93">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$N1961*IF($O$1912=1,$O1961/$F$1912,1)</f>
        <v/>
      </c>
      <c r="T1961" s="95">
        <f>IF($G1961&lt;nr_MStartP,$S1961,$T1949*(1+IF($G1961&lt;nr_MStartP1,$M$1912,$N$1912)))</f>
        <v/>
      </c>
      <c r="U1961" s="95">
        <f>IF($L$1912,$T1961,$N1961)</f>
        <v/>
      </c>
    </row>
    <row r="1962">
      <c r="A1962" s="90" t="n">
        <v>48</v>
      </c>
      <c r="B1962" s="91">
        <f>EDATE($B1961,1)</f>
        <v/>
      </c>
      <c r="C1962" s="92">
        <f>EOMONTH($B1962,0)</f>
        <v/>
      </c>
      <c r="D1962" s="87">
        <f>$C1962-$B1962+1</f>
        <v/>
      </c>
      <c r="E1962" s="87">
        <f>MONTH($B1962)</f>
        <v/>
      </c>
      <c r="F1962" s="93">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$N1962*IF($O$1912=1,$O1962/$F$1912,1)</f>
        <v/>
      </c>
      <c r="T1962" s="95">
        <f>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04">
        <f>SUMPRODUCT($H$1915:$H$1962,$Q$1915:$Q$1962,$O$1915:$O$1962)/SUMPRODUCT($H$1915:$H$1962,$Q$1915:$Q$1962)</f>
        <v/>
      </c>
      <c r="G1963" s="20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04">
        <f>IF(N(INDEX(lr_mind,36))=0,1,INDEX(lr_mind,36))</f>
        <v/>
      </c>
      <c r="G1966" s="204">
        <f>IF(N(INDEX(lr_m0,36))=0,1,INDEX(lr_m0,36))</f>
        <v/>
      </c>
      <c r="H1966" s="73">
        <f>IF(N(INDEX(lr_m0asof,36))=0,DATE(nr_PlanYear-1,10,1),INDEX(lr_m0asof,36))</f>
        <v/>
      </c>
      <c r="I1966" s="204">
        <f>IF(N(INDEX(lr_m1,36))=0,1,INDEX(lr_m1,36))</f>
        <v/>
      </c>
      <c r="J1966" s="204">
        <f>INDEX(lr_mprior,36)</f>
        <v/>
      </c>
      <c r="K1966" s="20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93">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$N1969*IF($O$1966=1,$O1969/$F$1966,1)</f>
        <v/>
      </c>
      <c r="T1969" s="95">
        <f>IF($G1969&lt;nr_MStartP,$S1969,$T1957*(1+IF($G1969&lt;nr_MStartP1,$M$1966,$N$1966)))</f>
        <v/>
      </c>
      <c r="U1969" s="95">
        <f>IF($L$1966,$T1969,$N1969)</f>
        <v/>
      </c>
    </row>
    <row r="1970">
      <c r="A1970" s="90" t="n">
        <v>2</v>
      </c>
      <c r="B1970" s="91">
        <f>EDATE($B1969,1)</f>
        <v/>
      </c>
      <c r="C1970" s="92">
        <f>EOMONTH($B1970,0)</f>
        <v/>
      </c>
      <c r="D1970" s="87">
        <f>$C1970-$B1970+1</f>
        <v/>
      </c>
      <c r="E1970" s="87">
        <f>MONTH($B1970)</f>
        <v/>
      </c>
      <c r="F1970" s="93">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$N1970*IF($O$1966=1,$O1970/$F$1966,1)</f>
        <v/>
      </c>
      <c r="T1970" s="95">
        <f>IF($G1970&lt;nr_MStartP,$S1970,$T1958*(1+IF($G1970&lt;nr_MStartP1,$M$1966,$N$1966)))</f>
        <v/>
      </c>
      <c r="U1970" s="95">
        <f>IF($L$1966,$T1970,$N1970)</f>
        <v/>
      </c>
    </row>
    <row r="1971">
      <c r="A1971" s="90" t="n">
        <v>3</v>
      </c>
      <c r="B1971" s="91">
        <f>EDATE($B1970,1)</f>
        <v/>
      </c>
      <c r="C1971" s="92">
        <f>EOMONTH($B1971,0)</f>
        <v/>
      </c>
      <c r="D1971" s="87">
        <f>$C1971-$B1971+1</f>
        <v/>
      </c>
      <c r="E1971" s="87">
        <f>MONTH($B1971)</f>
        <v/>
      </c>
      <c r="F1971" s="93">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$N1971*IF($O$1966=1,$O1971/$F$1966,1)</f>
        <v/>
      </c>
      <c r="T1971" s="95">
        <f>IF($G1971&lt;nr_MStartP,$S1971,$T1959*(1+IF($G1971&lt;nr_MStartP1,$M$1966,$N$1966)))</f>
        <v/>
      </c>
      <c r="U1971" s="95">
        <f>IF($L$1966,$T1971,$N1971)</f>
        <v/>
      </c>
    </row>
    <row r="1972">
      <c r="A1972" s="90" t="n">
        <v>4</v>
      </c>
      <c r="B1972" s="91">
        <f>EDATE($B1971,1)</f>
        <v/>
      </c>
      <c r="C1972" s="92">
        <f>EOMONTH($B1972,0)</f>
        <v/>
      </c>
      <c r="D1972" s="87">
        <f>$C1972-$B1972+1</f>
        <v/>
      </c>
      <c r="E1972" s="87">
        <f>MONTH($B1972)</f>
        <v/>
      </c>
      <c r="F1972" s="93">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$N1972*IF($O$1966=1,$O1972/$F$1966,1)</f>
        <v/>
      </c>
      <c r="T1972" s="95">
        <f>IF($G1972&lt;nr_MStartP,$S1972,$T1960*(1+IF($G1972&lt;nr_MStartP1,$M$1966,$N$1966)))</f>
        <v/>
      </c>
      <c r="U1972" s="95">
        <f>IF($L$1966,$T1972,$N1972)</f>
        <v/>
      </c>
    </row>
    <row r="1973">
      <c r="A1973" s="90" t="n">
        <v>5</v>
      </c>
      <c r="B1973" s="91">
        <f>EDATE($B1972,1)</f>
        <v/>
      </c>
      <c r="C1973" s="92">
        <f>EOMONTH($B1973,0)</f>
        <v/>
      </c>
      <c r="D1973" s="87">
        <f>$C1973-$B1973+1</f>
        <v/>
      </c>
      <c r="E1973" s="87">
        <f>MONTH($B1973)</f>
        <v/>
      </c>
      <c r="F1973" s="93">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$N1973*IF($O$1966=1,$O1973/$F$1966,1)</f>
        <v/>
      </c>
      <c r="T1973" s="95">
        <f>IF($G1973&lt;nr_MStartP,$S1973,$T1961*(1+IF($G1973&lt;nr_MStartP1,$M$1966,$N$1966)))</f>
        <v/>
      </c>
      <c r="U1973" s="95">
        <f>IF($L$1966,$T1973,$N1973)</f>
        <v/>
      </c>
    </row>
    <row r="1974">
      <c r="A1974" s="90" t="n">
        <v>6</v>
      </c>
      <c r="B1974" s="91">
        <f>EDATE($B1973,1)</f>
        <v/>
      </c>
      <c r="C1974" s="92">
        <f>EOMONTH($B1974,0)</f>
        <v/>
      </c>
      <c r="D1974" s="87">
        <f>$C1974-$B1974+1</f>
        <v/>
      </c>
      <c r="E1974" s="87">
        <f>MONTH($B1974)</f>
        <v/>
      </c>
      <c r="F1974" s="93">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$N1974*IF($O$1966=1,$O1974/$F$1966,1)</f>
        <v/>
      </c>
      <c r="T1974" s="95">
        <f>IF($G1974&lt;nr_MStartP,$S1974,$T1962*(1+IF($G1974&lt;nr_MStartP1,$M$1966,$N$1966)))</f>
        <v/>
      </c>
      <c r="U1974" s="95">
        <f>IF($L$1966,$T1974,$N1974)</f>
        <v/>
      </c>
    </row>
    <row r="1975">
      <c r="A1975" s="90" t="n">
        <v>7</v>
      </c>
      <c r="B1975" s="91">
        <f>EDATE($B1974,1)</f>
        <v/>
      </c>
      <c r="C1975" s="92">
        <f>EOMONTH($B1975,0)</f>
        <v/>
      </c>
      <c r="D1975" s="87">
        <f>$C1975-$B1975+1</f>
        <v/>
      </c>
      <c r="E1975" s="87">
        <f>MONTH($B1975)</f>
        <v/>
      </c>
      <c r="F1975" s="93">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$N1975*IF($O$1966=1,$O1975/$F$1966,1)</f>
        <v/>
      </c>
      <c r="T1975" s="95">
        <f>IF($G1975&lt;nr_MStartP,$S1975,$T1963*(1+IF($G1975&lt;nr_MStartP1,$M$1966,$N$1966)))</f>
        <v/>
      </c>
      <c r="U1975" s="95">
        <f>IF($L$1966,$T1975,$N1975)</f>
        <v/>
      </c>
    </row>
    <row r="1976">
      <c r="A1976" s="90" t="n">
        <v>8</v>
      </c>
      <c r="B1976" s="91">
        <f>EDATE($B1975,1)</f>
        <v/>
      </c>
      <c r="C1976" s="92">
        <f>EOMONTH($B1976,0)</f>
        <v/>
      </c>
      <c r="D1976" s="87">
        <f>$C1976-$B1976+1</f>
        <v/>
      </c>
      <c r="E1976" s="87">
        <f>MONTH($B1976)</f>
        <v/>
      </c>
      <c r="F1976" s="93">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$N1976*IF($O$1966=1,$O1976/$F$1966,1)</f>
        <v/>
      </c>
      <c r="T1976" s="95">
        <f>IF($G1976&lt;nr_MStartP,$S1976,$T1964*(1+IF($G1976&lt;nr_MStartP1,$M$1966,$N$1966)))</f>
        <v/>
      </c>
      <c r="U1976" s="95">
        <f>IF($L$1966,$T1976,$N1976)</f>
        <v/>
      </c>
    </row>
    <row r="1977">
      <c r="A1977" s="90" t="n">
        <v>9</v>
      </c>
      <c r="B1977" s="91">
        <f>EDATE($B1976,1)</f>
        <v/>
      </c>
      <c r="C1977" s="92">
        <f>EOMONTH($B1977,0)</f>
        <v/>
      </c>
      <c r="D1977" s="87">
        <f>$C1977-$B1977+1</f>
        <v/>
      </c>
      <c r="E1977" s="87">
        <f>MONTH($B1977)</f>
        <v/>
      </c>
      <c r="F1977" s="93">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$N1977*IF($O$1966=1,$O1977/$F$1966,1)</f>
        <v/>
      </c>
      <c r="T1977" s="95">
        <f>IF($G1977&lt;nr_MStartP,$S1977,$T1965*(1+IF($G1977&lt;nr_MStartP1,$M$1966,$N$1966)))</f>
        <v/>
      </c>
      <c r="U1977" s="95">
        <f>IF($L$1966,$T1977,$N1977)</f>
        <v/>
      </c>
    </row>
    <row r="1978">
      <c r="A1978" s="90" t="n">
        <v>10</v>
      </c>
      <c r="B1978" s="91">
        <f>EDATE($B1977,1)</f>
        <v/>
      </c>
      <c r="C1978" s="92">
        <f>EOMONTH($B1978,0)</f>
        <v/>
      </c>
      <c r="D1978" s="87">
        <f>$C1978-$B1978+1</f>
        <v/>
      </c>
      <c r="E1978" s="87">
        <f>MONTH($B1978)</f>
        <v/>
      </c>
      <c r="F1978" s="93">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$N1978*IF($O$1966=1,$O1978/$F$1966,1)</f>
        <v/>
      </c>
      <c r="T1978" s="95">
        <f>IF($G1978&lt;nr_MStartP,$S1978,$T1966*(1+IF($G1978&lt;nr_MStartP1,$M$1966,$N$1966)))</f>
        <v/>
      </c>
      <c r="U1978" s="95">
        <f>IF($L$1966,$T1978,$N1978)</f>
        <v/>
      </c>
    </row>
    <row r="1979">
      <c r="A1979" s="90" t="n">
        <v>11</v>
      </c>
      <c r="B1979" s="91">
        <f>EDATE($B1978,1)</f>
        <v/>
      </c>
      <c r="C1979" s="92">
        <f>EOMONTH($B1979,0)</f>
        <v/>
      </c>
      <c r="D1979" s="87">
        <f>$C1979-$B1979+1</f>
        <v/>
      </c>
      <c r="E1979" s="87">
        <f>MONTH($B1979)</f>
        <v/>
      </c>
      <c r="F1979" s="93">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$N1979*IF($O$1966=1,$O1979/$F$1966,1)</f>
        <v/>
      </c>
      <c r="T1979" s="95">
        <f>IF($G1979&lt;nr_MStartP,$S1979,$T1967*(1+IF($G1979&lt;nr_MStartP1,$M$1966,$N$1966)))</f>
        <v/>
      </c>
      <c r="U1979" s="95">
        <f>IF($L$1966,$T1979,$N1979)</f>
        <v/>
      </c>
    </row>
    <row r="1980">
      <c r="A1980" s="90" t="n">
        <v>12</v>
      </c>
      <c r="B1980" s="91">
        <f>EDATE($B1979,1)</f>
        <v/>
      </c>
      <c r="C1980" s="92">
        <f>EOMONTH($B1980,0)</f>
        <v/>
      </c>
      <c r="D1980" s="87">
        <f>$C1980-$B1980+1</f>
        <v/>
      </c>
      <c r="E1980" s="87">
        <f>MONTH($B1980)</f>
        <v/>
      </c>
      <c r="F1980" s="93">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$N1980*IF($O$1966=1,$O1980/$F$1966,1)</f>
        <v/>
      </c>
      <c r="T1980" s="95">
        <f>IF($G1980&lt;nr_MStartP,$S1980,$T1968*(1+IF($G1980&lt;nr_MStartP1,$M$1966,$N$1966)))</f>
        <v/>
      </c>
      <c r="U1980" s="95">
        <f>IF($L$1966,$T1980,$N1980)</f>
        <v/>
      </c>
    </row>
    <row r="1981">
      <c r="A1981" s="90" t="n">
        <v>13</v>
      </c>
      <c r="B1981" s="91">
        <f>EDATE($B1980,1)</f>
        <v/>
      </c>
      <c r="C1981" s="92">
        <f>EOMONTH($B1981,0)</f>
        <v/>
      </c>
      <c r="D1981" s="87">
        <f>$C1981-$B1981+1</f>
        <v/>
      </c>
      <c r="E1981" s="87">
        <f>MONTH($B1981)</f>
        <v/>
      </c>
      <c r="F1981" s="93">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$N1981*IF($O$1966=1,$O1981/$F$1966,1)</f>
        <v/>
      </c>
      <c r="T1981" s="95">
        <f>IF($G1981&lt;nr_MStartP,$S1981,$T1969*(1+IF($G1981&lt;nr_MStartP1,$M$1966,$N$1966)))</f>
        <v/>
      </c>
      <c r="U1981" s="95">
        <f>IF($L$1966,$T1981,$N1981)</f>
        <v/>
      </c>
    </row>
    <row r="1982">
      <c r="A1982" s="90" t="n">
        <v>14</v>
      </c>
      <c r="B1982" s="91">
        <f>EDATE($B1981,1)</f>
        <v/>
      </c>
      <c r="C1982" s="92">
        <f>EOMONTH($B1982,0)</f>
        <v/>
      </c>
      <c r="D1982" s="87">
        <f>$C1982-$B1982+1</f>
        <v/>
      </c>
      <c r="E1982" s="87">
        <f>MONTH($B1982)</f>
        <v/>
      </c>
      <c r="F1982" s="93">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$N1982*IF($O$1966=1,$O1982/$F$1966,1)</f>
        <v/>
      </c>
      <c r="T1982" s="95">
        <f>IF($G1982&lt;nr_MStartP,$S1982,$T1970*(1+IF($G1982&lt;nr_MStartP1,$M$1966,$N$1966)))</f>
        <v/>
      </c>
      <c r="U1982" s="95">
        <f>IF($L$1966,$T1982,$N1982)</f>
        <v/>
      </c>
    </row>
    <row r="1983">
      <c r="A1983" s="90" t="n">
        <v>15</v>
      </c>
      <c r="B1983" s="91">
        <f>EDATE($B1982,1)</f>
        <v/>
      </c>
      <c r="C1983" s="92">
        <f>EOMONTH($B1983,0)</f>
        <v/>
      </c>
      <c r="D1983" s="87">
        <f>$C1983-$B1983+1</f>
        <v/>
      </c>
      <c r="E1983" s="87">
        <f>MONTH($B1983)</f>
        <v/>
      </c>
      <c r="F1983" s="93">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$N1983*IF($O$1966=1,$O1983/$F$1966,1)</f>
        <v/>
      </c>
      <c r="T1983" s="95">
        <f>IF($G1983&lt;nr_MStartP,$S1983,$T1971*(1+IF($G1983&lt;nr_MStartP1,$M$1966,$N$1966)))</f>
        <v/>
      </c>
      <c r="U1983" s="95">
        <f>IF($L$1966,$T1983,$N1983)</f>
        <v/>
      </c>
    </row>
    <row r="1984">
      <c r="A1984" s="90" t="n">
        <v>16</v>
      </c>
      <c r="B1984" s="91">
        <f>EDATE($B1983,1)</f>
        <v/>
      </c>
      <c r="C1984" s="92">
        <f>EOMONTH($B1984,0)</f>
        <v/>
      </c>
      <c r="D1984" s="87">
        <f>$C1984-$B1984+1</f>
        <v/>
      </c>
      <c r="E1984" s="87">
        <f>MONTH($B1984)</f>
        <v/>
      </c>
      <c r="F1984" s="93">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$N1984*IF($O$1966=1,$O1984/$F$1966,1)</f>
        <v/>
      </c>
      <c r="T1984" s="95">
        <f>IF($G1984&lt;nr_MStartP,$S1984,$T1972*(1+IF($G1984&lt;nr_MStartP1,$M$1966,$N$1966)))</f>
        <v/>
      </c>
      <c r="U1984" s="95">
        <f>IF($L$1966,$T1984,$N1984)</f>
        <v/>
      </c>
    </row>
    <row r="1985">
      <c r="A1985" s="90" t="n">
        <v>17</v>
      </c>
      <c r="B1985" s="91">
        <f>EDATE($B1984,1)</f>
        <v/>
      </c>
      <c r="C1985" s="92">
        <f>EOMONTH($B1985,0)</f>
        <v/>
      </c>
      <c r="D1985" s="87">
        <f>$C1985-$B1985+1</f>
        <v/>
      </c>
      <c r="E1985" s="87">
        <f>MONTH($B1985)</f>
        <v/>
      </c>
      <c r="F1985" s="93">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$N1985*IF($O$1966=1,$O1985/$F$1966,1)</f>
        <v/>
      </c>
      <c r="T1985" s="95">
        <f>IF($G1985&lt;nr_MStartP,$S1985,$T1973*(1+IF($G1985&lt;nr_MStartP1,$M$1966,$N$1966)))</f>
        <v/>
      </c>
      <c r="U1985" s="95">
        <f>IF($L$1966,$T1985,$N1985)</f>
        <v/>
      </c>
    </row>
    <row r="1986">
      <c r="A1986" s="90" t="n">
        <v>18</v>
      </c>
      <c r="B1986" s="91">
        <f>EDATE($B1985,1)</f>
        <v/>
      </c>
      <c r="C1986" s="92">
        <f>EOMONTH($B1986,0)</f>
        <v/>
      </c>
      <c r="D1986" s="87">
        <f>$C1986-$B1986+1</f>
        <v/>
      </c>
      <c r="E1986" s="87">
        <f>MONTH($B1986)</f>
        <v/>
      </c>
      <c r="F1986" s="93">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$N1986*IF($O$1966=1,$O1986/$F$1966,1)</f>
        <v/>
      </c>
      <c r="T1986" s="95">
        <f>IF($G1986&lt;nr_MStartP,$S1986,$T1974*(1+IF($G1986&lt;nr_MStartP1,$M$1966,$N$1966)))</f>
        <v/>
      </c>
      <c r="U1986" s="95">
        <f>IF($L$1966,$T1986,$N1986)</f>
        <v/>
      </c>
    </row>
    <row r="1987">
      <c r="A1987" s="90" t="n">
        <v>19</v>
      </c>
      <c r="B1987" s="91">
        <f>EDATE($B1986,1)</f>
        <v/>
      </c>
      <c r="C1987" s="92">
        <f>EOMONTH($B1987,0)</f>
        <v/>
      </c>
      <c r="D1987" s="87">
        <f>$C1987-$B1987+1</f>
        <v/>
      </c>
      <c r="E1987" s="87">
        <f>MONTH($B1987)</f>
        <v/>
      </c>
      <c r="F1987" s="93">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$N1987*IF($O$1966=1,$O1987/$F$1966,1)</f>
        <v/>
      </c>
      <c r="T1987" s="95">
        <f>IF($G1987&lt;nr_MStartP,$S1987,$T1975*(1+IF($G1987&lt;nr_MStartP1,$M$1966,$N$1966)))</f>
        <v/>
      </c>
      <c r="U1987" s="95">
        <f>IF($L$1966,$T1987,$N1987)</f>
        <v/>
      </c>
    </row>
    <row r="1988">
      <c r="A1988" s="90" t="n">
        <v>20</v>
      </c>
      <c r="B1988" s="91">
        <f>EDATE($B1987,1)</f>
        <v/>
      </c>
      <c r="C1988" s="92">
        <f>EOMONTH($B1988,0)</f>
        <v/>
      </c>
      <c r="D1988" s="87">
        <f>$C1988-$B1988+1</f>
        <v/>
      </c>
      <c r="E1988" s="87">
        <f>MONTH($B1988)</f>
        <v/>
      </c>
      <c r="F1988" s="93">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$N1988*IF($O$1966=1,$O1988/$F$1966,1)</f>
        <v/>
      </c>
      <c r="T1988" s="95">
        <f>IF($G1988&lt;nr_MStartP,$S1988,$T1976*(1+IF($G1988&lt;nr_MStartP1,$M$1966,$N$1966)))</f>
        <v/>
      </c>
      <c r="U1988" s="95">
        <f>IF($L$1966,$T1988,$N1988)</f>
        <v/>
      </c>
    </row>
    <row r="1989">
      <c r="A1989" s="90" t="n">
        <v>21</v>
      </c>
      <c r="B1989" s="91">
        <f>EDATE($B1988,1)</f>
        <v/>
      </c>
      <c r="C1989" s="92">
        <f>EOMONTH($B1989,0)</f>
        <v/>
      </c>
      <c r="D1989" s="87">
        <f>$C1989-$B1989+1</f>
        <v/>
      </c>
      <c r="E1989" s="87">
        <f>MONTH($B1989)</f>
        <v/>
      </c>
      <c r="F1989" s="93">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$N1989*IF($O$1966=1,$O1989/$F$1966,1)</f>
        <v/>
      </c>
      <c r="T1989" s="95">
        <f>IF($G1989&lt;nr_MStartP,$S1989,$T1977*(1+IF($G1989&lt;nr_MStartP1,$M$1966,$N$1966)))</f>
        <v/>
      </c>
      <c r="U1989" s="95">
        <f>IF($L$1966,$T1989,$N1989)</f>
        <v/>
      </c>
    </row>
    <row r="1990">
      <c r="A1990" s="90" t="n">
        <v>22</v>
      </c>
      <c r="B1990" s="91">
        <f>EDATE($B1989,1)</f>
        <v/>
      </c>
      <c r="C1990" s="92">
        <f>EOMONTH($B1990,0)</f>
        <v/>
      </c>
      <c r="D1990" s="87">
        <f>$C1990-$B1990+1</f>
        <v/>
      </c>
      <c r="E1990" s="87">
        <f>MONTH($B1990)</f>
        <v/>
      </c>
      <c r="F1990" s="93">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$N1990*IF($O$1966=1,$O1990/$F$1966,1)</f>
        <v/>
      </c>
      <c r="T1990" s="95">
        <f>IF($G1990&lt;nr_MStartP,$S1990,$T1978*(1+IF($G1990&lt;nr_MStartP1,$M$1966,$N$1966)))</f>
        <v/>
      </c>
      <c r="U1990" s="95">
        <f>IF($L$1966,$T1990,$N1990)</f>
        <v/>
      </c>
    </row>
    <row r="1991">
      <c r="A1991" s="90" t="n">
        <v>23</v>
      </c>
      <c r="B1991" s="91">
        <f>EDATE($B1990,1)</f>
        <v/>
      </c>
      <c r="C1991" s="92">
        <f>EOMONTH($B1991,0)</f>
        <v/>
      </c>
      <c r="D1991" s="87">
        <f>$C1991-$B1991+1</f>
        <v/>
      </c>
      <c r="E1991" s="87">
        <f>MONTH($B1991)</f>
        <v/>
      </c>
      <c r="F1991" s="93">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$N1991*IF($O$1966=1,$O1991/$F$1966,1)</f>
        <v/>
      </c>
      <c r="T1991" s="95">
        <f>IF($G1991&lt;nr_MStartP,$S1991,$T1979*(1+IF($G1991&lt;nr_MStartP1,$M$1966,$N$1966)))</f>
        <v/>
      </c>
      <c r="U1991" s="95">
        <f>IF($L$1966,$T1991,$N1991)</f>
        <v/>
      </c>
    </row>
    <row r="1992">
      <c r="A1992" s="90" t="n">
        <v>24</v>
      </c>
      <c r="B1992" s="91">
        <f>EDATE($B1991,1)</f>
        <v/>
      </c>
      <c r="C1992" s="92">
        <f>EOMONTH($B1992,0)</f>
        <v/>
      </c>
      <c r="D1992" s="87">
        <f>$C1992-$B1992+1</f>
        <v/>
      </c>
      <c r="E1992" s="87">
        <f>MONTH($B1992)</f>
        <v/>
      </c>
      <c r="F1992" s="93">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$N1992*IF($O$1966=1,$O1992/$F$1966,1)</f>
        <v/>
      </c>
      <c r="T1992" s="95">
        <f>IF($G1992&lt;nr_MStartP,$S1992,$T1980*(1+IF($G1992&lt;nr_MStartP1,$M$1966,$N$1966)))</f>
        <v/>
      </c>
      <c r="U1992" s="95">
        <f>IF($L$1966,$T1992,$N1992)</f>
        <v/>
      </c>
    </row>
    <row r="1993">
      <c r="A1993" s="90" t="n">
        <v>25</v>
      </c>
      <c r="B1993" s="91">
        <f>EDATE($B1992,1)</f>
        <v/>
      </c>
      <c r="C1993" s="92">
        <f>EOMONTH($B1993,0)</f>
        <v/>
      </c>
      <c r="D1993" s="87">
        <f>$C1993-$B1993+1</f>
        <v/>
      </c>
      <c r="E1993" s="87">
        <f>MONTH($B1993)</f>
        <v/>
      </c>
      <c r="F1993" s="93">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$N1993*IF($O$1966=1,$O1993/$F$1966,1)</f>
        <v/>
      </c>
      <c r="T1993" s="95">
        <f>IF($G1993&lt;nr_MStartP,$S1993,$T1981*(1+IF($G1993&lt;nr_MStartP1,$M$1966,$N$1966)))</f>
        <v/>
      </c>
      <c r="U1993" s="95">
        <f>IF($L$1966,$T1993,$N1993)</f>
        <v/>
      </c>
    </row>
    <row r="1994">
      <c r="A1994" s="90" t="n">
        <v>26</v>
      </c>
      <c r="B1994" s="91">
        <f>EDATE($B1993,1)</f>
        <v/>
      </c>
      <c r="C1994" s="92">
        <f>EOMONTH($B1994,0)</f>
        <v/>
      </c>
      <c r="D1994" s="87">
        <f>$C1994-$B1994+1</f>
        <v/>
      </c>
      <c r="E1994" s="87">
        <f>MONTH($B1994)</f>
        <v/>
      </c>
      <c r="F1994" s="93">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$N1994*IF($O$1966=1,$O1994/$F$1966,1)</f>
        <v/>
      </c>
      <c r="T1994" s="95">
        <f>IF($G1994&lt;nr_MStartP,$S1994,$T1982*(1+IF($G1994&lt;nr_MStartP1,$M$1966,$N$1966)))</f>
        <v/>
      </c>
      <c r="U1994" s="95">
        <f>IF($L$1966,$T1994,$N1994)</f>
        <v/>
      </c>
    </row>
    <row r="1995">
      <c r="A1995" s="90" t="n">
        <v>27</v>
      </c>
      <c r="B1995" s="91">
        <f>EDATE($B1994,1)</f>
        <v/>
      </c>
      <c r="C1995" s="92">
        <f>EOMONTH($B1995,0)</f>
        <v/>
      </c>
      <c r="D1995" s="87">
        <f>$C1995-$B1995+1</f>
        <v/>
      </c>
      <c r="E1995" s="87">
        <f>MONTH($B1995)</f>
        <v/>
      </c>
      <c r="F1995" s="93">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$N1995*IF($O$1966=1,$O1995/$F$1966,1)</f>
        <v/>
      </c>
      <c r="T1995" s="95">
        <f>IF($G1995&lt;nr_MStartP,$S1995,$T1983*(1+IF($G1995&lt;nr_MStartP1,$M$1966,$N$1966)))</f>
        <v/>
      </c>
      <c r="U1995" s="95">
        <f>IF($L$1966,$T1995,$N1995)</f>
        <v/>
      </c>
    </row>
    <row r="1996">
      <c r="A1996" s="90" t="n">
        <v>28</v>
      </c>
      <c r="B1996" s="91">
        <f>EDATE($B1995,1)</f>
        <v/>
      </c>
      <c r="C1996" s="92">
        <f>EOMONTH($B1996,0)</f>
        <v/>
      </c>
      <c r="D1996" s="87">
        <f>$C1996-$B1996+1</f>
        <v/>
      </c>
      <c r="E1996" s="87">
        <f>MONTH($B1996)</f>
        <v/>
      </c>
      <c r="F1996" s="93">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$N1996*IF($O$1966=1,$O1996/$F$1966,1)</f>
        <v/>
      </c>
      <c r="T1996" s="95">
        <f>IF($G1996&lt;nr_MStartP,$S1996,$T1984*(1+IF($G1996&lt;nr_MStartP1,$M$1966,$N$1966)))</f>
        <v/>
      </c>
      <c r="U1996" s="95">
        <f>IF($L$1966,$T1996,$N1996)</f>
        <v/>
      </c>
    </row>
    <row r="1997">
      <c r="A1997" s="90" t="n">
        <v>29</v>
      </c>
      <c r="B1997" s="91">
        <f>EDATE($B1996,1)</f>
        <v/>
      </c>
      <c r="C1997" s="92">
        <f>EOMONTH($B1997,0)</f>
        <v/>
      </c>
      <c r="D1997" s="87">
        <f>$C1997-$B1997+1</f>
        <v/>
      </c>
      <c r="E1997" s="87">
        <f>MONTH($B1997)</f>
        <v/>
      </c>
      <c r="F1997" s="93">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$N1997*IF($O$1966=1,$O1997/$F$1966,1)</f>
        <v/>
      </c>
      <c r="T1997" s="95">
        <f>IF($G1997&lt;nr_MStartP,$S1997,$T1985*(1+IF($G1997&lt;nr_MStartP1,$M$1966,$N$1966)))</f>
        <v/>
      </c>
      <c r="U1997" s="95">
        <f>IF($L$1966,$T1997,$N1997)</f>
        <v/>
      </c>
    </row>
    <row r="1998">
      <c r="A1998" s="90" t="n">
        <v>30</v>
      </c>
      <c r="B1998" s="91">
        <f>EDATE($B1997,1)</f>
        <v/>
      </c>
      <c r="C1998" s="92">
        <f>EOMONTH($B1998,0)</f>
        <v/>
      </c>
      <c r="D1998" s="87">
        <f>$C1998-$B1998+1</f>
        <v/>
      </c>
      <c r="E1998" s="87">
        <f>MONTH($B1998)</f>
        <v/>
      </c>
      <c r="F1998" s="93">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$N1998*IF($O$1966=1,$O1998/$F$1966,1)</f>
        <v/>
      </c>
      <c r="T1998" s="95">
        <f>IF($G1998&lt;nr_MStartP,$S1998,$T1986*(1+IF($G1998&lt;nr_MStartP1,$M$1966,$N$1966)))</f>
        <v/>
      </c>
      <c r="U1998" s="95">
        <f>IF($L$1966,$T1998,$N1998)</f>
        <v/>
      </c>
    </row>
    <row r="1999">
      <c r="A1999" s="90" t="n">
        <v>31</v>
      </c>
      <c r="B1999" s="91">
        <f>EDATE($B1998,1)</f>
        <v/>
      </c>
      <c r="C1999" s="92">
        <f>EOMONTH($B1999,0)</f>
        <v/>
      </c>
      <c r="D1999" s="87">
        <f>$C1999-$B1999+1</f>
        <v/>
      </c>
      <c r="E1999" s="87">
        <f>MONTH($B1999)</f>
        <v/>
      </c>
      <c r="F1999" s="93">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$N1999*IF($O$1966=1,$O1999/$F$1966,1)</f>
        <v/>
      </c>
      <c r="T1999" s="95">
        <f>IF($G1999&lt;nr_MStartP,$S1999,$T1987*(1+IF($G1999&lt;nr_MStartP1,$M$1966,$N$1966)))</f>
        <v/>
      </c>
      <c r="U1999" s="95">
        <f>IF($L$1966,$T1999,$N1999)</f>
        <v/>
      </c>
    </row>
    <row r="2000">
      <c r="A2000" s="90" t="n">
        <v>32</v>
      </c>
      <c r="B2000" s="91">
        <f>EDATE($B1999,1)</f>
        <v/>
      </c>
      <c r="C2000" s="92">
        <f>EOMONTH($B2000,0)</f>
        <v/>
      </c>
      <c r="D2000" s="87">
        <f>$C2000-$B2000+1</f>
        <v/>
      </c>
      <c r="E2000" s="87">
        <f>MONTH($B2000)</f>
        <v/>
      </c>
      <c r="F2000" s="93">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$N2000*IF($O$1966=1,$O2000/$F$1966,1)</f>
        <v/>
      </c>
      <c r="T2000" s="95">
        <f>IF($G2000&lt;nr_MStartP,$S2000,$T1988*(1+IF($G2000&lt;nr_MStartP1,$M$1966,$N$1966)))</f>
        <v/>
      </c>
      <c r="U2000" s="95">
        <f>IF($L$1966,$T2000,$N2000)</f>
        <v/>
      </c>
    </row>
    <row r="2001">
      <c r="A2001" s="90" t="n">
        <v>33</v>
      </c>
      <c r="B2001" s="91">
        <f>EDATE($B2000,1)</f>
        <v/>
      </c>
      <c r="C2001" s="92">
        <f>EOMONTH($B2001,0)</f>
        <v/>
      </c>
      <c r="D2001" s="87">
        <f>$C2001-$B2001+1</f>
        <v/>
      </c>
      <c r="E2001" s="87">
        <f>MONTH($B2001)</f>
        <v/>
      </c>
      <c r="F2001" s="93">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$N2001*IF($O$1966=1,$O2001/$F$1966,1)</f>
        <v/>
      </c>
      <c r="T2001" s="95">
        <f>IF($G2001&lt;nr_MStartP,$S2001,$T1989*(1+IF($G2001&lt;nr_MStartP1,$M$1966,$N$1966)))</f>
        <v/>
      </c>
      <c r="U2001" s="95">
        <f>IF($L$1966,$T2001,$N2001)</f>
        <v/>
      </c>
    </row>
    <row r="2002">
      <c r="A2002" s="90" t="n">
        <v>34</v>
      </c>
      <c r="B2002" s="91">
        <f>EDATE($B2001,1)</f>
        <v/>
      </c>
      <c r="C2002" s="92">
        <f>EOMONTH($B2002,0)</f>
        <v/>
      </c>
      <c r="D2002" s="87">
        <f>$C2002-$B2002+1</f>
        <v/>
      </c>
      <c r="E2002" s="87">
        <f>MONTH($B2002)</f>
        <v/>
      </c>
      <c r="F2002" s="93">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$N2002*IF($O$1966=1,$O2002/$F$1966,1)</f>
        <v/>
      </c>
      <c r="T2002" s="95">
        <f>IF($G2002&lt;nr_MStartP,$S2002,$T1990*(1+IF($G2002&lt;nr_MStartP1,$M$1966,$N$1966)))</f>
        <v/>
      </c>
      <c r="U2002" s="95">
        <f>IF($L$1966,$T2002,$N2002)</f>
        <v/>
      </c>
    </row>
    <row r="2003">
      <c r="A2003" s="90" t="n">
        <v>35</v>
      </c>
      <c r="B2003" s="91">
        <f>EDATE($B2002,1)</f>
        <v/>
      </c>
      <c r="C2003" s="92">
        <f>EOMONTH($B2003,0)</f>
        <v/>
      </c>
      <c r="D2003" s="87">
        <f>$C2003-$B2003+1</f>
        <v/>
      </c>
      <c r="E2003" s="87">
        <f>MONTH($B2003)</f>
        <v/>
      </c>
      <c r="F2003" s="93">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$N2003*IF($O$1966=1,$O2003/$F$1966,1)</f>
        <v/>
      </c>
      <c r="T2003" s="95">
        <f>IF($G2003&lt;nr_MStartP,$S2003,$T1991*(1+IF($G2003&lt;nr_MStartP1,$M$1966,$N$1966)))</f>
        <v/>
      </c>
      <c r="U2003" s="95">
        <f>IF($L$1966,$T2003,$N2003)</f>
        <v/>
      </c>
    </row>
    <row r="2004">
      <c r="A2004" s="90" t="n">
        <v>36</v>
      </c>
      <c r="B2004" s="91">
        <f>EDATE($B2003,1)</f>
        <v/>
      </c>
      <c r="C2004" s="92">
        <f>EOMONTH($B2004,0)</f>
        <v/>
      </c>
      <c r="D2004" s="87">
        <f>$C2004-$B2004+1</f>
        <v/>
      </c>
      <c r="E2004" s="87">
        <f>MONTH($B2004)</f>
        <v/>
      </c>
      <c r="F2004" s="93">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$N2004*IF($O$1966=1,$O2004/$F$1966,1)</f>
        <v/>
      </c>
      <c r="T2004" s="95">
        <f>IF($G2004&lt;nr_MStartP,$S2004,$T1992*(1+IF($G2004&lt;nr_MStartP1,$M$1966,$N$1966)))</f>
        <v/>
      </c>
      <c r="U2004" s="95">
        <f>IF($L$1966,$T2004,$N2004)</f>
        <v/>
      </c>
    </row>
    <row r="2005">
      <c r="A2005" s="90" t="n">
        <v>37</v>
      </c>
      <c r="B2005" s="91">
        <f>EDATE($B2004,1)</f>
        <v/>
      </c>
      <c r="C2005" s="92">
        <f>EOMONTH($B2005,0)</f>
        <v/>
      </c>
      <c r="D2005" s="87">
        <f>$C2005-$B2005+1</f>
        <v/>
      </c>
      <c r="E2005" s="87">
        <f>MONTH($B2005)</f>
        <v/>
      </c>
      <c r="F2005" s="93">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$N2005*IF($O$1966=1,$O2005/$F$1966,1)</f>
        <v/>
      </c>
      <c r="T2005" s="95">
        <f>IF($G2005&lt;nr_MStartP,$S2005,$T1993*(1+IF($G2005&lt;nr_MStartP1,$M$1966,$N$1966)))</f>
        <v/>
      </c>
      <c r="U2005" s="95">
        <f>IF($L$1966,$T2005,$N2005)</f>
        <v/>
      </c>
    </row>
    <row r="2006">
      <c r="A2006" s="90" t="n">
        <v>38</v>
      </c>
      <c r="B2006" s="91">
        <f>EDATE($B2005,1)</f>
        <v/>
      </c>
      <c r="C2006" s="92">
        <f>EOMONTH($B2006,0)</f>
        <v/>
      </c>
      <c r="D2006" s="87">
        <f>$C2006-$B2006+1</f>
        <v/>
      </c>
      <c r="E2006" s="87">
        <f>MONTH($B2006)</f>
        <v/>
      </c>
      <c r="F2006" s="93">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$N2006*IF($O$1966=1,$O2006/$F$1966,1)</f>
        <v/>
      </c>
      <c r="T2006" s="95">
        <f>IF($G2006&lt;nr_MStartP,$S2006,$T1994*(1+IF($G2006&lt;nr_MStartP1,$M$1966,$N$1966)))</f>
        <v/>
      </c>
      <c r="U2006" s="95">
        <f>IF($L$1966,$T2006,$N2006)</f>
        <v/>
      </c>
    </row>
    <row r="2007">
      <c r="A2007" s="90" t="n">
        <v>39</v>
      </c>
      <c r="B2007" s="91">
        <f>EDATE($B2006,1)</f>
        <v/>
      </c>
      <c r="C2007" s="92">
        <f>EOMONTH($B2007,0)</f>
        <v/>
      </c>
      <c r="D2007" s="87">
        <f>$C2007-$B2007+1</f>
        <v/>
      </c>
      <c r="E2007" s="87">
        <f>MONTH($B2007)</f>
        <v/>
      </c>
      <c r="F2007" s="93">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$N2007*IF($O$1966=1,$O2007/$F$1966,1)</f>
        <v/>
      </c>
      <c r="T2007" s="95">
        <f>IF($G2007&lt;nr_MStartP,$S2007,$T1995*(1+IF($G2007&lt;nr_MStartP1,$M$1966,$N$1966)))</f>
        <v/>
      </c>
      <c r="U2007" s="95">
        <f>IF($L$1966,$T2007,$N2007)</f>
        <v/>
      </c>
    </row>
    <row r="2008">
      <c r="A2008" s="90" t="n">
        <v>40</v>
      </c>
      <c r="B2008" s="91">
        <f>EDATE($B2007,1)</f>
        <v/>
      </c>
      <c r="C2008" s="92">
        <f>EOMONTH($B2008,0)</f>
        <v/>
      </c>
      <c r="D2008" s="87">
        <f>$C2008-$B2008+1</f>
        <v/>
      </c>
      <c r="E2008" s="87">
        <f>MONTH($B2008)</f>
        <v/>
      </c>
      <c r="F2008" s="93">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$N2008*IF($O$1966=1,$O2008/$F$1966,1)</f>
        <v/>
      </c>
      <c r="T2008" s="95">
        <f>IF($G2008&lt;nr_MStartP,$S2008,$T1996*(1+IF($G2008&lt;nr_MStartP1,$M$1966,$N$1966)))</f>
        <v/>
      </c>
      <c r="U2008" s="95">
        <f>IF($L$1966,$T2008,$N2008)</f>
        <v/>
      </c>
    </row>
    <row r="2009">
      <c r="A2009" s="90" t="n">
        <v>41</v>
      </c>
      <c r="B2009" s="91">
        <f>EDATE($B2008,1)</f>
        <v/>
      </c>
      <c r="C2009" s="92">
        <f>EOMONTH($B2009,0)</f>
        <v/>
      </c>
      <c r="D2009" s="87">
        <f>$C2009-$B2009+1</f>
        <v/>
      </c>
      <c r="E2009" s="87">
        <f>MONTH($B2009)</f>
        <v/>
      </c>
      <c r="F2009" s="93">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$N2009*IF($O$1966=1,$O2009/$F$1966,1)</f>
        <v/>
      </c>
      <c r="T2009" s="95">
        <f>IF($G2009&lt;nr_MStartP,$S2009,$T1997*(1+IF($G2009&lt;nr_MStartP1,$M$1966,$N$1966)))</f>
        <v/>
      </c>
      <c r="U2009" s="95">
        <f>IF($L$1966,$T2009,$N2009)</f>
        <v/>
      </c>
    </row>
    <row r="2010">
      <c r="A2010" s="90" t="n">
        <v>42</v>
      </c>
      <c r="B2010" s="91">
        <f>EDATE($B2009,1)</f>
        <v/>
      </c>
      <c r="C2010" s="92">
        <f>EOMONTH($B2010,0)</f>
        <v/>
      </c>
      <c r="D2010" s="87">
        <f>$C2010-$B2010+1</f>
        <v/>
      </c>
      <c r="E2010" s="87">
        <f>MONTH($B2010)</f>
        <v/>
      </c>
      <c r="F2010" s="93">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$N2010*IF($O$1966=1,$O2010/$F$1966,1)</f>
        <v/>
      </c>
      <c r="T2010" s="95">
        <f>IF($G2010&lt;nr_MStartP,$S2010,$T1998*(1+IF($G2010&lt;nr_MStartP1,$M$1966,$N$1966)))</f>
        <v/>
      </c>
      <c r="U2010" s="95">
        <f>IF($L$1966,$T2010,$N2010)</f>
        <v/>
      </c>
    </row>
    <row r="2011">
      <c r="A2011" s="90" t="n">
        <v>43</v>
      </c>
      <c r="B2011" s="91">
        <f>EDATE($B2010,1)</f>
        <v/>
      </c>
      <c r="C2011" s="92">
        <f>EOMONTH($B2011,0)</f>
        <v/>
      </c>
      <c r="D2011" s="87">
        <f>$C2011-$B2011+1</f>
        <v/>
      </c>
      <c r="E2011" s="87">
        <f>MONTH($B2011)</f>
        <v/>
      </c>
      <c r="F2011" s="93">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$N2011*IF($O$1966=1,$O2011/$F$1966,1)</f>
        <v/>
      </c>
      <c r="T2011" s="95">
        <f>IF($G2011&lt;nr_MStartP,$S2011,$T1999*(1+IF($G2011&lt;nr_MStartP1,$M$1966,$N$1966)))</f>
        <v/>
      </c>
      <c r="U2011" s="95">
        <f>IF($L$1966,$T2011,$N2011)</f>
        <v/>
      </c>
    </row>
    <row r="2012">
      <c r="A2012" s="90" t="n">
        <v>44</v>
      </c>
      <c r="B2012" s="91">
        <f>EDATE($B2011,1)</f>
        <v/>
      </c>
      <c r="C2012" s="92">
        <f>EOMONTH($B2012,0)</f>
        <v/>
      </c>
      <c r="D2012" s="87">
        <f>$C2012-$B2012+1</f>
        <v/>
      </c>
      <c r="E2012" s="87">
        <f>MONTH($B2012)</f>
        <v/>
      </c>
      <c r="F2012" s="93">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$N2012*IF($O$1966=1,$O2012/$F$1966,1)</f>
        <v/>
      </c>
      <c r="T2012" s="95">
        <f>IF($G2012&lt;nr_MStartP,$S2012,$T2000*(1+IF($G2012&lt;nr_MStartP1,$M$1966,$N$1966)))</f>
        <v/>
      </c>
      <c r="U2012" s="95">
        <f>IF($L$1966,$T2012,$N2012)</f>
        <v/>
      </c>
    </row>
    <row r="2013">
      <c r="A2013" s="90" t="n">
        <v>45</v>
      </c>
      <c r="B2013" s="91">
        <f>EDATE($B2012,1)</f>
        <v/>
      </c>
      <c r="C2013" s="92">
        <f>EOMONTH($B2013,0)</f>
        <v/>
      </c>
      <c r="D2013" s="87">
        <f>$C2013-$B2013+1</f>
        <v/>
      </c>
      <c r="E2013" s="87">
        <f>MONTH($B2013)</f>
        <v/>
      </c>
      <c r="F2013" s="93">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$N2013*IF($O$1966=1,$O2013/$F$1966,1)</f>
        <v/>
      </c>
      <c r="T2013" s="95">
        <f>IF($G2013&lt;nr_MStartP,$S2013,$T2001*(1+IF($G2013&lt;nr_MStartP1,$M$1966,$N$1966)))</f>
        <v/>
      </c>
      <c r="U2013" s="95">
        <f>IF($L$1966,$T2013,$N2013)</f>
        <v/>
      </c>
    </row>
    <row r="2014">
      <c r="A2014" s="90" t="n">
        <v>46</v>
      </c>
      <c r="B2014" s="91">
        <f>EDATE($B2013,1)</f>
        <v/>
      </c>
      <c r="C2014" s="92">
        <f>EOMONTH($B2014,0)</f>
        <v/>
      </c>
      <c r="D2014" s="87">
        <f>$C2014-$B2014+1</f>
        <v/>
      </c>
      <c r="E2014" s="87">
        <f>MONTH($B2014)</f>
        <v/>
      </c>
      <c r="F2014" s="93">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$N2014*IF($O$1966=1,$O2014/$F$1966,1)</f>
        <v/>
      </c>
      <c r="T2014" s="95">
        <f>IF($G2014&lt;nr_MStartP,$S2014,$T2002*(1+IF($G2014&lt;nr_MStartP1,$M$1966,$N$1966)))</f>
        <v/>
      </c>
      <c r="U2014" s="95">
        <f>IF($L$1966,$T2014,$N2014)</f>
        <v/>
      </c>
    </row>
    <row r="2015">
      <c r="A2015" s="90" t="n">
        <v>47</v>
      </c>
      <c r="B2015" s="91">
        <f>EDATE($B2014,1)</f>
        <v/>
      </c>
      <c r="C2015" s="92">
        <f>EOMONTH($B2015,0)</f>
        <v/>
      </c>
      <c r="D2015" s="87">
        <f>$C2015-$B2015+1</f>
        <v/>
      </c>
      <c r="E2015" s="87">
        <f>MONTH($B2015)</f>
        <v/>
      </c>
      <c r="F2015" s="93">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$N2015*IF($O$1966=1,$O2015/$F$1966,1)</f>
        <v/>
      </c>
      <c r="T2015" s="95">
        <f>IF($G2015&lt;nr_MStartP,$S2015,$T2003*(1+IF($G2015&lt;nr_MStartP1,$M$1966,$N$1966)))</f>
        <v/>
      </c>
      <c r="U2015" s="95">
        <f>IF($L$1966,$T2015,$N2015)</f>
        <v/>
      </c>
    </row>
    <row r="2016">
      <c r="A2016" s="90" t="n">
        <v>48</v>
      </c>
      <c r="B2016" s="91">
        <f>EDATE($B2015,1)</f>
        <v/>
      </c>
      <c r="C2016" s="92">
        <f>EOMONTH($B2016,0)</f>
        <v/>
      </c>
      <c r="D2016" s="87">
        <f>$C2016-$B2016+1</f>
        <v/>
      </c>
      <c r="E2016" s="87">
        <f>MONTH($B2016)</f>
        <v/>
      </c>
      <c r="F2016" s="93">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$N2016*IF($O$1966=1,$O2016/$F$1966,1)</f>
        <v/>
      </c>
      <c r="T2016" s="95">
        <f>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04">
        <f>SUMPRODUCT($H$1969:$H$2016,$Q$1969:$Q$2016,$O$1969:$O$2016)/SUMPRODUCT($H$1969:$H$2016,$Q$1969:$Q$2016)</f>
        <v/>
      </c>
      <c r="G2017" s="20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04">
        <f>IF(N(INDEX(lr_mind,37))=0,1,INDEX(lr_mind,37))</f>
        <v/>
      </c>
      <c r="G2020" s="204">
        <f>IF(N(INDEX(lr_m0,37))=0,1,INDEX(lr_m0,37))</f>
        <v/>
      </c>
      <c r="H2020" s="73">
        <f>IF(N(INDEX(lr_m0asof,37))=0,DATE(nr_PlanYear-1,10,1),INDEX(lr_m0asof,37))</f>
        <v/>
      </c>
      <c r="I2020" s="204">
        <f>IF(N(INDEX(lr_m1,37))=0,1,INDEX(lr_m1,37))</f>
        <v/>
      </c>
      <c r="J2020" s="204">
        <f>INDEX(lr_mprior,37)</f>
        <v/>
      </c>
      <c r="K2020" s="20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93">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$N2023*IF($O$2020=1,$O2023/$F$2020,1)</f>
        <v/>
      </c>
      <c r="T2023" s="95">
        <f>IF($G2023&lt;nr_MStartP,$S2023,$T2011*(1+IF($G2023&lt;nr_MStartP1,$M$2020,$N$2020)))</f>
        <v/>
      </c>
      <c r="U2023" s="95">
        <f>IF($L$2020,$T2023,$N2023)</f>
        <v/>
      </c>
    </row>
    <row r="2024">
      <c r="A2024" s="90" t="n">
        <v>2</v>
      </c>
      <c r="B2024" s="91">
        <f>EDATE($B2023,1)</f>
        <v/>
      </c>
      <c r="C2024" s="92">
        <f>EOMONTH($B2024,0)</f>
        <v/>
      </c>
      <c r="D2024" s="87">
        <f>$C2024-$B2024+1</f>
        <v/>
      </c>
      <c r="E2024" s="87">
        <f>MONTH($B2024)</f>
        <v/>
      </c>
      <c r="F2024" s="93">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$N2024*IF($O$2020=1,$O2024/$F$2020,1)</f>
        <v/>
      </c>
      <c r="T2024" s="95">
        <f>IF($G2024&lt;nr_MStartP,$S2024,$T2012*(1+IF($G2024&lt;nr_MStartP1,$M$2020,$N$2020)))</f>
        <v/>
      </c>
      <c r="U2024" s="95">
        <f>IF($L$2020,$T2024,$N2024)</f>
        <v/>
      </c>
    </row>
    <row r="2025">
      <c r="A2025" s="90" t="n">
        <v>3</v>
      </c>
      <c r="B2025" s="91">
        <f>EDATE($B2024,1)</f>
        <v/>
      </c>
      <c r="C2025" s="92">
        <f>EOMONTH($B2025,0)</f>
        <v/>
      </c>
      <c r="D2025" s="87">
        <f>$C2025-$B2025+1</f>
        <v/>
      </c>
      <c r="E2025" s="87">
        <f>MONTH($B2025)</f>
        <v/>
      </c>
      <c r="F2025" s="93">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$N2025*IF($O$2020=1,$O2025/$F$2020,1)</f>
        <v/>
      </c>
      <c r="T2025" s="95">
        <f>IF($G2025&lt;nr_MStartP,$S2025,$T2013*(1+IF($G2025&lt;nr_MStartP1,$M$2020,$N$2020)))</f>
        <v/>
      </c>
      <c r="U2025" s="95">
        <f>IF($L$2020,$T2025,$N2025)</f>
        <v/>
      </c>
    </row>
    <row r="2026">
      <c r="A2026" s="90" t="n">
        <v>4</v>
      </c>
      <c r="B2026" s="91">
        <f>EDATE($B2025,1)</f>
        <v/>
      </c>
      <c r="C2026" s="92">
        <f>EOMONTH($B2026,0)</f>
        <v/>
      </c>
      <c r="D2026" s="87">
        <f>$C2026-$B2026+1</f>
        <v/>
      </c>
      <c r="E2026" s="87">
        <f>MONTH($B2026)</f>
        <v/>
      </c>
      <c r="F2026" s="93">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$N2026*IF($O$2020=1,$O2026/$F$2020,1)</f>
        <v/>
      </c>
      <c r="T2026" s="95">
        <f>IF($G2026&lt;nr_MStartP,$S2026,$T2014*(1+IF($G2026&lt;nr_MStartP1,$M$2020,$N$2020)))</f>
        <v/>
      </c>
      <c r="U2026" s="95">
        <f>IF($L$2020,$T2026,$N2026)</f>
        <v/>
      </c>
    </row>
    <row r="2027">
      <c r="A2027" s="90" t="n">
        <v>5</v>
      </c>
      <c r="B2027" s="91">
        <f>EDATE($B2026,1)</f>
        <v/>
      </c>
      <c r="C2027" s="92">
        <f>EOMONTH($B2027,0)</f>
        <v/>
      </c>
      <c r="D2027" s="87">
        <f>$C2027-$B2027+1</f>
        <v/>
      </c>
      <c r="E2027" s="87">
        <f>MONTH($B2027)</f>
        <v/>
      </c>
      <c r="F2027" s="93">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$N2027*IF($O$2020=1,$O2027/$F$2020,1)</f>
        <v/>
      </c>
      <c r="T2027" s="95">
        <f>IF($G2027&lt;nr_MStartP,$S2027,$T2015*(1+IF($G2027&lt;nr_MStartP1,$M$2020,$N$2020)))</f>
        <v/>
      </c>
      <c r="U2027" s="95">
        <f>IF($L$2020,$T2027,$N2027)</f>
        <v/>
      </c>
    </row>
    <row r="2028">
      <c r="A2028" s="90" t="n">
        <v>6</v>
      </c>
      <c r="B2028" s="91">
        <f>EDATE($B2027,1)</f>
        <v/>
      </c>
      <c r="C2028" s="92">
        <f>EOMONTH($B2028,0)</f>
        <v/>
      </c>
      <c r="D2028" s="87">
        <f>$C2028-$B2028+1</f>
        <v/>
      </c>
      <c r="E2028" s="87">
        <f>MONTH($B2028)</f>
        <v/>
      </c>
      <c r="F2028" s="93">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$N2028*IF($O$2020=1,$O2028/$F$2020,1)</f>
        <v/>
      </c>
      <c r="T2028" s="95">
        <f>IF($G2028&lt;nr_MStartP,$S2028,$T2016*(1+IF($G2028&lt;nr_MStartP1,$M$2020,$N$2020)))</f>
        <v/>
      </c>
      <c r="U2028" s="95">
        <f>IF($L$2020,$T2028,$N2028)</f>
        <v/>
      </c>
    </row>
    <row r="2029">
      <c r="A2029" s="90" t="n">
        <v>7</v>
      </c>
      <c r="B2029" s="91">
        <f>EDATE($B2028,1)</f>
        <v/>
      </c>
      <c r="C2029" s="92">
        <f>EOMONTH($B2029,0)</f>
        <v/>
      </c>
      <c r="D2029" s="87">
        <f>$C2029-$B2029+1</f>
        <v/>
      </c>
      <c r="E2029" s="87">
        <f>MONTH($B2029)</f>
        <v/>
      </c>
      <c r="F2029" s="93">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$N2029*IF($O$2020=1,$O2029/$F$2020,1)</f>
        <v/>
      </c>
      <c r="T2029" s="95">
        <f>IF($G2029&lt;nr_MStartP,$S2029,$T2017*(1+IF($G2029&lt;nr_MStartP1,$M$2020,$N$2020)))</f>
        <v/>
      </c>
      <c r="U2029" s="95">
        <f>IF($L$2020,$T2029,$N2029)</f>
        <v/>
      </c>
    </row>
    <row r="2030">
      <c r="A2030" s="90" t="n">
        <v>8</v>
      </c>
      <c r="B2030" s="91">
        <f>EDATE($B2029,1)</f>
        <v/>
      </c>
      <c r="C2030" s="92">
        <f>EOMONTH($B2030,0)</f>
        <v/>
      </c>
      <c r="D2030" s="87">
        <f>$C2030-$B2030+1</f>
        <v/>
      </c>
      <c r="E2030" s="87">
        <f>MONTH($B2030)</f>
        <v/>
      </c>
      <c r="F2030" s="93">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$N2030*IF($O$2020=1,$O2030/$F$2020,1)</f>
        <v/>
      </c>
      <c r="T2030" s="95">
        <f>IF($G2030&lt;nr_MStartP,$S2030,$T2018*(1+IF($G2030&lt;nr_MStartP1,$M$2020,$N$2020)))</f>
        <v/>
      </c>
      <c r="U2030" s="95">
        <f>IF($L$2020,$T2030,$N2030)</f>
        <v/>
      </c>
    </row>
    <row r="2031">
      <c r="A2031" s="90" t="n">
        <v>9</v>
      </c>
      <c r="B2031" s="91">
        <f>EDATE($B2030,1)</f>
        <v/>
      </c>
      <c r="C2031" s="92">
        <f>EOMONTH($B2031,0)</f>
        <v/>
      </c>
      <c r="D2031" s="87">
        <f>$C2031-$B2031+1</f>
        <v/>
      </c>
      <c r="E2031" s="87">
        <f>MONTH($B2031)</f>
        <v/>
      </c>
      <c r="F2031" s="93">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$N2031*IF($O$2020=1,$O2031/$F$2020,1)</f>
        <v/>
      </c>
      <c r="T2031" s="95">
        <f>IF($G2031&lt;nr_MStartP,$S2031,$T2019*(1+IF($G2031&lt;nr_MStartP1,$M$2020,$N$2020)))</f>
        <v/>
      </c>
      <c r="U2031" s="95">
        <f>IF($L$2020,$T2031,$N2031)</f>
        <v/>
      </c>
    </row>
    <row r="2032">
      <c r="A2032" s="90" t="n">
        <v>10</v>
      </c>
      <c r="B2032" s="91">
        <f>EDATE($B2031,1)</f>
        <v/>
      </c>
      <c r="C2032" s="92">
        <f>EOMONTH($B2032,0)</f>
        <v/>
      </c>
      <c r="D2032" s="87">
        <f>$C2032-$B2032+1</f>
        <v/>
      </c>
      <c r="E2032" s="87">
        <f>MONTH($B2032)</f>
        <v/>
      </c>
      <c r="F2032" s="93">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$N2032*IF($O$2020=1,$O2032/$F$2020,1)</f>
        <v/>
      </c>
      <c r="T2032" s="95">
        <f>IF($G2032&lt;nr_MStartP,$S2032,$T2020*(1+IF($G2032&lt;nr_MStartP1,$M$2020,$N$2020)))</f>
        <v/>
      </c>
      <c r="U2032" s="95">
        <f>IF($L$2020,$T2032,$N2032)</f>
        <v/>
      </c>
    </row>
    <row r="2033">
      <c r="A2033" s="90" t="n">
        <v>11</v>
      </c>
      <c r="B2033" s="91">
        <f>EDATE($B2032,1)</f>
        <v/>
      </c>
      <c r="C2033" s="92">
        <f>EOMONTH($B2033,0)</f>
        <v/>
      </c>
      <c r="D2033" s="87">
        <f>$C2033-$B2033+1</f>
        <v/>
      </c>
      <c r="E2033" s="87">
        <f>MONTH($B2033)</f>
        <v/>
      </c>
      <c r="F2033" s="93">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$N2033*IF($O$2020=1,$O2033/$F$2020,1)</f>
        <v/>
      </c>
      <c r="T2033" s="95">
        <f>IF($G2033&lt;nr_MStartP,$S2033,$T2021*(1+IF($G2033&lt;nr_MStartP1,$M$2020,$N$2020)))</f>
        <v/>
      </c>
      <c r="U2033" s="95">
        <f>IF($L$2020,$T2033,$N2033)</f>
        <v/>
      </c>
    </row>
    <row r="2034">
      <c r="A2034" s="90" t="n">
        <v>12</v>
      </c>
      <c r="B2034" s="91">
        <f>EDATE($B2033,1)</f>
        <v/>
      </c>
      <c r="C2034" s="92">
        <f>EOMONTH($B2034,0)</f>
        <v/>
      </c>
      <c r="D2034" s="87">
        <f>$C2034-$B2034+1</f>
        <v/>
      </c>
      <c r="E2034" s="87">
        <f>MONTH($B2034)</f>
        <v/>
      </c>
      <c r="F2034" s="93">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$N2034*IF($O$2020=1,$O2034/$F$2020,1)</f>
        <v/>
      </c>
      <c r="T2034" s="95">
        <f>IF($G2034&lt;nr_MStartP,$S2034,$T2022*(1+IF($G2034&lt;nr_MStartP1,$M$2020,$N$2020)))</f>
        <v/>
      </c>
      <c r="U2034" s="95">
        <f>IF($L$2020,$T2034,$N2034)</f>
        <v/>
      </c>
    </row>
    <row r="2035">
      <c r="A2035" s="90" t="n">
        <v>13</v>
      </c>
      <c r="B2035" s="91">
        <f>EDATE($B2034,1)</f>
        <v/>
      </c>
      <c r="C2035" s="92">
        <f>EOMONTH($B2035,0)</f>
        <v/>
      </c>
      <c r="D2035" s="87">
        <f>$C2035-$B2035+1</f>
        <v/>
      </c>
      <c r="E2035" s="87">
        <f>MONTH($B2035)</f>
        <v/>
      </c>
      <c r="F2035" s="93">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$N2035*IF($O$2020=1,$O2035/$F$2020,1)</f>
        <v/>
      </c>
      <c r="T2035" s="95">
        <f>IF($G2035&lt;nr_MStartP,$S2035,$T2023*(1+IF($G2035&lt;nr_MStartP1,$M$2020,$N$2020)))</f>
        <v/>
      </c>
      <c r="U2035" s="95">
        <f>IF($L$2020,$T2035,$N2035)</f>
        <v/>
      </c>
    </row>
    <row r="2036">
      <c r="A2036" s="90" t="n">
        <v>14</v>
      </c>
      <c r="B2036" s="91">
        <f>EDATE($B2035,1)</f>
        <v/>
      </c>
      <c r="C2036" s="92">
        <f>EOMONTH($B2036,0)</f>
        <v/>
      </c>
      <c r="D2036" s="87">
        <f>$C2036-$B2036+1</f>
        <v/>
      </c>
      <c r="E2036" s="87">
        <f>MONTH($B2036)</f>
        <v/>
      </c>
      <c r="F2036" s="93">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$N2036*IF($O$2020=1,$O2036/$F$2020,1)</f>
        <v/>
      </c>
      <c r="T2036" s="95">
        <f>IF($G2036&lt;nr_MStartP,$S2036,$T2024*(1+IF($G2036&lt;nr_MStartP1,$M$2020,$N$2020)))</f>
        <v/>
      </c>
      <c r="U2036" s="95">
        <f>IF($L$2020,$T2036,$N2036)</f>
        <v/>
      </c>
    </row>
    <row r="2037">
      <c r="A2037" s="90" t="n">
        <v>15</v>
      </c>
      <c r="B2037" s="91">
        <f>EDATE($B2036,1)</f>
        <v/>
      </c>
      <c r="C2037" s="92">
        <f>EOMONTH($B2037,0)</f>
        <v/>
      </c>
      <c r="D2037" s="87">
        <f>$C2037-$B2037+1</f>
        <v/>
      </c>
      <c r="E2037" s="87">
        <f>MONTH($B2037)</f>
        <v/>
      </c>
      <c r="F2037" s="93">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$N2037*IF($O$2020=1,$O2037/$F$2020,1)</f>
        <v/>
      </c>
      <c r="T2037" s="95">
        <f>IF($G2037&lt;nr_MStartP,$S2037,$T2025*(1+IF($G2037&lt;nr_MStartP1,$M$2020,$N$2020)))</f>
        <v/>
      </c>
      <c r="U2037" s="95">
        <f>IF($L$2020,$T2037,$N2037)</f>
        <v/>
      </c>
    </row>
    <row r="2038">
      <c r="A2038" s="90" t="n">
        <v>16</v>
      </c>
      <c r="B2038" s="91">
        <f>EDATE($B2037,1)</f>
        <v/>
      </c>
      <c r="C2038" s="92">
        <f>EOMONTH($B2038,0)</f>
        <v/>
      </c>
      <c r="D2038" s="87">
        <f>$C2038-$B2038+1</f>
        <v/>
      </c>
      <c r="E2038" s="87">
        <f>MONTH($B2038)</f>
        <v/>
      </c>
      <c r="F2038" s="93">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$N2038*IF($O$2020=1,$O2038/$F$2020,1)</f>
        <v/>
      </c>
      <c r="T2038" s="95">
        <f>IF($G2038&lt;nr_MStartP,$S2038,$T2026*(1+IF($G2038&lt;nr_MStartP1,$M$2020,$N$2020)))</f>
        <v/>
      </c>
      <c r="U2038" s="95">
        <f>IF($L$2020,$T2038,$N2038)</f>
        <v/>
      </c>
    </row>
    <row r="2039">
      <c r="A2039" s="90" t="n">
        <v>17</v>
      </c>
      <c r="B2039" s="91">
        <f>EDATE($B2038,1)</f>
        <v/>
      </c>
      <c r="C2039" s="92">
        <f>EOMONTH($B2039,0)</f>
        <v/>
      </c>
      <c r="D2039" s="87">
        <f>$C2039-$B2039+1</f>
        <v/>
      </c>
      <c r="E2039" s="87">
        <f>MONTH($B2039)</f>
        <v/>
      </c>
      <c r="F2039" s="93">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$N2039*IF($O$2020=1,$O2039/$F$2020,1)</f>
        <v/>
      </c>
      <c r="T2039" s="95">
        <f>IF($G2039&lt;nr_MStartP,$S2039,$T2027*(1+IF($G2039&lt;nr_MStartP1,$M$2020,$N$2020)))</f>
        <v/>
      </c>
      <c r="U2039" s="95">
        <f>IF($L$2020,$T2039,$N2039)</f>
        <v/>
      </c>
    </row>
    <row r="2040">
      <c r="A2040" s="90" t="n">
        <v>18</v>
      </c>
      <c r="B2040" s="91">
        <f>EDATE($B2039,1)</f>
        <v/>
      </c>
      <c r="C2040" s="92">
        <f>EOMONTH($B2040,0)</f>
        <v/>
      </c>
      <c r="D2040" s="87">
        <f>$C2040-$B2040+1</f>
        <v/>
      </c>
      <c r="E2040" s="87">
        <f>MONTH($B2040)</f>
        <v/>
      </c>
      <c r="F2040" s="93">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$N2040*IF($O$2020=1,$O2040/$F$2020,1)</f>
        <v/>
      </c>
      <c r="T2040" s="95">
        <f>IF($G2040&lt;nr_MStartP,$S2040,$T2028*(1+IF($G2040&lt;nr_MStartP1,$M$2020,$N$2020)))</f>
        <v/>
      </c>
      <c r="U2040" s="95">
        <f>IF($L$2020,$T2040,$N2040)</f>
        <v/>
      </c>
    </row>
    <row r="2041">
      <c r="A2041" s="90" t="n">
        <v>19</v>
      </c>
      <c r="B2041" s="91">
        <f>EDATE($B2040,1)</f>
        <v/>
      </c>
      <c r="C2041" s="92">
        <f>EOMONTH($B2041,0)</f>
        <v/>
      </c>
      <c r="D2041" s="87">
        <f>$C2041-$B2041+1</f>
        <v/>
      </c>
      <c r="E2041" s="87">
        <f>MONTH($B2041)</f>
        <v/>
      </c>
      <c r="F2041" s="93">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$N2041*IF($O$2020=1,$O2041/$F$2020,1)</f>
        <v/>
      </c>
      <c r="T2041" s="95">
        <f>IF($G2041&lt;nr_MStartP,$S2041,$T2029*(1+IF($G2041&lt;nr_MStartP1,$M$2020,$N$2020)))</f>
        <v/>
      </c>
      <c r="U2041" s="95">
        <f>IF($L$2020,$T2041,$N2041)</f>
        <v/>
      </c>
    </row>
    <row r="2042">
      <c r="A2042" s="90" t="n">
        <v>20</v>
      </c>
      <c r="B2042" s="91">
        <f>EDATE($B2041,1)</f>
        <v/>
      </c>
      <c r="C2042" s="92">
        <f>EOMONTH($B2042,0)</f>
        <v/>
      </c>
      <c r="D2042" s="87">
        <f>$C2042-$B2042+1</f>
        <v/>
      </c>
      <c r="E2042" s="87">
        <f>MONTH($B2042)</f>
        <v/>
      </c>
      <c r="F2042" s="93">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$N2042*IF($O$2020=1,$O2042/$F$2020,1)</f>
        <v/>
      </c>
      <c r="T2042" s="95">
        <f>IF($G2042&lt;nr_MStartP,$S2042,$T2030*(1+IF($G2042&lt;nr_MStartP1,$M$2020,$N$2020)))</f>
        <v/>
      </c>
      <c r="U2042" s="95">
        <f>IF($L$2020,$T2042,$N2042)</f>
        <v/>
      </c>
    </row>
    <row r="2043">
      <c r="A2043" s="90" t="n">
        <v>21</v>
      </c>
      <c r="B2043" s="91">
        <f>EDATE($B2042,1)</f>
        <v/>
      </c>
      <c r="C2043" s="92">
        <f>EOMONTH($B2043,0)</f>
        <v/>
      </c>
      <c r="D2043" s="87">
        <f>$C2043-$B2043+1</f>
        <v/>
      </c>
      <c r="E2043" s="87">
        <f>MONTH($B2043)</f>
        <v/>
      </c>
      <c r="F2043" s="93">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$N2043*IF($O$2020=1,$O2043/$F$2020,1)</f>
        <v/>
      </c>
      <c r="T2043" s="95">
        <f>IF($G2043&lt;nr_MStartP,$S2043,$T2031*(1+IF($G2043&lt;nr_MStartP1,$M$2020,$N$2020)))</f>
        <v/>
      </c>
      <c r="U2043" s="95">
        <f>IF($L$2020,$T2043,$N2043)</f>
        <v/>
      </c>
    </row>
    <row r="2044">
      <c r="A2044" s="90" t="n">
        <v>22</v>
      </c>
      <c r="B2044" s="91">
        <f>EDATE($B2043,1)</f>
        <v/>
      </c>
      <c r="C2044" s="92">
        <f>EOMONTH($B2044,0)</f>
        <v/>
      </c>
      <c r="D2044" s="87">
        <f>$C2044-$B2044+1</f>
        <v/>
      </c>
      <c r="E2044" s="87">
        <f>MONTH($B2044)</f>
        <v/>
      </c>
      <c r="F2044" s="93">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$N2044*IF($O$2020=1,$O2044/$F$2020,1)</f>
        <v/>
      </c>
      <c r="T2044" s="95">
        <f>IF($G2044&lt;nr_MStartP,$S2044,$T2032*(1+IF($G2044&lt;nr_MStartP1,$M$2020,$N$2020)))</f>
        <v/>
      </c>
      <c r="U2044" s="95">
        <f>IF($L$2020,$T2044,$N2044)</f>
        <v/>
      </c>
    </row>
    <row r="2045">
      <c r="A2045" s="90" t="n">
        <v>23</v>
      </c>
      <c r="B2045" s="91">
        <f>EDATE($B2044,1)</f>
        <v/>
      </c>
      <c r="C2045" s="92">
        <f>EOMONTH($B2045,0)</f>
        <v/>
      </c>
      <c r="D2045" s="87">
        <f>$C2045-$B2045+1</f>
        <v/>
      </c>
      <c r="E2045" s="87">
        <f>MONTH($B2045)</f>
        <v/>
      </c>
      <c r="F2045" s="93">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$N2045*IF($O$2020=1,$O2045/$F$2020,1)</f>
        <v/>
      </c>
      <c r="T2045" s="95">
        <f>IF($G2045&lt;nr_MStartP,$S2045,$T2033*(1+IF($G2045&lt;nr_MStartP1,$M$2020,$N$2020)))</f>
        <v/>
      </c>
      <c r="U2045" s="95">
        <f>IF($L$2020,$T2045,$N2045)</f>
        <v/>
      </c>
    </row>
    <row r="2046">
      <c r="A2046" s="90" t="n">
        <v>24</v>
      </c>
      <c r="B2046" s="91">
        <f>EDATE($B2045,1)</f>
        <v/>
      </c>
      <c r="C2046" s="92">
        <f>EOMONTH($B2046,0)</f>
        <v/>
      </c>
      <c r="D2046" s="87">
        <f>$C2046-$B2046+1</f>
        <v/>
      </c>
      <c r="E2046" s="87">
        <f>MONTH($B2046)</f>
        <v/>
      </c>
      <c r="F2046" s="93">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$N2046*IF($O$2020=1,$O2046/$F$2020,1)</f>
        <v/>
      </c>
      <c r="T2046" s="95">
        <f>IF($G2046&lt;nr_MStartP,$S2046,$T2034*(1+IF($G2046&lt;nr_MStartP1,$M$2020,$N$2020)))</f>
        <v/>
      </c>
      <c r="U2046" s="95">
        <f>IF($L$2020,$T2046,$N2046)</f>
        <v/>
      </c>
    </row>
    <row r="2047">
      <c r="A2047" s="90" t="n">
        <v>25</v>
      </c>
      <c r="B2047" s="91">
        <f>EDATE($B2046,1)</f>
        <v/>
      </c>
      <c r="C2047" s="92">
        <f>EOMONTH($B2047,0)</f>
        <v/>
      </c>
      <c r="D2047" s="87">
        <f>$C2047-$B2047+1</f>
        <v/>
      </c>
      <c r="E2047" s="87">
        <f>MONTH($B2047)</f>
        <v/>
      </c>
      <c r="F2047" s="93">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$N2047*IF($O$2020=1,$O2047/$F$2020,1)</f>
        <v/>
      </c>
      <c r="T2047" s="95">
        <f>IF($G2047&lt;nr_MStartP,$S2047,$T2035*(1+IF($G2047&lt;nr_MStartP1,$M$2020,$N$2020)))</f>
        <v/>
      </c>
      <c r="U2047" s="95">
        <f>IF($L$2020,$T2047,$N2047)</f>
        <v/>
      </c>
    </row>
    <row r="2048">
      <c r="A2048" s="90" t="n">
        <v>26</v>
      </c>
      <c r="B2048" s="91">
        <f>EDATE($B2047,1)</f>
        <v/>
      </c>
      <c r="C2048" s="92">
        <f>EOMONTH($B2048,0)</f>
        <v/>
      </c>
      <c r="D2048" s="87">
        <f>$C2048-$B2048+1</f>
        <v/>
      </c>
      <c r="E2048" s="87">
        <f>MONTH($B2048)</f>
        <v/>
      </c>
      <c r="F2048" s="93">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$N2048*IF($O$2020=1,$O2048/$F$2020,1)</f>
        <v/>
      </c>
      <c r="T2048" s="95">
        <f>IF($G2048&lt;nr_MStartP,$S2048,$T2036*(1+IF($G2048&lt;nr_MStartP1,$M$2020,$N$2020)))</f>
        <v/>
      </c>
      <c r="U2048" s="95">
        <f>IF($L$2020,$T2048,$N2048)</f>
        <v/>
      </c>
    </row>
    <row r="2049">
      <c r="A2049" s="90" t="n">
        <v>27</v>
      </c>
      <c r="B2049" s="91">
        <f>EDATE($B2048,1)</f>
        <v/>
      </c>
      <c r="C2049" s="92">
        <f>EOMONTH($B2049,0)</f>
        <v/>
      </c>
      <c r="D2049" s="87">
        <f>$C2049-$B2049+1</f>
        <v/>
      </c>
      <c r="E2049" s="87">
        <f>MONTH($B2049)</f>
        <v/>
      </c>
      <c r="F2049" s="93">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$N2049*IF($O$2020=1,$O2049/$F$2020,1)</f>
        <v/>
      </c>
      <c r="T2049" s="95">
        <f>IF($G2049&lt;nr_MStartP,$S2049,$T2037*(1+IF($G2049&lt;nr_MStartP1,$M$2020,$N$2020)))</f>
        <v/>
      </c>
      <c r="U2049" s="95">
        <f>IF($L$2020,$T2049,$N2049)</f>
        <v/>
      </c>
    </row>
    <row r="2050">
      <c r="A2050" s="90" t="n">
        <v>28</v>
      </c>
      <c r="B2050" s="91">
        <f>EDATE($B2049,1)</f>
        <v/>
      </c>
      <c r="C2050" s="92">
        <f>EOMONTH($B2050,0)</f>
        <v/>
      </c>
      <c r="D2050" s="87">
        <f>$C2050-$B2050+1</f>
        <v/>
      </c>
      <c r="E2050" s="87">
        <f>MONTH($B2050)</f>
        <v/>
      </c>
      <c r="F2050" s="93">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$N2050*IF($O$2020=1,$O2050/$F$2020,1)</f>
        <v/>
      </c>
      <c r="T2050" s="95">
        <f>IF($G2050&lt;nr_MStartP,$S2050,$T2038*(1+IF($G2050&lt;nr_MStartP1,$M$2020,$N$2020)))</f>
        <v/>
      </c>
      <c r="U2050" s="95">
        <f>IF($L$2020,$T2050,$N2050)</f>
        <v/>
      </c>
    </row>
    <row r="2051">
      <c r="A2051" s="90" t="n">
        <v>29</v>
      </c>
      <c r="B2051" s="91">
        <f>EDATE($B2050,1)</f>
        <v/>
      </c>
      <c r="C2051" s="92">
        <f>EOMONTH($B2051,0)</f>
        <v/>
      </c>
      <c r="D2051" s="87">
        <f>$C2051-$B2051+1</f>
        <v/>
      </c>
      <c r="E2051" s="87">
        <f>MONTH($B2051)</f>
        <v/>
      </c>
      <c r="F2051" s="93">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$N2051*IF($O$2020=1,$O2051/$F$2020,1)</f>
        <v/>
      </c>
      <c r="T2051" s="95">
        <f>IF($G2051&lt;nr_MStartP,$S2051,$T2039*(1+IF($G2051&lt;nr_MStartP1,$M$2020,$N$2020)))</f>
        <v/>
      </c>
      <c r="U2051" s="95">
        <f>IF($L$2020,$T2051,$N2051)</f>
        <v/>
      </c>
    </row>
    <row r="2052">
      <c r="A2052" s="90" t="n">
        <v>30</v>
      </c>
      <c r="B2052" s="91">
        <f>EDATE($B2051,1)</f>
        <v/>
      </c>
      <c r="C2052" s="92">
        <f>EOMONTH($B2052,0)</f>
        <v/>
      </c>
      <c r="D2052" s="87">
        <f>$C2052-$B2052+1</f>
        <v/>
      </c>
      <c r="E2052" s="87">
        <f>MONTH($B2052)</f>
        <v/>
      </c>
      <c r="F2052" s="93">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$N2052*IF($O$2020=1,$O2052/$F$2020,1)</f>
        <v/>
      </c>
      <c r="T2052" s="95">
        <f>IF($G2052&lt;nr_MStartP,$S2052,$T2040*(1+IF($G2052&lt;nr_MStartP1,$M$2020,$N$2020)))</f>
        <v/>
      </c>
      <c r="U2052" s="95">
        <f>IF($L$2020,$T2052,$N2052)</f>
        <v/>
      </c>
    </row>
    <row r="2053">
      <c r="A2053" s="90" t="n">
        <v>31</v>
      </c>
      <c r="B2053" s="91">
        <f>EDATE($B2052,1)</f>
        <v/>
      </c>
      <c r="C2053" s="92">
        <f>EOMONTH($B2053,0)</f>
        <v/>
      </c>
      <c r="D2053" s="87">
        <f>$C2053-$B2053+1</f>
        <v/>
      </c>
      <c r="E2053" s="87">
        <f>MONTH($B2053)</f>
        <v/>
      </c>
      <c r="F2053" s="93">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$N2053*IF($O$2020=1,$O2053/$F$2020,1)</f>
        <v/>
      </c>
      <c r="T2053" s="95">
        <f>IF($G2053&lt;nr_MStartP,$S2053,$T2041*(1+IF($G2053&lt;nr_MStartP1,$M$2020,$N$2020)))</f>
        <v/>
      </c>
      <c r="U2053" s="95">
        <f>IF($L$2020,$T2053,$N2053)</f>
        <v/>
      </c>
    </row>
    <row r="2054">
      <c r="A2054" s="90" t="n">
        <v>32</v>
      </c>
      <c r="B2054" s="91">
        <f>EDATE($B2053,1)</f>
        <v/>
      </c>
      <c r="C2054" s="92">
        <f>EOMONTH($B2054,0)</f>
        <v/>
      </c>
      <c r="D2054" s="87">
        <f>$C2054-$B2054+1</f>
        <v/>
      </c>
      <c r="E2054" s="87">
        <f>MONTH($B2054)</f>
        <v/>
      </c>
      <c r="F2054" s="93">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$N2054*IF($O$2020=1,$O2054/$F$2020,1)</f>
        <v/>
      </c>
      <c r="T2054" s="95">
        <f>IF($G2054&lt;nr_MStartP,$S2054,$T2042*(1+IF($G2054&lt;nr_MStartP1,$M$2020,$N$2020)))</f>
        <v/>
      </c>
      <c r="U2054" s="95">
        <f>IF($L$2020,$T2054,$N2054)</f>
        <v/>
      </c>
    </row>
    <row r="2055">
      <c r="A2055" s="90" t="n">
        <v>33</v>
      </c>
      <c r="B2055" s="91">
        <f>EDATE($B2054,1)</f>
        <v/>
      </c>
      <c r="C2055" s="92">
        <f>EOMONTH($B2055,0)</f>
        <v/>
      </c>
      <c r="D2055" s="87">
        <f>$C2055-$B2055+1</f>
        <v/>
      </c>
      <c r="E2055" s="87">
        <f>MONTH($B2055)</f>
        <v/>
      </c>
      <c r="F2055" s="93">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$N2055*IF($O$2020=1,$O2055/$F$2020,1)</f>
        <v/>
      </c>
      <c r="T2055" s="95">
        <f>IF($G2055&lt;nr_MStartP,$S2055,$T2043*(1+IF($G2055&lt;nr_MStartP1,$M$2020,$N$2020)))</f>
        <v/>
      </c>
      <c r="U2055" s="95">
        <f>IF($L$2020,$T2055,$N2055)</f>
        <v/>
      </c>
    </row>
    <row r="2056">
      <c r="A2056" s="90" t="n">
        <v>34</v>
      </c>
      <c r="B2056" s="91">
        <f>EDATE($B2055,1)</f>
        <v/>
      </c>
      <c r="C2056" s="92">
        <f>EOMONTH($B2056,0)</f>
        <v/>
      </c>
      <c r="D2056" s="87">
        <f>$C2056-$B2056+1</f>
        <v/>
      </c>
      <c r="E2056" s="87">
        <f>MONTH($B2056)</f>
        <v/>
      </c>
      <c r="F2056" s="93">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$N2056*IF($O$2020=1,$O2056/$F$2020,1)</f>
        <v/>
      </c>
      <c r="T2056" s="95">
        <f>IF($G2056&lt;nr_MStartP,$S2056,$T2044*(1+IF($G2056&lt;nr_MStartP1,$M$2020,$N$2020)))</f>
        <v/>
      </c>
      <c r="U2056" s="95">
        <f>IF($L$2020,$T2056,$N2056)</f>
        <v/>
      </c>
    </row>
    <row r="2057">
      <c r="A2057" s="90" t="n">
        <v>35</v>
      </c>
      <c r="B2057" s="91">
        <f>EDATE($B2056,1)</f>
        <v/>
      </c>
      <c r="C2057" s="92">
        <f>EOMONTH($B2057,0)</f>
        <v/>
      </c>
      <c r="D2057" s="87">
        <f>$C2057-$B2057+1</f>
        <v/>
      </c>
      <c r="E2057" s="87">
        <f>MONTH($B2057)</f>
        <v/>
      </c>
      <c r="F2057" s="93">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$N2057*IF($O$2020=1,$O2057/$F$2020,1)</f>
        <v/>
      </c>
      <c r="T2057" s="95">
        <f>IF($G2057&lt;nr_MStartP,$S2057,$T2045*(1+IF($G2057&lt;nr_MStartP1,$M$2020,$N$2020)))</f>
        <v/>
      </c>
      <c r="U2057" s="95">
        <f>IF($L$2020,$T2057,$N2057)</f>
        <v/>
      </c>
    </row>
    <row r="2058">
      <c r="A2058" s="90" t="n">
        <v>36</v>
      </c>
      <c r="B2058" s="91">
        <f>EDATE($B2057,1)</f>
        <v/>
      </c>
      <c r="C2058" s="92">
        <f>EOMONTH($B2058,0)</f>
        <v/>
      </c>
      <c r="D2058" s="87">
        <f>$C2058-$B2058+1</f>
        <v/>
      </c>
      <c r="E2058" s="87">
        <f>MONTH($B2058)</f>
        <v/>
      </c>
      <c r="F2058" s="93">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$N2058*IF($O$2020=1,$O2058/$F$2020,1)</f>
        <v/>
      </c>
      <c r="T2058" s="95">
        <f>IF($G2058&lt;nr_MStartP,$S2058,$T2046*(1+IF($G2058&lt;nr_MStartP1,$M$2020,$N$2020)))</f>
        <v/>
      </c>
      <c r="U2058" s="95">
        <f>IF($L$2020,$T2058,$N2058)</f>
        <v/>
      </c>
    </row>
    <row r="2059">
      <c r="A2059" s="90" t="n">
        <v>37</v>
      </c>
      <c r="B2059" s="91">
        <f>EDATE($B2058,1)</f>
        <v/>
      </c>
      <c r="C2059" s="92">
        <f>EOMONTH($B2059,0)</f>
        <v/>
      </c>
      <c r="D2059" s="87">
        <f>$C2059-$B2059+1</f>
        <v/>
      </c>
      <c r="E2059" s="87">
        <f>MONTH($B2059)</f>
        <v/>
      </c>
      <c r="F2059" s="93">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$N2059*IF($O$2020=1,$O2059/$F$2020,1)</f>
        <v/>
      </c>
      <c r="T2059" s="95">
        <f>IF($G2059&lt;nr_MStartP,$S2059,$T2047*(1+IF($G2059&lt;nr_MStartP1,$M$2020,$N$2020)))</f>
        <v/>
      </c>
      <c r="U2059" s="95">
        <f>IF($L$2020,$T2059,$N2059)</f>
        <v/>
      </c>
    </row>
    <row r="2060">
      <c r="A2060" s="90" t="n">
        <v>38</v>
      </c>
      <c r="B2060" s="91">
        <f>EDATE($B2059,1)</f>
        <v/>
      </c>
      <c r="C2060" s="92">
        <f>EOMONTH($B2060,0)</f>
        <v/>
      </c>
      <c r="D2060" s="87">
        <f>$C2060-$B2060+1</f>
        <v/>
      </c>
      <c r="E2060" s="87">
        <f>MONTH($B2060)</f>
        <v/>
      </c>
      <c r="F2060" s="93">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$N2060*IF($O$2020=1,$O2060/$F$2020,1)</f>
        <v/>
      </c>
      <c r="T2060" s="95">
        <f>IF($G2060&lt;nr_MStartP,$S2060,$T2048*(1+IF($G2060&lt;nr_MStartP1,$M$2020,$N$2020)))</f>
        <v/>
      </c>
      <c r="U2060" s="95">
        <f>IF($L$2020,$T2060,$N2060)</f>
        <v/>
      </c>
    </row>
    <row r="2061">
      <c r="A2061" s="90" t="n">
        <v>39</v>
      </c>
      <c r="B2061" s="91">
        <f>EDATE($B2060,1)</f>
        <v/>
      </c>
      <c r="C2061" s="92">
        <f>EOMONTH($B2061,0)</f>
        <v/>
      </c>
      <c r="D2061" s="87">
        <f>$C2061-$B2061+1</f>
        <v/>
      </c>
      <c r="E2061" s="87">
        <f>MONTH($B2061)</f>
        <v/>
      </c>
      <c r="F2061" s="93">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$N2061*IF($O$2020=1,$O2061/$F$2020,1)</f>
        <v/>
      </c>
      <c r="T2061" s="95">
        <f>IF($G2061&lt;nr_MStartP,$S2061,$T2049*(1+IF($G2061&lt;nr_MStartP1,$M$2020,$N$2020)))</f>
        <v/>
      </c>
      <c r="U2061" s="95">
        <f>IF($L$2020,$T2061,$N2061)</f>
        <v/>
      </c>
    </row>
    <row r="2062">
      <c r="A2062" s="90" t="n">
        <v>40</v>
      </c>
      <c r="B2062" s="91">
        <f>EDATE($B2061,1)</f>
        <v/>
      </c>
      <c r="C2062" s="92">
        <f>EOMONTH($B2062,0)</f>
        <v/>
      </c>
      <c r="D2062" s="87">
        <f>$C2062-$B2062+1</f>
        <v/>
      </c>
      <c r="E2062" s="87">
        <f>MONTH($B2062)</f>
        <v/>
      </c>
      <c r="F2062" s="93">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$N2062*IF($O$2020=1,$O2062/$F$2020,1)</f>
        <v/>
      </c>
      <c r="T2062" s="95">
        <f>IF($G2062&lt;nr_MStartP,$S2062,$T2050*(1+IF($G2062&lt;nr_MStartP1,$M$2020,$N$2020)))</f>
        <v/>
      </c>
      <c r="U2062" s="95">
        <f>IF($L$2020,$T2062,$N2062)</f>
        <v/>
      </c>
    </row>
    <row r="2063">
      <c r="A2063" s="90" t="n">
        <v>41</v>
      </c>
      <c r="B2063" s="91">
        <f>EDATE($B2062,1)</f>
        <v/>
      </c>
      <c r="C2063" s="92">
        <f>EOMONTH($B2063,0)</f>
        <v/>
      </c>
      <c r="D2063" s="87">
        <f>$C2063-$B2063+1</f>
        <v/>
      </c>
      <c r="E2063" s="87">
        <f>MONTH($B2063)</f>
        <v/>
      </c>
      <c r="F2063" s="93">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$N2063*IF($O$2020=1,$O2063/$F$2020,1)</f>
        <v/>
      </c>
      <c r="T2063" s="95">
        <f>IF($G2063&lt;nr_MStartP,$S2063,$T2051*(1+IF($G2063&lt;nr_MStartP1,$M$2020,$N$2020)))</f>
        <v/>
      </c>
      <c r="U2063" s="95">
        <f>IF($L$2020,$T2063,$N2063)</f>
        <v/>
      </c>
    </row>
    <row r="2064">
      <c r="A2064" s="90" t="n">
        <v>42</v>
      </c>
      <c r="B2064" s="91">
        <f>EDATE($B2063,1)</f>
        <v/>
      </c>
      <c r="C2064" s="92">
        <f>EOMONTH($B2064,0)</f>
        <v/>
      </c>
      <c r="D2064" s="87">
        <f>$C2064-$B2064+1</f>
        <v/>
      </c>
      <c r="E2064" s="87">
        <f>MONTH($B2064)</f>
        <v/>
      </c>
      <c r="F2064" s="93">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$N2064*IF($O$2020=1,$O2064/$F$2020,1)</f>
        <v/>
      </c>
      <c r="T2064" s="95">
        <f>IF($G2064&lt;nr_MStartP,$S2064,$T2052*(1+IF($G2064&lt;nr_MStartP1,$M$2020,$N$2020)))</f>
        <v/>
      </c>
      <c r="U2064" s="95">
        <f>IF($L$2020,$T2064,$N2064)</f>
        <v/>
      </c>
    </row>
    <row r="2065">
      <c r="A2065" s="90" t="n">
        <v>43</v>
      </c>
      <c r="B2065" s="91">
        <f>EDATE($B2064,1)</f>
        <v/>
      </c>
      <c r="C2065" s="92">
        <f>EOMONTH($B2065,0)</f>
        <v/>
      </c>
      <c r="D2065" s="87">
        <f>$C2065-$B2065+1</f>
        <v/>
      </c>
      <c r="E2065" s="87">
        <f>MONTH($B2065)</f>
        <v/>
      </c>
      <c r="F2065" s="93">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$N2065*IF($O$2020=1,$O2065/$F$2020,1)</f>
        <v/>
      </c>
      <c r="T2065" s="95">
        <f>IF($G2065&lt;nr_MStartP,$S2065,$T2053*(1+IF($G2065&lt;nr_MStartP1,$M$2020,$N$2020)))</f>
        <v/>
      </c>
      <c r="U2065" s="95">
        <f>IF($L$2020,$T2065,$N2065)</f>
        <v/>
      </c>
    </row>
    <row r="2066">
      <c r="A2066" s="90" t="n">
        <v>44</v>
      </c>
      <c r="B2066" s="91">
        <f>EDATE($B2065,1)</f>
        <v/>
      </c>
      <c r="C2066" s="92">
        <f>EOMONTH($B2066,0)</f>
        <v/>
      </c>
      <c r="D2066" s="87">
        <f>$C2066-$B2066+1</f>
        <v/>
      </c>
      <c r="E2066" s="87">
        <f>MONTH($B2066)</f>
        <v/>
      </c>
      <c r="F2066" s="93">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$N2066*IF($O$2020=1,$O2066/$F$2020,1)</f>
        <v/>
      </c>
      <c r="T2066" s="95">
        <f>IF($G2066&lt;nr_MStartP,$S2066,$T2054*(1+IF($G2066&lt;nr_MStartP1,$M$2020,$N$2020)))</f>
        <v/>
      </c>
      <c r="U2066" s="95">
        <f>IF($L$2020,$T2066,$N2066)</f>
        <v/>
      </c>
    </row>
    <row r="2067">
      <c r="A2067" s="90" t="n">
        <v>45</v>
      </c>
      <c r="B2067" s="91">
        <f>EDATE($B2066,1)</f>
        <v/>
      </c>
      <c r="C2067" s="92">
        <f>EOMONTH($B2067,0)</f>
        <v/>
      </c>
      <c r="D2067" s="87">
        <f>$C2067-$B2067+1</f>
        <v/>
      </c>
      <c r="E2067" s="87">
        <f>MONTH($B2067)</f>
        <v/>
      </c>
      <c r="F2067" s="93">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$N2067*IF($O$2020=1,$O2067/$F$2020,1)</f>
        <v/>
      </c>
      <c r="T2067" s="95">
        <f>IF($G2067&lt;nr_MStartP,$S2067,$T2055*(1+IF($G2067&lt;nr_MStartP1,$M$2020,$N$2020)))</f>
        <v/>
      </c>
      <c r="U2067" s="95">
        <f>IF($L$2020,$T2067,$N2067)</f>
        <v/>
      </c>
    </row>
    <row r="2068">
      <c r="A2068" s="90" t="n">
        <v>46</v>
      </c>
      <c r="B2068" s="91">
        <f>EDATE($B2067,1)</f>
        <v/>
      </c>
      <c r="C2068" s="92">
        <f>EOMONTH($B2068,0)</f>
        <v/>
      </c>
      <c r="D2068" s="87">
        <f>$C2068-$B2068+1</f>
        <v/>
      </c>
      <c r="E2068" s="87">
        <f>MONTH($B2068)</f>
        <v/>
      </c>
      <c r="F2068" s="93">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$N2068*IF($O$2020=1,$O2068/$F$2020,1)</f>
        <v/>
      </c>
      <c r="T2068" s="95">
        <f>IF($G2068&lt;nr_MStartP,$S2068,$T2056*(1+IF($G2068&lt;nr_MStartP1,$M$2020,$N$2020)))</f>
        <v/>
      </c>
      <c r="U2068" s="95">
        <f>IF($L$2020,$T2068,$N2068)</f>
        <v/>
      </c>
    </row>
    <row r="2069">
      <c r="A2069" s="90" t="n">
        <v>47</v>
      </c>
      <c r="B2069" s="91">
        <f>EDATE($B2068,1)</f>
        <v/>
      </c>
      <c r="C2069" s="92">
        <f>EOMONTH($B2069,0)</f>
        <v/>
      </c>
      <c r="D2069" s="87">
        <f>$C2069-$B2069+1</f>
        <v/>
      </c>
      <c r="E2069" s="87">
        <f>MONTH($B2069)</f>
        <v/>
      </c>
      <c r="F2069" s="93">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$N2069*IF($O$2020=1,$O2069/$F$2020,1)</f>
        <v/>
      </c>
      <c r="T2069" s="95">
        <f>IF($G2069&lt;nr_MStartP,$S2069,$T2057*(1+IF($G2069&lt;nr_MStartP1,$M$2020,$N$2020)))</f>
        <v/>
      </c>
      <c r="U2069" s="95">
        <f>IF($L$2020,$T2069,$N2069)</f>
        <v/>
      </c>
    </row>
    <row r="2070">
      <c r="A2070" s="90" t="n">
        <v>48</v>
      </c>
      <c r="B2070" s="91">
        <f>EDATE($B2069,1)</f>
        <v/>
      </c>
      <c r="C2070" s="92">
        <f>EOMONTH($B2070,0)</f>
        <v/>
      </c>
      <c r="D2070" s="87">
        <f>$C2070-$B2070+1</f>
        <v/>
      </c>
      <c r="E2070" s="87">
        <f>MONTH($B2070)</f>
        <v/>
      </c>
      <c r="F2070" s="93">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$N2070*IF($O$2020=1,$O2070/$F$2020,1)</f>
        <v/>
      </c>
      <c r="T2070" s="95">
        <f>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04">
        <f>SUMPRODUCT($H$2023:$H$2070,$Q$2023:$Q$2070,$O$2023:$O$2070)/SUMPRODUCT($H$2023:$H$2070,$Q$2023:$Q$2070)</f>
        <v/>
      </c>
      <c r="G2071" s="20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04">
        <f>IF(N(INDEX(lr_mind,38))=0,1,INDEX(lr_mind,38))</f>
        <v/>
      </c>
      <c r="G2074" s="204">
        <f>IF(N(INDEX(lr_m0,38))=0,1,INDEX(lr_m0,38))</f>
        <v/>
      </c>
      <c r="H2074" s="73">
        <f>IF(N(INDEX(lr_m0asof,38))=0,DATE(nr_PlanYear-1,10,1),INDEX(lr_m0asof,38))</f>
        <v/>
      </c>
      <c r="I2074" s="204">
        <f>IF(N(INDEX(lr_m1,38))=0,1,INDEX(lr_m1,38))</f>
        <v/>
      </c>
      <c r="J2074" s="204">
        <f>INDEX(lr_mprior,38)</f>
        <v/>
      </c>
      <c r="K2074" s="20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93">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$N2077*IF($O$2074=1,$O2077/$F$2074,1)</f>
        <v/>
      </c>
      <c r="T2077" s="95">
        <f>IF($G2077&lt;nr_MStartP,$S2077,$T2065*(1+IF($G2077&lt;nr_MStartP1,$M$2074,$N$2074)))</f>
        <v/>
      </c>
      <c r="U2077" s="95">
        <f>IF($L$2074,$T2077,$N2077)</f>
        <v/>
      </c>
    </row>
    <row r="2078">
      <c r="A2078" s="90" t="n">
        <v>2</v>
      </c>
      <c r="B2078" s="91">
        <f>EDATE($B2077,1)</f>
        <v/>
      </c>
      <c r="C2078" s="92">
        <f>EOMONTH($B2078,0)</f>
        <v/>
      </c>
      <c r="D2078" s="87">
        <f>$C2078-$B2078+1</f>
        <v/>
      </c>
      <c r="E2078" s="87">
        <f>MONTH($B2078)</f>
        <v/>
      </c>
      <c r="F2078" s="93">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$N2078*IF($O$2074=1,$O2078/$F$2074,1)</f>
        <v/>
      </c>
      <c r="T2078" s="95">
        <f>IF($G2078&lt;nr_MStartP,$S2078,$T2066*(1+IF($G2078&lt;nr_MStartP1,$M$2074,$N$2074)))</f>
        <v/>
      </c>
      <c r="U2078" s="95">
        <f>IF($L$2074,$T2078,$N2078)</f>
        <v/>
      </c>
    </row>
    <row r="2079">
      <c r="A2079" s="90" t="n">
        <v>3</v>
      </c>
      <c r="B2079" s="91">
        <f>EDATE($B2078,1)</f>
        <v/>
      </c>
      <c r="C2079" s="92">
        <f>EOMONTH($B2079,0)</f>
        <v/>
      </c>
      <c r="D2079" s="87">
        <f>$C2079-$B2079+1</f>
        <v/>
      </c>
      <c r="E2079" s="87">
        <f>MONTH($B2079)</f>
        <v/>
      </c>
      <c r="F2079" s="93">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$N2079*IF($O$2074=1,$O2079/$F$2074,1)</f>
        <v/>
      </c>
      <c r="T2079" s="95">
        <f>IF($G2079&lt;nr_MStartP,$S2079,$T2067*(1+IF($G2079&lt;nr_MStartP1,$M$2074,$N$2074)))</f>
        <v/>
      </c>
      <c r="U2079" s="95">
        <f>IF($L$2074,$T2079,$N2079)</f>
        <v/>
      </c>
    </row>
    <row r="2080">
      <c r="A2080" s="90" t="n">
        <v>4</v>
      </c>
      <c r="B2080" s="91">
        <f>EDATE($B2079,1)</f>
        <v/>
      </c>
      <c r="C2080" s="92">
        <f>EOMONTH($B2080,0)</f>
        <v/>
      </c>
      <c r="D2080" s="87">
        <f>$C2080-$B2080+1</f>
        <v/>
      </c>
      <c r="E2080" s="87">
        <f>MONTH($B2080)</f>
        <v/>
      </c>
      <c r="F2080" s="93">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$N2080*IF($O$2074=1,$O2080/$F$2074,1)</f>
        <v/>
      </c>
      <c r="T2080" s="95">
        <f>IF($G2080&lt;nr_MStartP,$S2080,$T2068*(1+IF($G2080&lt;nr_MStartP1,$M$2074,$N$2074)))</f>
        <v/>
      </c>
      <c r="U2080" s="95">
        <f>IF($L$2074,$T2080,$N2080)</f>
        <v/>
      </c>
    </row>
    <row r="2081">
      <c r="A2081" s="90" t="n">
        <v>5</v>
      </c>
      <c r="B2081" s="91">
        <f>EDATE($B2080,1)</f>
        <v/>
      </c>
      <c r="C2081" s="92">
        <f>EOMONTH($B2081,0)</f>
        <v/>
      </c>
      <c r="D2081" s="87">
        <f>$C2081-$B2081+1</f>
        <v/>
      </c>
      <c r="E2081" s="87">
        <f>MONTH($B2081)</f>
        <v/>
      </c>
      <c r="F2081" s="93">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$N2081*IF($O$2074=1,$O2081/$F$2074,1)</f>
        <v/>
      </c>
      <c r="T2081" s="95">
        <f>IF($G2081&lt;nr_MStartP,$S2081,$T2069*(1+IF($G2081&lt;nr_MStartP1,$M$2074,$N$2074)))</f>
        <v/>
      </c>
      <c r="U2081" s="95">
        <f>IF($L$2074,$T2081,$N2081)</f>
        <v/>
      </c>
    </row>
    <row r="2082">
      <c r="A2082" s="90" t="n">
        <v>6</v>
      </c>
      <c r="B2082" s="91">
        <f>EDATE($B2081,1)</f>
        <v/>
      </c>
      <c r="C2082" s="92">
        <f>EOMONTH($B2082,0)</f>
        <v/>
      </c>
      <c r="D2082" s="87">
        <f>$C2082-$B2082+1</f>
        <v/>
      </c>
      <c r="E2082" s="87">
        <f>MONTH($B2082)</f>
        <v/>
      </c>
      <c r="F2082" s="93">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$N2082*IF($O$2074=1,$O2082/$F$2074,1)</f>
        <v/>
      </c>
      <c r="T2082" s="95">
        <f>IF($G2082&lt;nr_MStartP,$S2082,$T2070*(1+IF($G2082&lt;nr_MStartP1,$M$2074,$N$2074)))</f>
        <v/>
      </c>
      <c r="U2082" s="95">
        <f>IF($L$2074,$T2082,$N2082)</f>
        <v/>
      </c>
    </row>
    <row r="2083">
      <c r="A2083" s="90" t="n">
        <v>7</v>
      </c>
      <c r="B2083" s="91">
        <f>EDATE($B2082,1)</f>
        <v/>
      </c>
      <c r="C2083" s="92">
        <f>EOMONTH($B2083,0)</f>
        <v/>
      </c>
      <c r="D2083" s="87">
        <f>$C2083-$B2083+1</f>
        <v/>
      </c>
      <c r="E2083" s="87">
        <f>MONTH($B2083)</f>
        <v/>
      </c>
      <c r="F2083" s="93">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$N2083*IF($O$2074=1,$O2083/$F$2074,1)</f>
        <v/>
      </c>
      <c r="T2083" s="95">
        <f>IF($G2083&lt;nr_MStartP,$S2083,$T2071*(1+IF($G2083&lt;nr_MStartP1,$M$2074,$N$2074)))</f>
        <v/>
      </c>
      <c r="U2083" s="95">
        <f>IF($L$2074,$T2083,$N2083)</f>
        <v/>
      </c>
    </row>
    <row r="2084">
      <c r="A2084" s="90" t="n">
        <v>8</v>
      </c>
      <c r="B2084" s="91">
        <f>EDATE($B2083,1)</f>
        <v/>
      </c>
      <c r="C2084" s="92">
        <f>EOMONTH($B2084,0)</f>
        <v/>
      </c>
      <c r="D2084" s="87">
        <f>$C2084-$B2084+1</f>
        <v/>
      </c>
      <c r="E2084" s="87">
        <f>MONTH($B2084)</f>
        <v/>
      </c>
      <c r="F2084" s="93">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$N2084*IF($O$2074=1,$O2084/$F$2074,1)</f>
        <v/>
      </c>
      <c r="T2084" s="95">
        <f>IF($G2084&lt;nr_MStartP,$S2084,$T2072*(1+IF($G2084&lt;nr_MStartP1,$M$2074,$N$2074)))</f>
        <v/>
      </c>
      <c r="U2084" s="95">
        <f>IF($L$2074,$T2084,$N2084)</f>
        <v/>
      </c>
    </row>
    <row r="2085">
      <c r="A2085" s="90" t="n">
        <v>9</v>
      </c>
      <c r="B2085" s="91">
        <f>EDATE($B2084,1)</f>
        <v/>
      </c>
      <c r="C2085" s="92">
        <f>EOMONTH($B2085,0)</f>
        <v/>
      </c>
      <c r="D2085" s="87">
        <f>$C2085-$B2085+1</f>
        <v/>
      </c>
      <c r="E2085" s="87">
        <f>MONTH($B2085)</f>
        <v/>
      </c>
      <c r="F2085" s="93">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$N2085*IF($O$2074=1,$O2085/$F$2074,1)</f>
        <v/>
      </c>
      <c r="T2085" s="95">
        <f>IF($G2085&lt;nr_MStartP,$S2085,$T2073*(1+IF($G2085&lt;nr_MStartP1,$M$2074,$N$2074)))</f>
        <v/>
      </c>
      <c r="U2085" s="95">
        <f>IF($L$2074,$T2085,$N2085)</f>
        <v/>
      </c>
    </row>
    <row r="2086">
      <c r="A2086" s="90" t="n">
        <v>10</v>
      </c>
      <c r="B2086" s="91">
        <f>EDATE($B2085,1)</f>
        <v/>
      </c>
      <c r="C2086" s="92">
        <f>EOMONTH($B2086,0)</f>
        <v/>
      </c>
      <c r="D2086" s="87">
        <f>$C2086-$B2086+1</f>
        <v/>
      </c>
      <c r="E2086" s="87">
        <f>MONTH($B2086)</f>
        <v/>
      </c>
      <c r="F2086" s="93">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$N2086*IF($O$2074=1,$O2086/$F$2074,1)</f>
        <v/>
      </c>
      <c r="T2086" s="95">
        <f>IF($G2086&lt;nr_MStartP,$S2086,$T2074*(1+IF($G2086&lt;nr_MStartP1,$M$2074,$N$2074)))</f>
        <v/>
      </c>
      <c r="U2086" s="95">
        <f>IF($L$2074,$T2086,$N2086)</f>
        <v/>
      </c>
    </row>
    <row r="2087">
      <c r="A2087" s="90" t="n">
        <v>11</v>
      </c>
      <c r="B2087" s="91">
        <f>EDATE($B2086,1)</f>
        <v/>
      </c>
      <c r="C2087" s="92">
        <f>EOMONTH($B2087,0)</f>
        <v/>
      </c>
      <c r="D2087" s="87">
        <f>$C2087-$B2087+1</f>
        <v/>
      </c>
      <c r="E2087" s="87">
        <f>MONTH($B2087)</f>
        <v/>
      </c>
      <c r="F2087" s="93">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$N2087*IF($O$2074=1,$O2087/$F$2074,1)</f>
        <v/>
      </c>
      <c r="T2087" s="95">
        <f>IF($G2087&lt;nr_MStartP,$S2087,$T2075*(1+IF($G2087&lt;nr_MStartP1,$M$2074,$N$2074)))</f>
        <v/>
      </c>
      <c r="U2087" s="95">
        <f>IF($L$2074,$T2087,$N2087)</f>
        <v/>
      </c>
    </row>
    <row r="2088">
      <c r="A2088" s="90" t="n">
        <v>12</v>
      </c>
      <c r="B2088" s="91">
        <f>EDATE($B2087,1)</f>
        <v/>
      </c>
      <c r="C2088" s="92">
        <f>EOMONTH($B2088,0)</f>
        <v/>
      </c>
      <c r="D2088" s="87">
        <f>$C2088-$B2088+1</f>
        <v/>
      </c>
      <c r="E2088" s="87">
        <f>MONTH($B2088)</f>
        <v/>
      </c>
      <c r="F2088" s="93">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$N2088*IF($O$2074=1,$O2088/$F$2074,1)</f>
        <v/>
      </c>
      <c r="T2088" s="95">
        <f>IF($G2088&lt;nr_MStartP,$S2088,$T2076*(1+IF($G2088&lt;nr_MStartP1,$M$2074,$N$2074)))</f>
        <v/>
      </c>
      <c r="U2088" s="95">
        <f>IF($L$2074,$T2088,$N2088)</f>
        <v/>
      </c>
    </row>
    <row r="2089">
      <c r="A2089" s="90" t="n">
        <v>13</v>
      </c>
      <c r="B2089" s="91">
        <f>EDATE($B2088,1)</f>
        <v/>
      </c>
      <c r="C2089" s="92">
        <f>EOMONTH($B2089,0)</f>
        <v/>
      </c>
      <c r="D2089" s="87">
        <f>$C2089-$B2089+1</f>
        <v/>
      </c>
      <c r="E2089" s="87">
        <f>MONTH($B2089)</f>
        <v/>
      </c>
      <c r="F2089" s="93">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$N2089*IF($O$2074=1,$O2089/$F$2074,1)</f>
        <v/>
      </c>
      <c r="T2089" s="95">
        <f>IF($G2089&lt;nr_MStartP,$S2089,$T2077*(1+IF($G2089&lt;nr_MStartP1,$M$2074,$N$2074)))</f>
        <v/>
      </c>
      <c r="U2089" s="95">
        <f>IF($L$2074,$T2089,$N2089)</f>
        <v/>
      </c>
    </row>
    <row r="2090">
      <c r="A2090" s="90" t="n">
        <v>14</v>
      </c>
      <c r="B2090" s="91">
        <f>EDATE($B2089,1)</f>
        <v/>
      </c>
      <c r="C2090" s="92">
        <f>EOMONTH($B2090,0)</f>
        <v/>
      </c>
      <c r="D2090" s="87">
        <f>$C2090-$B2090+1</f>
        <v/>
      </c>
      <c r="E2090" s="87">
        <f>MONTH($B2090)</f>
        <v/>
      </c>
      <c r="F2090" s="93">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$N2090*IF($O$2074=1,$O2090/$F$2074,1)</f>
        <v/>
      </c>
      <c r="T2090" s="95">
        <f>IF($G2090&lt;nr_MStartP,$S2090,$T2078*(1+IF($G2090&lt;nr_MStartP1,$M$2074,$N$2074)))</f>
        <v/>
      </c>
      <c r="U2090" s="95">
        <f>IF($L$2074,$T2090,$N2090)</f>
        <v/>
      </c>
    </row>
    <row r="2091">
      <c r="A2091" s="90" t="n">
        <v>15</v>
      </c>
      <c r="B2091" s="91">
        <f>EDATE($B2090,1)</f>
        <v/>
      </c>
      <c r="C2091" s="92">
        <f>EOMONTH($B2091,0)</f>
        <v/>
      </c>
      <c r="D2091" s="87">
        <f>$C2091-$B2091+1</f>
        <v/>
      </c>
      <c r="E2091" s="87">
        <f>MONTH($B2091)</f>
        <v/>
      </c>
      <c r="F2091" s="93">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$N2091*IF($O$2074=1,$O2091/$F$2074,1)</f>
        <v/>
      </c>
      <c r="T2091" s="95">
        <f>IF($G2091&lt;nr_MStartP,$S2091,$T2079*(1+IF($G2091&lt;nr_MStartP1,$M$2074,$N$2074)))</f>
        <v/>
      </c>
      <c r="U2091" s="95">
        <f>IF($L$2074,$T2091,$N2091)</f>
        <v/>
      </c>
    </row>
    <row r="2092">
      <c r="A2092" s="90" t="n">
        <v>16</v>
      </c>
      <c r="B2092" s="91">
        <f>EDATE($B2091,1)</f>
        <v/>
      </c>
      <c r="C2092" s="92">
        <f>EOMONTH($B2092,0)</f>
        <v/>
      </c>
      <c r="D2092" s="87">
        <f>$C2092-$B2092+1</f>
        <v/>
      </c>
      <c r="E2092" s="87">
        <f>MONTH($B2092)</f>
        <v/>
      </c>
      <c r="F2092" s="93">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$N2092*IF($O$2074=1,$O2092/$F$2074,1)</f>
        <v/>
      </c>
      <c r="T2092" s="95">
        <f>IF($G2092&lt;nr_MStartP,$S2092,$T2080*(1+IF($G2092&lt;nr_MStartP1,$M$2074,$N$2074)))</f>
        <v/>
      </c>
      <c r="U2092" s="95">
        <f>IF($L$2074,$T2092,$N2092)</f>
        <v/>
      </c>
    </row>
    <row r="2093">
      <c r="A2093" s="90" t="n">
        <v>17</v>
      </c>
      <c r="B2093" s="91">
        <f>EDATE($B2092,1)</f>
        <v/>
      </c>
      <c r="C2093" s="92">
        <f>EOMONTH($B2093,0)</f>
        <v/>
      </c>
      <c r="D2093" s="87">
        <f>$C2093-$B2093+1</f>
        <v/>
      </c>
      <c r="E2093" s="87">
        <f>MONTH($B2093)</f>
        <v/>
      </c>
      <c r="F2093" s="93">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$N2093*IF($O$2074=1,$O2093/$F$2074,1)</f>
        <v/>
      </c>
      <c r="T2093" s="95">
        <f>IF($G2093&lt;nr_MStartP,$S2093,$T2081*(1+IF($G2093&lt;nr_MStartP1,$M$2074,$N$2074)))</f>
        <v/>
      </c>
      <c r="U2093" s="95">
        <f>IF($L$2074,$T2093,$N2093)</f>
        <v/>
      </c>
    </row>
    <row r="2094">
      <c r="A2094" s="90" t="n">
        <v>18</v>
      </c>
      <c r="B2094" s="91">
        <f>EDATE($B2093,1)</f>
        <v/>
      </c>
      <c r="C2094" s="92">
        <f>EOMONTH($B2094,0)</f>
        <v/>
      </c>
      <c r="D2094" s="87">
        <f>$C2094-$B2094+1</f>
        <v/>
      </c>
      <c r="E2094" s="87">
        <f>MONTH($B2094)</f>
        <v/>
      </c>
      <c r="F2094" s="93">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$N2094*IF($O$2074=1,$O2094/$F$2074,1)</f>
        <v/>
      </c>
      <c r="T2094" s="95">
        <f>IF($G2094&lt;nr_MStartP,$S2094,$T2082*(1+IF($G2094&lt;nr_MStartP1,$M$2074,$N$2074)))</f>
        <v/>
      </c>
      <c r="U2094" s="95">
        <f>IF($L$2074,$T2094,$N2094)</f>
        <v/>
      </c>
    </row>
    <row r="2095">
      <c r="A2095" s="90" t="n">
        <v>19</v>
      </c>
      <c r="B2095" s="91">
        <f>EDATE($B2094,1)</f>
        <v/>
      </c>
      <c r="C2095" s="92">
        <f>EOMONTH($B2095,0)</f>
        <v/>
      </c>
      <c r="D2095" s="87">
        <f>$C2095-$B2095+1</f>
        <v/>
      </c>
      <c r="E2095" s="87">
        <f>MONTH($B2095)</f>
        <v/>
      </c>
      <c r="F2095" s="93">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$N2095*IF($O$2074=1,$O2095/$F$2074,1)</f>
        <v/>
      </c>
      <c r="T2095" s="95">
        <f>IF($G2095&lt;nr_MStartP,$S2095,$T2083*(1+IF($G2095&lt;nr_MStartP1,$M$2074,$N$2074)))</f>
        <v/>
      </c>
      <c r="U2095" s="95">
        <f>IF($L$2074,$T2095,$N2095)</f>
        <v/>
      </c>
    </row>
    <row r="2096">
      <c r="A2096" s="90" t="n">
        <v>20</v>
      </c>
      <c r="B2096" s="91">
        <f>EDATE($B2095,1)</f>
        <v/>
      </c>
      <c r="C2096" s="92">
        <f>EOMONTH($B2096,0)</f>
        <v/>
      </c>
      <c r="D2096" s="87">
        <f>$C2096-$B2096+1</f>
        <v/>
      </c>
      <c r="E2096" s="87">
        <f>MONTH($B2096)</f>
        <v/>
      </c>
      <c r="F2096" s="93">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$N2096*IF($O$2074=1,$O2096/$F$2074,1)</f>
        <v/>
      </c>
      <c r="T2096" s="95">
        <f>IF($G2096&lt;nr_MStartP,$S2096,$T2084*(1+IF($G2096&lt;nr_MStartP1,$M$2074,$N$2074)))</f>
        <v/>
      </c>
      <c r="U2096" s="95">
        <f>IF($L$2074,$T2096,$N2096)</f>
        <v/>
      </c>
    </row>
    <row r="2097">
      <c r="A2097" s="90" t="n">
        <v>21</v>
      </c>
      <c r="B2097" s="91">
        <f>EDATE($B2096,1)</f>
        <v/>
      </c>
      <c r="C2097" s="92">
        <f>EOMONTH($B2097,0)</f>
        <v/>
      </c>
      <c r="D2097" s="87">
        <f>$C2097-$B2097+1</f>
        <v/>
      </c>
      <c r="E2097" s="87">
        <f>MONTH($B2097)</f>
        <v/>
      </c>
      <c r="F2097" s="93">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$N2097*IF($O$2074=1,$O2097/$F$2074,1)</f>
        <v/>
      </c>
      <c r="T2097" s="95">
        <f>IF($G2097&lt;nr_MStartP,$S2097,$T2085*(1+IF($G2097&lt;nr_MStartP1,$M$2074,$N$2074)))</f>
        <v/>
      </c>
      <c r="U2097" s="95">
        <f>IF($L$2074,$T2097,$N2097)</f>
        <v/>
      </c>
    </row>
    <row r="2098">
      <c r="A2098" s="90" t="n">
        <v>22</v>
      </c>
      <c r="B2098" s="91">
        <f>EDATE($B2097,1)</f>
        <v/>
      </c>
      <c r="C2098" s="92">
        <f>EOMONTH($B2098,0)</f>
        <v/>
      </c>
      <c r="D2098" s="87">
        <f>$C2098-$B2098+1</f>
        <v/>
      </c>
      <c r="E2098" s="87">
        <f>MONTH($B2098)</f>
        <v/>
      </c>
      <c r="F2098" s="93">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$N2098*IF($O$2074=1,$O2098/$F$2074,1)</f>
        <v/>
      </c>
      <c r="T2098" s="95">
        <f>IF($G2098&lt;nr_MStartP,$S2098,$T2086*(1+IF($G2098&lt;nr_MStartP1,$M$2074,$N$2074)))</f>
        <v/>
      </c>
      <c r="U2098" s="95">
        <f>IF($L$2074,$T2098,$N2098)</f>
        <v/>
      </c>
    </row>
    <row r="2099">
      <c r="A2099" s="90" t="n">
        <v>23</v>
      </c>
      <c r="B2099" s="91">
        <f>EDATE($B2098,1)</f>
        <v/>
      </c>
      <c r="C2099" s="92">
        <f>EOMONTH($B2099,0)</f>
        <v/>
      </c>
      <c r="D2099" s="87">
        <f>$C2099-$B2099+1</f>
        <v/>
      </c>
      <c r="E2099" s="87">
        <f>MONTH($B2099)</f>
        <v/>
      </c>
      <c r="F2099" s="93">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$N2099*IF($O$2074=1,$O2099/$F$2074,1)</f>
        <v/>
      </c>
      <c r="T2099" s="95">
        <f>IF($G2099&lt;nr_MStartP,$S2099,$T2087*(1+IF($G2099&lt;nr_MStartP1,$M$2074,$N$2074)))</f>
        <v/>
      </c>
      <c r="U2099" s="95">
        <f>IF($L$2074,$T2099,$N2099)</f>
        <v/>
      </c>
    </row>
    <row r="2100">
      <c r="A2100" s="90" t="n">
        <v>24</v>
      </c>
      <c r="B2100" s="91">
        <f>EDATE($B2099,1)</f>
        <v/>
      </c>
      <c r="C2100" s="92">
        <f>EOMONTH($B2100,0)</f>
        <v/>
      </c>
      <c r="D2100" s="87">
        <f>$C2100-$B2100+1</f>
        <v/>
      </c>
      <c r="E2100" s="87">
        <f>MONTH($B2100)</f>
        <v/>
      </c>
      <c r="F2100" s="93">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$N2100*IF($O$2074=1,$O2100/$F$2074,1)</f>
        <v/>
      </c>
      <c r="T2100" s="95">
        <f>IF($G2100&lt;nr_MStartP,$S2100,$T2088*(1+IF($G2100&lt;nr_MStartP1,$M$2074,$N$2074)))</f>
        <v/>
      </c>
      <c r="U2100" s="95">
        <f>IF($L$2074,$T2100,$N2100)</f>
        <v/>
      </c>
    </row>
    <row r="2101">
      <c r="A2101" s="90" t="n">
        <v>25</v>
      </c>
      <c r="B2101" s="91">
        <f>EDATE($B2100,1)</f>
        <v/>
      </c>
      <c r="C2101" s="92">
        <f>EOMONTH($B2101,0)</f>
        <v/>
      </c>
      <c r="D2101" s="87">
        <f>$C2101-$B2101+1</f>
        <v/>
      </c>
      <c r="E2101" s="87">
        <f>MONTH($B2101)</f>
        <v/>
      </c>
      <c r="F2101" s="93">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$N2101*IF($O$2074=1,$O2101/$F$2074,1)</f>
        <v/>
      </c>
      <c r="T2101" s="95">
        <f>IF($G2101&lt;nr_MStartP,$S2101,$T2089*(1+IF($G2101&lt;nr_MStartP1,$M$2074,$N$2074)))</f>
        <v/>
      </c>
      <c r="U2101" s="95">
        <f>IF($L$2074,$T2101,$N2101)</f>
        <v/>
      </c>
    </row>
    <row r="2102">
      <c r="A2102" s="90" t="n">
        <v>26</v>
      </c>
      <c r="B2102" s="91">
        <f>EDATE($B2101,1)</f>
        <v/>
      </c>
      <c r="C2102" s="92">
        <f>EOMONTH($B2102,0)</f>
        <v/>
      </c>
      <c r="D2102" s="87">
        <f>$C2102-$B2102+1</f>
        <v/>
      </c>
      <c r="E2102" s="87">
        <f>MONTH($B2102)</f>
        <v/>
      </c>
      <c r="F2102" s="93">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$N2102*IF($O$2074=1,$O2102/$F$2074,1)</f>
        <v/>
      </c>
      <c r="T2102" s="95">
        <f>IF($G2102&lt;nr_MStartP,$S2102,$T2090*(1+IF($G2102&lt;nr_MStartP1,$M$2074,$N$2074)))</f>
        <v/>
      </c>
      <c r="U2102" s="95">
        <f>IF($L$2074,$T2102,$N2102)</f>
        <v/>
      </c>
    </row>
    <row r="2103">
      <c r="A2103" s="90" t="n">
        <v>27</v>
      </c>
      <c r="B2103" s="91">
        <f>EDATE($B2102,1)</f>
        <v/>
      </c>
      <c r="C2103" s="92">
        <f>EOMONTH($B2103,0)</f>
        <v/>
      </c>
      <c r="D2103" s="87">
        <f>$C2103-$B2103+1</f>
        <v/>
      </c>
      <c r="E2103" s="87">
        <f>MONTH($B2103)</f>
        <v/>
      </c>
      <c r="F2103" s="93">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$N2103*IF($O$2074=1,$O2103/$F$2074,1)</f>
        <v/>
      </c>
      <c r="T2103" s="95">
        <f>IF($G2103&lt;nr_MStartP,$S2103,$T2091*(1+IF($G2103&lt;nr_MStartP1,$M$2074,$N$2074)))</f>
        <v/>
      </c>
      <c r="U2103" s="95">
        <f>IF($L$2074,$T2103,$N2103)</f>
        <v/>
      </c>
    </row>
    <row r="2104">
      <c r="A2104" s="90" t="n">
        <v>28</v>
      </c>
      <c r="B2104" s="91">
        <f>EDATE($B2103,1)</f>
        <v/>
      </c>
      <c r="C2104" s="92">
        <f>EOMONTH($B2104,0)</f>
        <v/>
      </c>
      <c r="D2104" s="87">
        <f>$C2104-$B2104+1</f>
        <v/>
      </c>
      <c r="E2104" s="87">
        <f>MONTH($B2104)</f>
        <v/>
      </c>
      <c r="F2104" s="93">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$N2104*IF($O$2074=1,$O2104/$F$2074,1)</f>
        <v/>
      </c>
      <c r="T2104" s="95">
        <f>IF($G2104&lt;nr_MStartP,$S2104,$T2092*(1+IF($G2104&lt;nr_MStartP1,$M$2074,$N$2074)))</f>
        <v/>
      </c>
      <c r="U2104" s="95">
        <f>IF($L$2074,$T2104,$N2104)</f>
        <v/>
      </c>
    </row>
    <row r="2105">
      <c r="A2105" s="90" t="n">
        <v>29</v>
      </c>
      <c r="B2105" s="91">
        <f>EDATE($B2104,1)</f>
        <v/>
      </c>
      <c r="C2105" s="92">
        <f>EOMONTH($B2105,0)</f>
        <v/>
      </c>
      <c r="D2105" s="87">
        <f>$C2105-$B2105+1</f>
        <v/>
      </c>
      <c r="E2105" s="87">
        <f>MONTH($B2105)</f>
        <v/>
      </c>
      <c r="F2105" s="93">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$N2105*IF($O$2074=1,$O2105/$F$2074,1)</f>
        <v/>
      </c>
      <c r="T2105" s="95">
        <f>IF($G2105&lt;nr_MStartP,$S2105,$T2093*(1+IF($G2105&lt;nr_MStartP1,$M$2074,$N$2074)))</f>
        <v/>
      </c>
      <c r="U2105" s="95">
        <f>IF($L$2074,$T2105,$N2105)</f>
        <v/>
      </c>
    </row>
    <row r="2106">
      <c r="A2106" s="90" t="n">
        <v>30</v>
      </c>
      <c r="B2106" s="91">
        <f>EDATE($B2105,1)</f>
        <v/>
      </c>
      <c r="C2106" s="92">
        <f>EOMONTH($B2106,0)</f>
        <v/>
      </c>
      <c r="D2106" s="87">
        <f>$C2106-$B2106+1</f>
        <v/>
      </c>
      <c r="E2106" s="87">
        <f>MONTH($B2106)</f>
        <v/>
      </c>
      <c r="F2106" s="93">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$N2106*IF($O$2074=1,$O2106/$F$2074,1)</f>
        <v/>
      </c>
      <c r="T2106" s="95">
        <f>IF($G2106&lt;nr_MStartP,$S2106,$T2094*(1+IF($G2106&lt;nr_MStartP1,$M$2074,$N$2074)))</f>
        <v/>
      </c>
      <c r="U2106" s="95">
        <f>IF($L$2074,$T2106,$N2106)</f>
        <v/>
      </c>
    </row>
    <row r="2107">
      <c r="A2107" s="90" t="n">
        <v>31</v>
      </c>
      <c r="B2107" s="91">
        <f>EDATE($B2106,1)</f>
        <v/>
      </c>
      <c r="C2107" s="92">
        <f>EOMONTH($B2107,0)</f>
        <v/>
      </c>
      <c r="D2107" s="87">
        <f>$C2107-$B2107+1</f>
        <v/>
      </c>
      <c r="E2107" s="87">
        <f>MONTH($B2107)</f>
        <v/>
      </c>
      <c r="F2107" s="93">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$N2107*IF($O$2074=1,$O2107/$F$2074,1)</f>
        <v/>
      </c>
      <c r="T2107" s="95">
        <f>IF($G2107&lt;nr_MStartP,$S2107,$T2095*(1+IF($G2107&lt;nr_MStartP1,$M$2074,$N$2074)))</f>
        <v/>
      </c>
      <c r="U2107" s="95">
        <f>IF($L$2074,$T2107,$N2107)</f>
        <v/>
      </c>
    </row>
    <row r="2108">
      <c r="A2108" s="90" t="n">
        <v>32</v>
      </c>
      <c r="B2108" s="91">
        <f>EDATE($B2107,1)</f>
        <v/>
      </c>
      <c r="C2108" s="92">
        <f>EOMONTH($B2108,0)</f>
        <v/>
      </c>
      <c r="D2108" s="87">
        <f>$C2108-$B2108+1</f>
        <v/>
      </c>
      <c r="E2108" s="87">
        <f>MONTH($B2108)</f>
        <v/>
      </c>
      <c r="F2108" s="93">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$N2108*IF($O$2074=1,$O2108/$F$2074,1)</f>
        <v/>
      </c>
      <c r="T2108" s="95">
        <f>IF($G2108&lt;nr_MStartP,$S2108,$T2096*(1+IF($G2108&lt;nr_MStartP1,$M$2074,$N$2074)))</f>
        <v/>
      </c>
      <c r="U2108" s="95">
        <f>IF($L$2074,$T2108,$N2108)</f>
        <v/>
      </c>
    </row>
    <row r="2109">
      <c r="A2109" s="90" t="n">
        <v>33</v>
      </c>
      <c r="B2109" s="91">
        <f>EDATE($B2108,1)</f>
        <v/>
      </c>
      <c r="C2109" s="92">
        <f>EOMONTH($B2109,0)</f>
        <v/>
      </c>
      <c r="D2109" s="87">
        <f>$C2109-$B2109+1</f>
        <v/>
      </c>
      <c r="E2109" s="87">
        <f>MONTH($B2109)</f>
        <v/>
      </c>
      <c r="F2109" s="93">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$N2109*IF($O$2074=1,$O2109/$F$2074,1)</f>
        <v/>
      </c>
      <c r="T2109" s="95">
        <f>IF($G2109&lt;nr_MStartP,$S2109,$T2097*(1+IF($G2109&lt;nr_MStartP1,$M$2074,$N$2074)))</f>
        <v/>
      </c>
      <c r="U2109" s="95">
        <f>IF($L$2074,$T2109,$N2109)</f>
        <v/>
      </c>
    </row>
    <row r="2110">
      <c r="A2110" s="90" t="n">
        <v>34</v>
      </c>
      <c r="B2110" s="91">
        <f>EDATE($B2109,1)</f>
        <v/>
      </c>
      <c r="C2110" s="92">
        <f>EOMONTH($B2110,0)</f>
        <v/>
      </c>
      <c r="D2110" s="87">
        <f>$C2110-$B2110+1</f>
        <v/>
      </c>
      <c r="E2110" s="87">
        <f>MONTH($B2110)</f>
        <v/>
      </c>
      <c r="F2110" s="93">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$N2110*IF($O$2074=1,$O2110/$F$2074,1)</f>
        <v/>
      </c>
      <c r="T2110" s="95">
        <f>IF($G2110&lt;nr_MStartP,$S2110,$T2098*(1+IF($G2110&lt;nr_MStartP1,$M$2074,$N$2074)))</f>
        <v/>
      </c>
      <c r="U2110" s="95">
        <f>IF($L$2074,$T2110,$N2110)</f>
        <v/>
      </c>
    </row>
    <row r="2111">
      <c r="A2111" s="90" t="n">
        <v>35</v>
      </c>
      <c r="B2111" s="91">
        <f>EDATE($B2110,1)</f>
        <v/>
      </c>
      <c r="C2111" s="92">
        <f>EOMONTH($B2111,0)</f>
        <v/>
      </c>
      <c r="D2111" s="87">
        <f>$C2111-$B2111+1</f>
        <v/>
      </c>
      <c r="E2111" s="87">
        <f>MONTH($B2111)</f>
        <v/>
      </c>
      <c r="F2111" s="93">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$N2111*IF($O$2074=1,$O2111/$F$2074,1)</f>
        <v/>
      </c>
      <c r="T2111" s="95">
        <f>IF($G2111&lt;nr_MStartP,$S2111,$T2099*(1+IF($G2111&lt;nr_MStartP1,$M$2074,$N$2074)))</f>
        <v/>
      </c>
      <c r="U2111" s="95">
        <f>IF($L$2074,$T2111,$N2111)</f>
        <v/>
      </c>
    </row>
    <row r="2112">
      <c r="A2112" s="90" t="n">
        <v>36</v>
      </c>
      <c r="B2112" s="91">
        <f>EDATE($B2111,1)</f>
        <v/>
      </c>
      <c r="C2112" s="92">
        <f>EOMONTH($B2112,0)</f>
        <v/>
      </c>
      <c r="D2112" s="87">
        <f>$C2112-$B2112+1</f>
        <v/>
      </c>
      <c r="E2112" s="87">
        <f>MONTH($B2112)</f>
        <v/>
      </c>
      <c r="F2112" s="93">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$N2112*IF($O$2074=1,$O2112/$F$2074,1)</f>
        <v/>
      </c>
      <c r="T2112" s="95">
        <f>IF($G2112&lt;nr_MStartP,$S2112,$T2100*(1+IF($G2112&lt;nr_MStartP1,$M$2074,$N$2074)))</f>
        <v/>
      </c>
      <c r="U2112" s="95">
        <f>IF($L$2074,$T2112,$N2112)</f>
        <v/>
      </c>
    </row>
    <row r="2113">
      <c r="A2113" s="90" t="n">
        <v>37</v>
      </c>
      <c r="B2113" s="91">
        <f>EDATE($B2112,1)</f>
        <v/>
      </c>
      <c r="C2113" s="92">
        <f>EOMONTH($B2113,0)</f>
        <v/>
      </c>
      <c r="D2113" s="87">
        <f>$C2113-$B2113+1</f>
        <v/>
      </c>
      <c r="E2113" s="87">
        <f>MONTH($B2113)</f>
        <v/>
      </c>
      <c r="F2113" s="93">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$N2113*IF($O$2074=1,$O2113/$F$2074,1)</f>
        <v/>
      </c>
      <c r="T2113" s="95">
        <f>IF($G2113&lt;nr_MStartP,$S2113,$T2101*(1+IF($G2113&lt;nr_MStartP1,$M$2074,$N$2074)))</f>
        <v/>
      </c>
      <c r="U2113" s="95">
        <f>IF($L$2074,$T2113,$N2113)</f>
        <v/>
      </c>
    </row>
    <row r="2114">
      <c r="A2114" s="90" t="n">
        <v>38</v>
      </c>
      <c r="B2114" s="91">
        <f>EDATE($B2113,1)</f>
        <v/>
      </c>
      <c r="C2114" s="92">
        <f>EOMONTH($B2114,0)</f>
        <v/>
      </c>
      <c r="D2114" s="87">
        <f>$C2114-$B2114+1</f>
        <v/>
      </c>
      <c r="E2114" s="87">
        <f>MONTH($B2114)</f>
        <v/>
      </c>
      <c r="F2114" s="93">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$N2114*IF($O$2074=1,$O2114/$F$2074,1)</f>
        <v/>
      </c>
      <c r="T2114" s="95">
        <f>IF($G2114&lt;nr_MStartP,$S2114,$T2102*(1+IF($G2114&lt;nr_MStartP1,$M$2074,$N$2074)))</f>
        <v/>
      </c>
      <c r="U2114" s="95">
        <f>IF($L$2074,$T2114,$N2114)</f>
        <v/>
      </c>
    </row>
    <row r="2115">
      <c r="A2115" s="90" t="n">
        <v>39</v>
      </c>
      <c r="B2115" s="91">
        <f>EDATE($B2114,1)</f>
        <v/>
      </c>
      <c r="C2115" s="92">
        <f>EOMONTH($B2115,0)</f>
        <v/>
      </c>
      <c r="D2115" s="87">
        <f>$C2115-$B2115+1</f>
        <v/>
      </c>
      <c r="E2115" s="87">
        <f>MONTH($B2115)</f>
        <v/>
      </c>
      <c r="F2115" s="93">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$N2115*IF($O$2074=1,$O2115/$F$2074,1)</f>
        <v/>
      </c>
      <c r="T2115" s="95">
        <f>IF($G2115&lt;nr_MStartP,$S2115,$T2103*(1+IF($G2115&lt;nr_MStartP1,$M$2074,$N$2074)))</f>
        <v/>
      </c>
      <c r="U2115" s="95">
        <f>IF($L$2074,$T2115,$N2115)</f>
        <v/>
      </c>
    </row>
    <row r="2116">
      <c r="A2116" s="90" t="n">
        <v>40</v>
      </c>
      <c r="B2116" s="91">
        <f>EDATE($B2115,1)</f>
        <v/>
      </c>
      <c r="C2116" s="92">
        <f>EOMONTH($B2116,0)</f>
        <v/>
      </c>
      <c r="D2116" s="87">
        <f>$C2116-$B2116+1</f>
        <v/>
      </c>
      <c r="E2116" s="87">
        <f>MONTH($B2116)</f>
        <v/>
      </c>
      <c r="F2116" s="93">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$N2116*IF($O$2074=1,$O2116/$F$2074,1)</f>
        <v/>
      </c>
      <c r="T2116" s="95">
        <f>IF($G2116&lt;nr_MStartP,$S2116,$T2104*(1+IF($G2116&lt;nr_MStartP1,$M$2074,$N$2074)))</f>
        <v/>
      </c>
      <c r="U2116" s="95">
        <f>IF($L$2074,$T2116,$N2116)</f>
        <v/>
      </c>
    </row>
    <row r="2117">
      <c r="A2117" s="90" t="n">
        <v>41</v>
      </c>
      <c r="B2117" s="91">
        <f>EDATE($B2116,1)</f>
        <v/>
      </c>
      <c r="C2117" s="92">
        <f>EOMONTH($B2117,0)</f>
        <v/>
      </c>
      <c r="D2117" s="87">
        <f>$C2117-$B2117+1</f>
        <v/>
      </c>
      <c r="E2117" s="87">
        <f>MONTH($B2117)</f>
        <v/>
      </c>
      <c r="F2117" s="93">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$N2117*IF($O$2074=1,$O2117/$F$2074,1)</f>
        <v/>
      </c>
      <c r="T2117" s="95">
        <f>IF($G2117&lt;nr_MStartP,$S2117,$T2105*(1+IF($G2117&lt;nr_MStartP1,$M$2074,$N$2074)))</f>
        <v/>
      </c>
      <c r="U2117" s="95">
        <f>IF($L$2074,$T2117,$N2117)</f>
        <v/>
      </c>
    </row>
    <row r="2118">
      <c r="A2118" s="90" t="n">
        <v>42</v>
      </c>
      <c r="B2118" s="91">
        <f>EDATE($B2117,1)</f>
        <v/>
      </c>
      <c r="C2118" s="92">
        <f>EOMONTH($B2118,0)</f>
        <v/>
      </c>
      <c r="D2118" s="87">
        <f>$C2118-$B2118+1</f>
        <v/>
      </c>
      <c r="E2118" s="87">
        <f>MONTH($B2118)</f>
        <v/>
      </c>
      <c r="F2118" s="93">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$N2118*IF($O$2074=1,$O2118/$F$2074,1)</f>
        <v/>
      </c>
      <c r="T2118" s="95">
        <f>IF($G2118&lt;nr_MStartP,$S2118,$T2106*(1+IF($G2118&lt;nr_MStartP1,$M$2074,$N$2074)))</f>
        <v/>
      </c>
      <c r="U2118" s="95">
        <f>IF($L$2074,$T2118,$N2118)</f>
        <v/>
      </c>
    </row>
    <row r="2119">
      <c r="A2119" s="90" t="n">
        <v>43</v>
      </c>
      <c r="B2119" s="91">
        <f>EDATE($B2118,1)</f>
        <v/>
      </c>
      <c r="C2119" s="92">
        <f>EOMONTH($B2119,0)</f>
        <v/>
      </c>
      <c r="D2119" s="87">
        <f>$C2119-$B2119+1</f>
        <v/>
      </c>
      <c r="E2119" s="87">
        <f>MONTH($B2119)</f>
        <v/>
      </c>
      <c r="F2119" s="93">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$N2119*IF($O$2074=1,$O2119/$F$2074,1)</f>
        <v/>
      </c>
      <c r="T2119" s="95">
        <f>IF($G2119&lt;nr_MStartP,$S2119,$T2107*(1+IF($G2119&lt;nr_MStartP1,$M$2074,$N$2074)))</f>
        <v/>
      </c>
      <c r="U2119" s="95">
        <f>IF($L$2074,$T2119,$N2119)</f>
        <v/>
      </c>
    </row>
    <row r="2120">
      <c r="A2120" s="90" t="n">
        <v>44</v>
      </c>
      <c r="B2120" s="91">
        <f>EDATE($B2119,1)</f>
        <v/>
      </c>
      <c r="C2120" s="92">
        <f>EOMONTH($B2120,0)</f>
        <v/>
      </c>
      <c r="D2120" s="87">
        <f>$C2120-$B2120+1</f>
        <v/>
      </c>
      <c r="E2120" s="87">
        <f>MONTH($B2120)</f>
        <v/>
      </c>
      <c r="F2120" s="93">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$N2120*IF($O$2074=1,$O2120/$F$2074,1)</f>
        <v/>
      </c>
      <c r="T2120" s="95">
        <f>IF($G2120&lt;nr_MStartP,$S2120,$T2108*(1+IF($G2120&lt;nr_MStartP1,$M$2074,$N$2074)))</f>
        <v/>
      </c>
      <c r="U2120" s="95">
        <f>IF($L$2074,$T2120,$N2120)</f>
        <v/>
      </c>
    </row>
    <row r="2121">
      <c r="A2121" s="90" t="n">
        <v>45</v>
      </c>
      <c r="B2121" s="91">
        <f>EDATE($B2120,1)</f>
        <v/>
      </c>
      <c r="C2121" s="92">
        <f>EOMONTH($B2121,0)</f>
        <v/>
      </c>
      <c r="D2121" s="87">
        <f>$C2121-$B2121+1</f>
        <v/>
      </c>
      <c r="E2121" s="87">
        <f>MONTH($B2121)</f>
        <v/>
      </c>
      <c r="F2121" s="93">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$N2121*IF($O$2074=1,$O2121/$F$2074,1)</f>
        <v/>
      </c>
      <c r="T2121" s="95">
        <f>IF($G2121&lt;nr_MStartP,$S2121,$T2109*(1+IF($G2121&lt;nr_MStartP1,$M$2074,$N$2074)))</f>
        <v/>
      </c>
      <c r="U2121" s="95">
        <f>IF($L$2074,$T2121,$N2121)</f>
        <v/>
      </c>
    </row>
    <row r="2122">
      <c r="A2122" s="90" t="n">
        <v>46</v>
      </c>
      <c r="B2122" s="91">
        <f>EDATE($B2121,1)</f>
        <v/>
      </c>
      <c r="C2122" s="92">
        <f>EOMONTH($B2122,0)</f>
        <v/>
      </c>
      <c r="D2122" s="87">
        <f>$C2122-$B2122+1</f>
        <v/>
      </c>
      <c r="E2122" s="87">
        <f>MONTH($B2122)</f>
        <v/>
      </c>
      <c r="F2122" s="93">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$N2122*IF($O$2074=1,$O2122/$F$2074,1)</f>
        <v/>
      </c>
      <c r="T2122" s="95">
        <f>IF($G2122&lt;nr_MStartP,$S2122,$T2110*(1+IF($G2122&lt;nr_MStartP1,$M$2074,$N$2074)))</f>
        <v/>
      </c>
      <c r="U2122" s="95">
        <f>IF($L$2074,$T2122,$N2122)</f>
        <v/>
      </c>
    </row>
    <row r="2123">
      <c r="A2123" s="90" t="n">
        <v>47</v>
      </c>
      <c r="B2123" s="91">
        <f>EDATE($B2122,1)</f>
        <v/>
      </c>
      <c r="C2123" s="92">
        <f>EOMONTH($B2123,0)</f>
        <v/>
      </c>
      <c r="D2123" s="87">
        <f>$C2123-$B2123+1</f>
        <v/>
      </c>
      <c r="E2123" s="87">
        <f>MONTH($B2123)</f>
        <v/>
      </c>
      <c r="F2123" s="93">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$N2123*IF($O$2074=1,$O2123/$F$2074,1)</f>
        <v/>
      </c>
      <c r="T2123" s="95">
        <f>IF($G2123&lt;nr_MStartP,$S2123,$T2111*(1+IF($G2123&lt;nr_MStartP1,$M$2074,$N$2074)))</f>
        <v/>
      </c>
      <c r="U2123" s="95">
        <f>IF($L$2074,$T2123,$N2123)</f>
        <v/>
      </c>
    </row>
    <row r="2124">
      <c r="A2124" s="90" t="n">
        <v>48</v>
      </c>
      <c r="B2124" s="91">
        <f>EDATE($B2123,1)</f>
        <v/>
      </c>
      <c r="C2124" s="92">
        <f>EOMONTH($B2124,0)</f>
        <v/>
      </c>
      <c r="D2124" s="87">
        <f>$C2124-$B2124+1</f>
        <v/>
      </c>
      <c r="E2124" s="87">
        <f>MONTH($B2124)</f>
        <v/>
      </c>
      <c r="F2124" s="93">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$N2124*IF($O$2074=1,$O2124/$F$2074,1)</f>
        <v/>
      </c>
      <c r="T2124" s="95">
        <f>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04">
        <f>SUMPRODUCT($H$2077:$H$2124,$Q$2077:$Q$2124,$O$2077:$O$2124)/SUMPRODUCT($H$2077:$H$2124,$Q$2077:$Q$2124)</f>
        <v/>
      </c>
      <c r="G2125" s="20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04">
        <f>IF(N(INDEX(lr_mind,39))=0,1,INDEX(lr_mind,39))</f>
        <v/>
      </c>
      <c r="G2128" s="204">
        <f>IF(N(INDEX(lr_m0,39))=0,1,INDEX(lr_m0,39))</f>
        <v/>
      </c>
      <c r="H2128" s="73">
        <f>IF(N(INDEX(lr_m0asof,39))=0,DATE(nr_PlanYear-1,10,1),INDEX(lr_m0asof,39))</f>
        <v/>
      </c>
      <c r="I2128" s="204">
        <f>IF(N(INDEX(lr_m1,39))=0,1,INDEX(lr_m1,39))</f>
        <v/>
      </c>
      <c r="J2128" s="204">
        <f>INDEX(lr_mprior,39)</f>
        <v/>
      </c>
      <c r="K2128" s="20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93">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$N2131*IF($O$2128=1,$O2131/$F$2128,1)</f>
        <v/>
      </c>
      <c r="T2131" s="95">
        <f>IF($G2131&lt;nr_MStartP,$S2131,$T2119*(1+IF($G2131&lt;nr_MStartP1,$M$2128,$N$2128)))</f>
        <v/>
      </c>
      <c r="U2131" s="95">
        <f>IF($L$2128,$T2131,$N2131)</f>
        <v/>
      </c>
    </row>
    <row r="2132">
      <c r="A2132" s="90" t="n">
        <v>2</v>
      </c>
      <c r="B2132" s="91">
        <f>EDATE($B2131,1)</f>
        <v/>
      </c>
      <c r="C2132" s="92">
        <f>EOMONTH($B2132,0)</f>
        <v/>
      </c>
      <c r="D2132" s="87">
        <f>$C2132-$B2132+1</f>
        <v/>
      </c>
      <c r="E2132" s="87">
        <f>MONTH($B2132)</f>
        <v/>
      </c>
      <c r="F2132" s="93">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$N2132*IF($O$2128=1,$O2132/$F$2128,1)</f>
        <v/>
      </c>
      <c r="T2132" s="95">
        <f>IF($G2132&lt;nr_MStartP,$S2132,$T2120*(1+IF($G2132&lt;nr_MStartP1,$M$2128,$N$2128)))</f>
        <v/>
      </c>
      <c r="U2132" s="95">
        <f>IF($L$2128,$T2132,$N2132)</f>
        <v/>
      </c>
    </row>
    <row r="2133">
      <c r="A2133" s="90" t="n">
        <v>3</v>
      </c>
      <c r="B2133" s="91">
        <f>EDATE($B2132,1)</f>
        <v/>
      </c>
      <c r="C2133" s="92">
        <f>EOMONTH($B2133,0)</f>
        <v/>
      </c>
      <c r="D2133" s="87">
        <f>$C2133-$B2133+1</f>
        <v/>
      </c>
      <c r="E2133" s="87">
        <f>MONTH($B2133)</f>
        <v/>
      </c>
      <c r="F2133" s="93">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$N2133*IF($O$2128=1,$O2133/$F$2128,1)</f>
        <v/>
      </c>
      <c r="T2133" s="95">
        <f>IF($G2133&lt;nr_MStartP,$S2133,$T2121*(1+IF($G2133&lt;nr_MStartP1,$M$2128,$N$2128)))</f>
        <v/>
      </c>
      <c r="U2133" s="95">
        <f>IF($L$2128,$T2133,$N2133)</f>
        <v/>
      </c>
    </row>
    <row r="2134">
      <c r="A2134" s="90" t="n">
        <v>4</v>
      </c>
      <c r="B2134" s="91">
        <f>EDATE($B2133,1)</f>
        <v/>
      </c>
      <c r="C2134" s="92">
        <f>EOMONTH($B2134,0)</f>
        <v/>
      </c>
      <c r="D2134" s="87">
        <f>$C2134-$B2134+1</f>
        <v/>
      </c>
      <c r="E2134" s="87">
        <f>MONTH($B2134)</f>
        <v/>
      </c>
      <c r="F2134" s="93">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$N2134*IF($O$2128=1,$O2134/$F$2128,1)</f>
        <v/>
      </c>
      <c r="T2134" s="95">
        <f>IF($G2134&lt;nr_MStartP,$S2134,$T2122*(1+IF($G2134&lt;nr_MStartP1,$M$2128,$N$2128)))</f>
        <v/>
      </c>
      <c r="U2134" s="95">
        <f>IF($L$2128,$T2134,$N2134)</f>
        <v/>
      </c>
    </row>
    <row r="2135">
      <c r="A2135" s="90" t="n">
        <v>5</v>
      </c>
      <c r="B2135" s="91">
        <f>EDATE($B2134,1)</f>
        <v/>
      </c>
      <c r="C2135" s="92">
        <f>EOMONTH($B2135,0)</f>
        <v/>
      </c>
      <c r="D2135" s="87">
        <f>$C2135-$B2135+1</f>
        <v/>
      </c>
      <c r="E2135" s="87">
        <f>MONTH($B2135)</f>
        <v/>
      </c>
      <c r="F2135" s="93">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$N2135*IF($O$2128=1,$O2135/$F$2128,1)</f>
        <v/>
      </c>
      <c r="T2135" s="95">
        <f>IF($G2135&lt;nr_MStartP,$S2135,$T2123*(1+IF($G2135&lt;nr_MStartP1,$M$2128,$N$2128)))</f>
        <v/>
      </c>
      <c r="U2135" s="95">
        <f>IF($L$2128,$T2135,$N2135)</f>
        <v/>
      </c>
    </row>
    <row r="2136">
      <c r="A2136" s="90" t="n">
        <v>6</v>
      </c>
      <c r="B2136" s="91">
        <f>EDATE($B2135,1)</f>
        <v/>
      </c>
      <c r="C2136" s="92">
        <f>EOMONTH($B2136,0)</f>
        <v/>
      </c>
      <c r="D2136" s="87">
        <f>$C2136-$B2136+1</f>
        <v/>
      </c>
      <c r="E2136" s="87">
        <f>MONTH($B2136)</f>
        <v/>
      </c>
      <c r="F2136" s="93">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$N2136*IF($O$2128=1,$O2136/$F$2128,1)</f>
        <v/>
      </c>
      <c r="T2136" s="95">
        <f>IF($G2136&lt;nr_MStartP,$S2136,$T2124*(1+IF($G2136&lt;nr_MStartP1,$M$2128,$N$2128)))</f>
        <v/>
      </c>
      <c r="U2136" s="95">
        <f>IF($L$2128,$T2136,$N2136)</f>
        <v/>
      </c>
    </row>
    <row r="2137">
      <c r="A2137" s="90" t="n">
        <v>7</v>
      </c>
      <c r="B2137" s="91">
        <f>EDATE($B2136,1)</f>
        <v/>
      </c>
      <c r="C2137" s="92">
        <f>EOMONTH($B2137,0)</f>
        <v/>
      </c>
      <c r="D2137" s="87">
        <f>$C2137-$B2137+1</f>
        <v/>
      </c>
      <c r="E2137" s="87">
        <f>MONTH($B2137)</f>
        <v/>
      </c>
      <c r="F2137" s="93">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$N2137*IF($O$2128=1,$O2137/$F$2128,1)</f>
        <v/>
      </c>
      <c r="T2137" s="95">
        <f>IF($G2137&lt;nr_MStartP,$S2137,$T2125*(1+IF($G2137&lt;nr_MStartP1,$M$2128,$N$2128)))</f>
        <v/>
      </c>
      <c r="U2137" s="95">
        <f>IF($L$2128,$T2137,$N2137)</f>
        <v/>
      </c>
    </row>
    <row r="2138">
      <c r="A2138" s="90" t="n">
        <v>8</v>
      </c>
      <c r="B2138" s="91">
        <f>EDATE($B2137,1)</f>
        <v/>
      </c>
      <c r="C2138" s="92">
        <f>EOMONTH($B2138,0)</f>
        <v/>
      </c>
      <c r="D2138" s="87">
        <f>$C2138-$B2138+1</f>
        <v/>
      </c>
      <c r="E2138" s="87">
        <f>MONTH($B2138)</f>
        <v/>
      </c>
      <c r="F2138" s="93">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$N2138*IF($O$2128=1,$O2138/$F$2128,1)</f>
        <v/>
      </c>
      <c r="T2138" s="95">
        <f>IF($G2138&lt;nr_MStartP,$S2138,$T2126*(1+IF($G2138&lt;nr_MStartP1,$M$2128,$N$2128)))</f>
        <v/>
      </c>
      <c r="U2138" s="95">
        <f>IF($L$2128,$T2138,$N2138)</f>
        <v/>
      </c>
    </row>
    <row r="2139">
      <c r="A2139" s="90" t="n">
        <v>9</v>
      </c>
      <c r="B2139" s="91">
        <f>EDATE($B2138,1)</f>
        <v/>
      </c>
      <c r="C2139" s="92">
        <f>EOMONTH($B2139,0)</f>
        <v/>
      </c>
      <c r="D2139" s="87">
        <f>$C2139-$B2139+1</f>
        <v/>
      </c>
      <c r="E2139" s="87">
        <f>MONTH($B2139)</f>
        <v/>
      </c>
      <c r="F2139" s="93">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$N2139*IF($O$2128=1,$O2139/$F$2128,1)</f>
        <v/>
      </c>
      <c r="T2139" s="95">
        <f>IF($G2139&lt;nr_MStartP,$S2139,$T2127*(1+IF($G2139&lt;nr_MStartP1,$M$2128,$N$2128)))</f>
        <v/>
      </c>
      <c r="U2139" s="95">
        <f>IF($L$2128,$T2139,$N2139)</f>
        <v/>
      </c>
    </row>
    <row r="2140">
      <c r="A2140" s="90" t="n">
        <v>10</v>
      </c>
      <c r="B2140" s="91">
        <f>EDATE($B2139,1)</f>
        <v/>
      </c>
      <c r="C2140" s="92">
        <f>EOMONTH($B2140,0)</f>
        <v/>
      </c>
      <c r="D2140" s="87">
        <f>$C2140-$B2140+1</f>
        <v/>
      </c>
      <c r="E2140" s="87">
        <f>MONTH($B2140)</f>
        <v/>
      </c>
      <c r="F2140" s="93">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$N2140*IF($O$2128=1,$O2140/$F$2128,1)</f>
        <v/>
      </c>
      <c r="T2140" s="95">
        <f>IF($G2140&lt;nr_MStartP,$S2140,$T2128*(1+IF($G2140&lt;nr_MStartP1,$M$2128,$N$2128)))</f>
        <v/>
      </c>
      <c r="U2140" s="95">
        <f>IF($L$2128,$T2140,$N2140)</f>
        <v/>
      </c>
    </row>
    <row r="2141">
      <c r="A2141" s="90" t="n">
        <v>11</v>
      </c>
      <c r="B2141" s="91">
        <f>EDATE($B2140,1)</f>
        <v/>
      </c>
      <c r="C2141" s="92">
        <f>EOMONTH($B2141,0)</f>
        <v/>
      </c>
      <c r="D2141" s="87">
        <f>$C2141-$B2141+1</f>
        <v/>
      </c>
      <c r="E2141" s="87">
        <f>MONTH($B2141)</f>
        <v/>
      </c>
      <c r="F2141" s="93">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$N2141*IF($O$2128=1,$O2141/$F$2128,1)</f>
        <v/>
      </c>
      <c r="T2141" s="95">
        <f>IF($G2141&lt;nr_MStartP,$S2141,$T2129*(1+IF($G2141&lt;nr_MStartP1,$M$2128,$N$2128)))</f>
        <v/>
      </c>
      <c r="U2141" s="95">
        <f>IF($L$2128,$T2141,$N2141)</f>
        <v/>
      </c>
    </row>
    <row r="2142">
      <c r="A2142" s="90" t="n">
        <v>12</v>
      </c>
      <c r="B2142" s="91">
        <f>EDATE($B2141,1)</f>
        <v/>
      </c>
      <c r="C2142" s="92">
        <f>EOMONTH($B2142,0)</f>
        <v/>
      </c>
      <c r="D2142" s="87">
        <f>$C2142-$B2142+1</f>
        <v/>
      </c>
      <c r="E2142" s="87">
        <f>MONTH($B2142)</f>
        <v/>
      </c>
      <c r="F2142" s="93">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$N2142*IF($O$2128=1,$O2142/$F$2128,1)</f>
        <v/>
      </c>
      <c r="T2142" s="95">
        <f>IF($G2142&lt;nr_MStartP,$S2142,$T2130*(1+IF($G2142&lt;nr_MStartP1,$M$2128,$N$2128)))</f>
        <v/>
      </c>
      <c r="U2142" s="95">
        <f>IF($L$2128,$T2142,$N2142)</f>
        <v/>
      </c>
    </row>
    <row r="2143">
      <c r="A2143" s="90" t="n">
        <v>13</v>
      </c>
      <c r="B2143" s="91">
        <f>EDATE($B2142,1)</f>
        <v/>
      </c>
      <c r="C2143" s="92">
        <f>EOMONTH($B2143,0)</f>
        <v/>
      </c>
      <c r="D2143" s="87">
        <f>$C2143-$B2143+1</f>
        <v/>
      </c>
      <c r="E2143" s="87">
        <f>MONTH($B2143)</f>
        <v/>
      </c>
      <c r="F2143" s="93">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$N2143*IF($O$2128=1,$O2143/$F$2128,1)</f>
        <v/>
      </c>
      <c r="T2143" s="95">
        <f>IF($G2143&lt;nr_MStartP,$S2143,$T2131*(1+IF($G2143&lt;nr_MStartP1,$M$2128,$N$2128)))</f>
        <v/>
      </c>
      <c r="U2143" s="95">
        <f>IF($L$2128,$T2143,$N2143)</f>
        <v/>
      </c>
    </row>
    <row r="2144">
      <c r="A2144" s="90" t="n">
        <v>14</v>
      </c>
      <c r="B2144" s="91">
        <f>EDATE($B2143,1)</f>
        <v/>
      </c>
      <c r="C2144" s="92">
        <f>EOMONTH($B2144,0)</f>
        <v/>
      </c>
      <c r="D2144" s="87">
        <f>$C2144-$B2144+1</f>
        <v/>
      </c>
      <c r="E2144" s="87">
        <f>MONTH($B2144)</f>
        <v/>
      </c>
      <c r="F2144" s="93">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$N2144*IF($O$2128=1,$O2144/$F$2128,1)</f>
        <v/>
      </c>
      <c r="T2144" s="95">
        <f>IF($G2144&lt;nr_MStartP,$S2144,$T2132*(1+IF($G2144&lt;nr_MStartP1,$M$2128,$N$2128)))</f>
        <v/>
      </c>
      <c r="U2144" s="95">
        <f>IF($L$2128,$T2144,$N2144)</f>
        <v/>
      </c>
    </row>
    <row r="2145">
      <c r="A2145" s="90" t="n">
        <v>15</v>
      </c>
      <c r="B2145" s="91">
        <f>EDATE($B2144,1)</f>
        <v/>
      </c>
      <c r="C2145" s="92">
        <f>EOMONTH($B2145,0)</f>
        <v/>
      </c>
      <c r="D2145" s="87">
        <f>$C2145-$B2145+1</f>
        <v/>
      </c>
      <c r="E2145" s="87">
        <f>MONTH($B2145)</f>
        <v/>
      </c>
      <c r="F2145" s="93">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$N2145*IF($O$2128=1,$O2145/$F$2128,1)</f>
        <v/>
      </c>
      <c r="T2145" s="95">
        <f>IF($G2145&lt;nr_MStartP,$S2145,$T2133*(1+IF($G2145&lt;nr_MStartP1,$M$2128,$N$2128)))</f>
        <v/>
      </c>
      <c r="U2145" s="95">
        <f>IF($L$2128,$T2145,$N2145)</f>
        <v/>
      </c>
    </row>
    <row r="2146">
      <c r="A2146" s="90" t="n">
        <v>16</v>
      </c>
      <c r="B2146" s="91">
        <f>EDATE($B2145,1)</f>
        <v/>
      </c>
      <c r="C2146" s="92">
        <f>EOMONTH($B2146,0)</f>
        <v/>
      </c>
      <c r="D2146" s="87">
        <f>$C2146-$B2146+1</f>
        <v/>
      </c>
      <c r="E2146" s="87">
        <f>MONTH($B2146)</f>
        <v/>
      </c>
      <c r="F2146" s="93">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$N2146*IF($O$2128=1,$O2146/$F$2128,1)</f>
        <v/>
      </c>
      <c r="T2146" s="95">
        <f>IF($G2146&lt;nr_MStartP,$S2146,$T2134*(1+IF($G2146&lt;nr_MStartP1,$M$2128,$N$2128)))</f>
        <v/>
      </c>
      <c r="U2146" s="95">
        <f>IF($L$2128,$T2146,$N2146)</f>
        <v/>
      </c>
    </row>
    <row r="2147">
      <c r="A2147" s="90" t="n">
        <v>17</v>
      </c>
      <c r="B2147" s="91">
        <f>EDATE($B2146,1)</f>
        <v/>
      </c>
      <c r="C2147" s="92">
        <f>EOMONTH($B2147,0)</f>
        <v/>
      </c>
      <c r="D2147" s="87">
        <f>$C2147-$B2147+1</f>
        <v/>
      </c>
      <c r="E2147" s="87">
        <f>MONTH($B2147)</f>
        <v/>
      </c>
      <c r="F2147" s="93">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$N2147*IF($O$2128=1,$O2147/$F$2128,1)</f>
        <v/>
      </c>
      <c r="T2147" s="95">
        <f>IF($G2147&lt;nr_MStartP,$S2147,$T2135*(1+IF($G2147&lt;nr_MStartP1,$M$2128,$N$2128)))</f>
        <v/>
      </c>
      <c r="U2147" s="95">
        <f>IF($L$2128,$T2147,$N2147)</f>
        <v/>
      </c>
    </row>
    <row r="2148">
      <c r="A2148" s="90" t="n">
        <v>18</v>
      </c>
      <c r="B2148" s="91">
        <f>EDATE($B2147,1)</f>
        <v/>
      </c>
      <c r="C2148" s="92">
        <f>EOMONTH($B2148,0)</f>
        <v/>
      </c>
      <c r="D2148" s="87">
        <f>$C2148-$B2148+1</f>
        <v/>
      </c>
      <c r="E2148" s="87">
        <f>MONTH($B2148)</f>
        <v/>
      </c>
      <c r="F2148" s="93">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$N2148*IF($O$2128=1,$O2148/$F$2128,1)</f>
        <v/>
      </c>
      <c r="T2148" s="95">
        <f>IF($G2148&lt;nr_MStartP,$S2148,$T2136*(1+IF($G2148&lt;nr_MStartP1,$M$2128,$N$2128)))</f>
        <v/>
      </c>
      <c r="U2148" s="95">
        <f>IF($L$2128,$T2148,$N2148)</f>
        <v/>
      </c>
    </row>
    <row r="2149">
      <c r="A2149" s="90" t="n">
        <v>19</v>
      </c>
      <c r="B2149" s="91">
        <f>EDATE($B2148,1)</f>
        <v/>
      </c>
      <c r="C2149" s="92">
        <f>EOMONTH($B2149,0)</f>
        <v/>
      </c>
      <c r="D2149" s="87">
        <f>$C2149-$B2149+1</f>
        <v/>
      </c>
      <c r="E2149" s="87">
        <f>MONTH($B2149)</f>
        <v/>
      </c>
      <c r="F2149" s="93">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$N2149*IF($O$2128=1,$O2149/$F$2128,1)</f>
        <v/>
      </c>
      <c r="T2149" s="95">
        <f>IF($G2149&lt;nr_MStartP,$S2149,$T2137*(1+IF($G2149&lt;nr_MStartP1,$M$2128,$N$2128)))</f>
        <v/>
      </c>
      <c r="U2149" s="95">
        <f>IF($L$2128,$T2149,$N2149)</f>
        <v/>
      </c>
    </row>
    <row r="2150">
      <c r="A2150" s="90" t="n">
        <v>20</v>
      </c>
      <c r="B2150" s="91">
        <f>EDATE($B2149,1)</f>
        <v/>
      </c>
      <c r="C2150" s="92">
        <f>EOMONTH($B2150,0)</f>
        <v/>
      </c>
      <c r="D2150" s="87">
        <f>$C2150-$B2150+1</f>
        <v/>
      </c>
      <c r="E2150" s="87">
        <f>MONTH($B2150)</f>
        <v/>
      </c>
      <c r="F2150" s="93">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$N2150*IF($O$2128=1,$O2150/$F$2128,1)</f>
        <v/>
      </c>
      <c r="T2150" s="95">
        <f>IF($G2150&lt;nr_MStartP,$S2150,$T2138*(1+IF($G2150&lt;nr_MStartP1,$M$2128,$N$2128)))</f>
        <v/>
      </c>
      <c r="U2150" s="95">
        <f>IF($L$2128,$T2150,$N2150)</f>
        <v/>
      </c>
    </row>
    <row r="2151">
      <c r="A2151" s="90" t="n">
        <v>21</v>
      </c>
      <c r="B2151" s="91">
        <f>EDATE($B2150,1)</f>
        <v/>
      </c>
      <c r="C2151" s="92">
        <f>EOMONTH($B2151,0)</f>
        <v/>
      </c>
      <c r="D2151" s="87">
        <f>$C2151-$B2151+1</f>
        <v/>
      </c>
      <c r="E2151" s="87">
        <f>MONTH($B2151)</f>
        <v/>
      </c>
      <c r="F2151" s="93">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$N2151*IF($O$2128=1,$O2151/$F$2128,1)</f>
        <v/>
      </c>
      <c r="T2151" s="95">
        <f>IF($G2151&lt;nr_MStartP,$S2151,$T2139*(1+IF($G2151&lt;nr_MStartP1,$M$2128,$N$2128)))</f>
        <v/>
      </c>
      <c r="U2151" s="95">
        <f>IF($L$2128,$T2151,$N2151)</f>
        <v/>
      </c>
    </row>
    <row r="2152">
      <c r="A2152" s="90" t="n">
        <v>22</v>
      </c>
      <c r="B2152" s="91">
        <f>EDATE($B2151,1)</f>
        <v/>
      </c>
      <c r="C2152" s="92">
        <f>EOMONTH($B2152,0)</f>
        <v/>
      </c>
      <c r="D2152" s="87">
        <f>$C2152-$B2152+1</f>
        <v/>
      </c>
      <c r="E2152" s="87">
        <f>MONTH($B2152)</f>
        <v/>
      </c>
      <c r="F2152" s="93">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$N2152*IF($O$2128=1,$O2152/$F$2128,1)</f>
        <v/>
      </c>
      <c r="T2152" s="95">
        <f>IF($G2152&lt;nr_MStartP,$S2152,$T2140*(1+IF($G2152&lt;nr_MStartP1,$M$2128,$N$2128)))</f>
        <v/>
      </c>
      <c r="U2152" s="95">
        <f>IF($L$2128,$T2152,$N2152)</f>
        <v/>
      </c>
    </row>
    <row r="2153">
      <c r="A2153" s="90" t="n">
        <v>23</v>
      </c>
      <c r="B2153" s="91">
        <f>EDATE($B2152,1)</f>
        <v/>
      </c>
      <c r="C2153" s="92">
        <f>EOMONTH($B2153,0)</f>
        <v/>
      </c>
      <c r="D2153" s="87">
        <f>$C2153-$B2153+1</f>
        <v/>
      </c>
      <c r="E2153" s="87">
        <f>MONTH($B2153)</f>
        <v/>
      </c>
      <c r="F2153" s="93">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$N2153*IF($O$2128=1,$O2153/$F$2128,1)</f>
        <v/>
      </c>
      <c r="T2153" s="95">
        <f>IF($G2153&lt;nr_MStartP,$S2153,$T2141*(1+IF($G2153&lt;nr_MStartP1,$M$2128,$N$2128)))</f>
        <v/>
      </c>
      <c r="U2153" s="95">
        <f>IF($L$2128,$T2153,$N2153)</f>
        <v/>
      </c>
    </row>
    <row r="2154">
      <c r="A2154" s="90" t="n">
        <v>24</v>
      </c>
      <c r="B2154" s="91">
        <f>EDATE($B2153,1)</f>
        <v/>
      </c>
      <c r="C2154" s="92">
        <f>EOMONTH($B2154,0)</f>
        <v/>
      </c>
      <c r="D2154" s="87">
        <f>$C2154-$B2154+1</f>
        <v/>
      </c>
      <c r="E2154" s="87">
        <f>MONTH($B2154)</f>
        <v/>
      </c>
      <c r="F2154" s="93">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$N2154*IF($O$2128=1,$O2154/$F$2128,1)</f>
        <v/>
      </c>
      <c r="T2154" s="95">
        <f>IF($G2154&lt;nr_MStartP,$S2154,$T2142*(1+IF($G2154&lt;nr_MStartP1,$M$2128,$N$2128)))</f>
        <v/>
      </c>
      <c r="U2154" s="95">
        <f>IF($L$2128,$T2154,$N2154)</f>
        <v/>
      </c>
    </row>
    <row r="2155">
      <c r="A2155" s="90" t="n">
        <v>25</v>
      </c>
      <c r="B2155" s="91">
        <f>EDATE($B2154,1)</f>
        <v/>
      </c>
      <c r="C2155" s="92">
        <f>EOMONTH($B2155,0)</f>
        <v/>
      </c>
      <c r="D2155" s="87">
        <f>$C2155-$B2155+1</f>
        <v/>
      </c>
      <c r="E2155" s="87">
        <f>MONTH($B2155)</f>
        <v/>
      </c>
      <c r="F2155" s="93">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$N2155*IF($O$2128=1,$O2155/$F$2128,1)</f>
        <v/>
      </c>
      <c r="T2155" s="95">
        <f>IF($G2155&lt;nr_MStartP,$S2155,$T2143*(1+IF($G2155&lt;nr_MStartP1,$M$2128,$N$2128)))</f>
        <v/>
      </c>
      <c r="U2155" s="95">
        <f>IF($L$2128,$T2155,$N2155)</f>
        <v/>
      </c>
    </row>
    <row r="2156">
      <c r="A2156" s="90" t="n">
        <v>26</v>
      </c>
      <c r="B2156" s="91">
        <f>EDATE($B2155,1)</f>
        <v/>
      </c>
      <c r="C2156" s="92">
        <f>EOMONTH($B2156,0)</f>
        <v/>
      </c>
      <c r="D2156" s="87">
        <f>$C2156-$B2156+1</f>
        <v/>
      </c>
      <c r="E2156" s="87">
        <f>MONTH($B2156)</f>
        <v/>
      </c>
      <c r="F2156" s="93">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$N2156*IF($O$2128=1,$O2156/$F$2128,1)</f>
        <v/>
      </c>
      <c r="T2156" s="95">
        <f>IF($G2156&lt;nr_MStartP,$S2156,$T2144*(1+IF($G2156&lt;nr_MStartP1,$M$2128,$N$2128)))</f>
        <v/>
      </c>
      <c r="U2156" s="95">
        <f>IF($L$2128,$T2156,$N2156)</f>
        <v/>
      </c>
    </row>
    <row r="2157">
      <c r="A2157" s="90" t="n">
        <v>27</v>
      </c>
      <c r="B2157" s="91">
        <f>EDATE($B2156,1)</f>
        <v/>
      </c>
      <c r="C2157" s="92">
        <f>EOMONTH($B2157,0)</f>
        <v/>
      </c>
      <c r="D2157" s="87">
        <f>$C2157-$B2157+1</f>
        <v/>
      </c>
      <c r="E2157" s="87">
        <f>MONTH($B2157)</f>
        <v/>
      </c>
      <c r="F2157" s="93">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$N2157*IF($O$2128=1,$O2157/$F$2128,1)</f>
        <v/>
      </c>
      <c r="T2157" s="95">
        <f>IF($G2157&lt;nr_MStartP,$S2157,$T2145*(1+IF($G2157&lt;nr_MStartP1,$M$2128,$N$2128)))</f>
        <v/>
      </c>
      <c r="U2157" s="95">
        <f>IF($L$2128,$T2157,$N2157)</f>
        <v/>
      </c>
    </row>
    <row r="2158">
      <c r="A2158" s="90" t="n">
        <v>28</v>
      </c>
      <c r="B2158" s="91">
        <f>EDATE($B2157,1)</f>
        <v/>
      </c>
      <c r="C2158" s="92">
        <f>EOMONTH($B2158,0)</f>
        <v/>
      </c>
      <c r="D2158" s="87">
        <f>$C2158-$B2158+1</f>
        <v/>
      </c>
      <c r="E2158" s="87">
        <f>MONTH($B2158)</f>
        <v/>
      </c>
      <c r="F2158" s="93">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$N2158*IF($O$2128=1,$O2158/$F$2128,1)</f>
        <v/>
      </c>
      <c r="T2158" s="95">
        <f>IF($G2158&lt;nr_MStartP,$S2158,$T2146*(1+IF($G2158&lt;nr_MStartP1,$M$2128,$N$2128)))</f>
        <v/>
      </c>
      <c r="U2158" s="95">
        <f>IF($L$2128,$T2158,$N2158)</f>
        <v/>
      </c>
    </row>
    <row r="2159">
      <c r="A2159" s="90" t="n">
        <v>29</v>
      </c>
      <c r="B2159" s="91">
        <f>EDATE($B2158,1)</f>
        <v/>
      </c>
      <c r="C2159" s="92">
        <f>EOMONTH($B2159,0)</f>
        <v/>
      </c>
      <c r="D2159" s="87">
        <f>$C2159-$B2159+1</f>
        <v/>
      </c>
      <c r="E2159" s="87">
        <f>MONTH($B2159)</f>
        <v/>
      </c>
      <c r="F2159" s="93">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$N2159*IF($O$2128=1,$O2159/$F$2128,1)</f>
        <v/>
      </c>
      <c r="T2159" s="95">
        <f>IF($G2159&lt;nr_MStartP,$S2159,$T2147*(1+IF($G2159&lt;nr_MStartP1,$M$2128,$N$2128)))</f>
        <v/>
      </c>
      <c r="U2159" s="95">
        <f>IF($L$2128,$T2159,$N2159)</f>
        <v/>
      </c>
    </row>
    <row r="2160">
      <c r="A2160" s="90" t="n">
        <v>30</v>
      </c>
      <c r="B2160" s="91">
        <f>EDATE($B2159,1)</f>
        <v/>
      </c>
      <c r="C2160" s="92">
        <f>EOMONTH($B2160,0)</f>
        <v/>
      </c>
      <c r="D2160" s="87">
        <f>$C2160-$B2160+1</f>
        <v/>
      </c>
      <c r="E2160" s="87">
        <f>MONTH($B2160)</f>
        <v/>
      </c>
      <c r="F2160" s="93">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$N2160*IF($O$2128=1,$O2160/$F$2128,1)</f>
        <v/>
      </c>
      <c r="T2160" s="95">
        <f>IF($G2160&lt;nr_MStartP,$S2160,$T2148*(1+IF($G2160&lt;nr_MStartP1,$M$2128,$N$2128)))</f>
        <v/>
      </c>
      <c r="U2160" s="95">
        <f>IF($L$2128,$T2160,$N2160)</f>
        <v/>
      </c>
    </row>
    <row r="2161">
      <c r="A2161" s="90" t="n">
        <v>31</v>
      </c>
      <c r="B2161" s="91">
        <f>EDATE($B2160,1)</f>
        <v/>
      </c>
      <c r="C2161" s="92">
        <f>EOMONTH($B2161,0)</f>
        <v/>
      </c>
      <c r="D2161" s="87">
        <f>$C2161-$B2161+1</f>
        <v/>
      </c>
      <c r="E2161" s="87">
        <f>MONTH($B2161)</f>
        <v/>
      </c>
      <c r="F2161" s="93">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$N2161*IF($O$2128=1,$O2161/$F$2128,1)</f>
        <v/>
      </c>
      <c r="T2161" s="95">
        <f>IF($G2161&lt;nr_MStartP,$S2161,$T2149*(1+IF($G2161&lt;nr_MStartP1,$M$2128,$N$2128)))</f>
        <v/>
      </c>
      <c r="U2161" s="95">
        <f>IF($L$2128,$T2161,$N2161)</f>
        <v/>
      </c>
    </row>
    <row r="2162">
      <c r="A2162" s="90" t="n">
        <v>32</v>
      </c>
      <c r="B2162" s="91">
        <f>EDATE($B2161,1)</f>
        <v/>
      </c>
      <c r="C2162" s="92">
        <f>EOMONTH($B2162,0)</f>
        <v/>
      </c>
      <c r="D2162" s="87">
        <f>$C2162-$B2162+1</f>
        <v/>
      </c>
      <c r="E2162" s="87">
        <f>MONTH($B2162)</f>
        <v/>
      </c>
      <c r="F2162" s="93">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$N2162*IF($O$2128=1,$O2162/$F$2128,1)</f>
        <v/>
      </c>
      <c r="T2162" s="95">
        <f>IF($G2162&lt;nr_MStartP,$S2162,$T2150*(1+IF($G2162&lt;nr_MStartP1,$M$2128,$N$2128)))</f>
        <v/>
      </c>
      <c r="U2162" s="95">
        <f>IF($L$2128,$T2162,$N2162)</f>
        <v/>
      </c>
    </row>
    <row r="2163">
      <c r="A2163" s="90" t="n">
        <v>33</v>
      </c>
      <c r="B2163" s="91">
        <f>EDATE($B2162,1)</f>
        <v/>
      </c>
      <c r="C2163" s="92">
        <f>EOMONTH($B2163,0)</f>
        <v/>
      </c>
      <c r="D2163" s="87">
        <f>$C2163-$B2163+1</f>
        <v/>
      </c>
      <c r="E2163" s="87">
        <f>MONTH($B2163)</f>
        <v/>
      </c>
      <c r="F2163" s="93">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$N2163*IF($O$2128=1,$O2163/$F$2128,1)</f>
        <v/>
      </c>
      <c r="T2163" s="95">
        <f>IF($G2163&lt;nr_MStartP,$S2163,$T2151*(1+IF($G2163&lt;nr_MStartP1,$M$2128,$N$2128)))</f>
        <v/>
      </c>
      <c r="U2163" s="95">
        <f>IF($L$2128,$T2163,$N2163)</f>
        <v/>
      </c>
    </row>
    <row r="2164">
      <c r="A2164" s="90" t="n">
        <v>34</v>
      </c>
      <c r="B2164" s="91">
        <f>EDATE($B2163,1)</f>
        <v/>
      </c>
      <c r="C2164" s="92">
        <f>EOMONTH($B2164,0)</f>
        <v/>
      </c>
      <c r="D2164" s="87">
        <f>$C2164-$B2164+1</f>
        <v/>
      </c>
      <c r="E2164" s="87">
        <f>MONTH($B2164)</f>
        <v/>
      </c>
      <c r="F2164" s="93">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$N2164*IF($O$2128=1,$O2164/$F$2128,1)</f>
        <v/>
      </c>
      <c r="T2164" s="95">
        <f>IF($G2164&lt;nr_MStartP,$S2164,$T2152*(1+IF($G2164&lt;nr_MStartP1,$M$2128,$N$2128)))</f>
        <v/>
      </c>
      <c r="U2164" s="95">
        <f>IF($L$2128,$T2164,$N2164)</f>
        <v/>
      </c>
    </row>
    <row r="2165">
      <c r="A2165" s="90" t="n">
        <v>35</v>
      </c>
      <c r="B2165" s="91">
        <f>EDATE($B2164,1)</f>
        <v/>
      </c>
      <c r="C2165" s="92">
        <f>EOMONTH($B2165,0)</f>
        <v/>
      </c>
      <c r="D2165" s="87">
        <f>$C2165-$B2165+1</f>
        <v/>
      </c>
      <c r="E2165" s="87">
        <f>MONTH($B2165)</f>
        <v/>
      </c>
      <c r="F2165" s="93">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$N2165*IF($O$2128=1,$O2165/$F$2128,1)</f>
        <v/>
      </c>
      <c r="T2165" s="95">
        <f>IF($G2165&lt;nr_MStartP,$S2165,$T2153*(1+IF($G2165&lt;nr_MStartP1,$M$2128,$N$2128)))</f>
        <v/>
      </c>
      <c r="U2165" s="95">
        <f>IF($L$2128,$T2165,$N2165)</f>
        <v/>
      </c>
    </row>
    <row r="2166">
      <c r="A2166" s="90" t="n">
        <v>36</v>
      </c>
      <c r="B2166" s="91">
        <f>EDATE($B2165,1)</f>
        <v/>
      </c>
      <c r="C2166" s="92">
        <f>EOMONTH($B2166,0)</f>
        <v/>
      </c>
      <c r="D2166" s="87">
        <f>$C2166-$B2166+1</f>
        <v/>
      </c>
      <c r="E2166" s="87">
        <f>MONTH($B2166)</f>
        <v/>
      </c>
      <c r="F2166" s="93">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$N2166*IF($O$2128=1,$O2166/$F$2128,1)</f>
        <v/>
      </c>
      <c r="T2166" s="95">
        <f>IF($G2166&lt;nr_MStartP,$S2166,$T2154*(1+IF($G2166&lt;nr_MStartP1,$M$2128,$N$2128)))</f>
        <v/>
      </c>
      <c r="U2166" s="95">
        <f>IF($L$2128,$T2166,$N2166)</f>
        <v/>
      </c>
    </row>
    <row r="2167">
      <c r="A2167" s="90" t="n">
        <v>37</v>
      </c>
      <c r="B2167" s="91">
        <f>EDATE($B2166,1)</f>
        <v/>
      </c>
      <c r="C2167" s="92">
        <f>EOMONTH($B2167,0)</f>
        <v/>
      </c>
      <c r="D2167" s="87">
        <f>$C2167-$B2167+1</f>
        <v/>
      </c>
      <c r="E2167" s="87">
        <f>MONTH($B2167)</f>
        <v/>
      </c>
      <c r="F2167" s="93">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$N2167*IF($O$2128=1,$O2167/$F$2128,1)</f>
        <v/>
      </c>
      <c r="T2167" s="95">
        <f>IF($G2167&lt;nr_MStartP,$S2167,$T2155*(1+IF($G2167&lt;nr_MStartP1,$M$2128,$N$2128)))</f>
        <v/>
      </c>
      <c r="U2167" s="95">
        <f>IF($L$2128,$T2167,$N2167)</f>
        <v/>
      </c>
    </row>
    <row r="2168">
      <c r="A2168" s="90" t="n">
        <v>38</v>
      </c>
      <c r="B2168" s="91">
        <f>EDATE($B2167,1)</f>
        <v/>
      </c>
      <c r="C2168" s="92">
        <f>EOMONTH($B2168,0)</f>
        <v/>
      </c>
      <c r="D2168" s="87">
        <f>$C2168-$B2168+1</f>
        <v/>
      </c>
      <c r="E2168" s="87">
        <f>MONTH($B2168)</f>
        <v/>
      </c>
      <c r="F2168" s="93">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$N2168*IF($O$2128=1,$O2168/$F$2128,1)</f>
        <v/>
      </c>
      <c r="T2168" s="95">
        <f>IF($G2168&lt;nr_MStartP,$S2168,$T2156*(1+IF($G2168&lt;nr_MStartP1,$M$2128,$N$2128)))</f>
        <v/>
      </c>
      <c r="U2168" s="95">
        <f>IF($L$2128,$T2168,$N2168)</f>
        <v/>
      </c>
    </row>
    <row r="2169">
      <c r="A2169" s="90" t="n">
        <v>39</v>
      </c>
      <c r="B2169" s="91">
        <f>EDATE($B2168,1)</f>
        <v/>
      </c>
      <c r="C2169" s="92">
        <f>EOMONTH($B2169,0)</f>
        <v/>
      </c>
      <c r="D2169" s="87">
        <f>$C2169-$B2169+1</f>
        <v/>
      </c>
      <c r="E2169" s="87">
        <f>MONTH($B2169)</f>
        <v/>
      </c>
      <c r="F2169" s="93">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$N2169*IF($O$2128=1,$O2169/$F$2128,1)</f>
        <v/>
      </c>
      <c r="T2169" s="95">
        <f>IF($G2169&lt;nr_MStartP,$S2169,$T2157*(1+IF($G2169&lt;nr_MStartP1,$M$2128,$N$2128)))</f>
        <v/>
      </c>
      <c r="U2169" s="95">
        <f>IF($L$2128,$T2169,$N2169)</f>
        <v/>
      </c>
    </row>
    <row r="2170">
      <c r="A2170" s="90" t="n">
        <v>40</v>
      </c>
      <c r="B2170" s="91">
        <f>EDATE($B2169,1)</f>
        <v/>
      </c>
      <c r="C2170" s="92">
        <f>EOMONTH($B2170,0)</f>
        <v/>
      </c>
      <c r="D2170" s="87">
        <f>$C2170-$B2170+1</f>
        <v/>
      </c>
      <c r="E2170" s="87">
        <f>MONTH($B2170)</f>
        <v/>
      </c>
      <c r="F2170" s="93">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$N2170*IF($O$2128=1,$O2170/$F$2128,1)</f>
        <v/>
      </c>
      <c r="T2170" s="95">
        <f>IF($G2170&lt;nr_MStartP,$S2170,$T2158*(1+IF($G2170&lt;nr_MStartP1,$M$2128,$N$2128)))</f>
        <v/>
      </c>
      <c r="U2170" s="95">
        <f>IF($L$2128,$T2170,$N2170)</f>
        <v/>
      </c>
    </row>
    <row r="2171">
      <c r="A2171" s="90" t="n">
        <v>41</v>
      </c>
      <c r="B2171" s="91">
        <f>EDATE($B2170,1)</f>
        <v/>
      </c>
      <c r="C2171" s="92">
        <f>EOMONTH($B2171,0)</f>
        <v/>
      </c>
      <c r="D2171" s="87">
        <f>$C2171-$B2171+1</f>
        <v/>
      </c>
      <c r="E2171" s="87">
        <f>MONTH($B2171)</f>
        <v/>
      </c>
      <c r="F2171" s="93">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$N2171*IF($O$2128=1,$O2171/$F$2128,1)</f>
        <v/>
      </c>
      <c r="T2171" s="95">
        <f>IF($G2171&lt;nr_MStartP,$S2171,$T2159*(1+IF($G2171&lt;nr_MStartP1,$M$2128,$N$2128)))</f>
        <v/>
      </c>
      <c r="U2171" s="95">
        <f>IF($L$2128,$T2171,$N2171)</f>
        <v/>
      </c>
    </row>
    <row r="2172">
      <c r="A2172" s="90" t="n">
        <v>42</v>
      </c>
      <c r="B2172" s="91">
        <f>EDATE($B2171,1)</f>
        <v/>
      </c>
      <c r="C2172" s="92">
        <f>EOMONTH($B2172,0)</f>
        <v/>
      </c>
      <c r="D2172" s="87">
        <f>$C2172-$B2172+1</f>
        <v/>
      </c>
      <c r="E2172" s="87">
        <f>MONTH($B2172)</f>
        <v/>
      </c>
      <c r="F2172" s="93">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$N2172*IF($O$2128=1,$O2172/$F$2128,1)</f>
        <v/>
      </c>
      <c r="T2172" s="95">
        <f>IF($G2172&lt;nr_MStartP,$S2172,$T2160*(1+IF($G2172&lt;nr_MStartP1,$M$2128,$N$2128)))</f>
        <v/>
      </c>
      <c r="U2172" s="95">
        <f>IF($L$2128,$T2172,$N2172)</f>
        <v/>
      </c>
    </row>
    <row r="2173">
      <c r="A2173" s="90" t="n">
        <v>43</v>
      </c>
      <c r="B2173" s="91">
        <f>EDATE($B2172,1)</f>
        <v/>
      </c>
      <c r="C2173" s="92">
        <f>EOMONTH($B2173,0)</f>
        <v/>
      </c>
      <c r="D2173" s="87">
        <f>$C2173-$B2173+1</f>
        <v/>
      </c>
      <c r="E2173" s="87">
        <f>MONTH($B2173)</f>
        <v/>
      </c>
      <c r="F2173" s="93">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$N2173*IF($O$2128=1,$O2173/$F$2128,1)</f>
        <v/>
      </c>
      <c r="T2173" s="95">
        <f>IF($G2173&lt;nr_MStartP,$S2173,$T2161*(1+IF($G2173&lt;nr_MStartP1,$M$2128,$N$2128)))</f>
        <v/>
      </c>
      <c r="U2173" s="95">
        <f>IF($L$2128,$T2173,$N2173)</f>
        <v/>
      </c>
    </row>
    <row r="2174">
      <c r="A2174" s="90" t="n">
        <v>44</v>
      </c>
      <c r="B2174" s="91">
        <f>EDATE($B2173,1)</f>
        <v/>
      </c>
      <c r="C2174" s="92">
        <f>EOMONTH($B2174,0)</f>
        <v/>
      </c>
      <c r="D2174" s="87">
        <f>$C2174-$B2174+1</f>
        <v/>
      </c>
      <c r="E2174" s="87">
        <f>MONTH($B2174)</f>
        <v/>
      </c>
      <c r="F2174" s="93">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$N2174*IF($O$2128=1,$O2174/$F$2128,1)</f>
        <v/>
      </c>
      <c r="T2174" s="95">
        <f>IF($G2174&lt;nr_MStartP,$S2174,$T2162*(1+IF($G2174&lt;nr_MStartP1,$M$2128,$N$2128)))</f>
        <v/>
      </c>
      <c r="U2174" s="95">
        <f>IF($L$2128,$T2174,$N2174)</f>
        <v/>
      </c>
    </row>
    <row r="2175">
      <c r="A2175" s="90" t="n">
        <v>45</v>
      </c>
      <c r="B2175" s="91">
        <f>EDATE($B2174,1)</f>
        <v/>
      </c>
      <c r="C2175" s="92">
        <f>EOMONTH($B2175,0)</f>
        <v/>
      </c>
      <c r="D2175" s="87">
        <f>$C2175-$B2175+1</f>
        <v/>
      </c>
      <c r="E2175" s="87">
        <f>MONTH($B2175)</f>
        <v/>
      </c>
      <c r="F2175" s="93">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$N2175*IF($O$2128=1,$O2175/$F$2128,1)</f>
        <v/>
      </c>
      <c r="T2175" s="95">
        <f>IF($G2175&lt;nr_MStartP,$S2175,$T2163*(1+IF($G2175&lt;nr_MStartP1,$M$2128,$N$2128)))</f>
        <v/>
      </c>
      <c r="U2175" s="95">
        <f>IF($L$2128,$T2175,$N2175)</f>
        <v/>
      </c>
    </row>
    <row r="2176">
      <c r="A2176" s="90" t="n">
        <v>46</v>
      </c>
      <c r="B2176" s="91">
        <f>EDATE($B2175,1)</f>
        <v/>
      </c>
      <c r="C2176" s="92">
        <f>EOMONTH($B2176,0)</f>
        <v/>
      </c>
      <c r="D2176" s="87">
        <f>$C2176-$B2176+1</f>
        <v/>
      </c>
      <c r="E2176" s="87">
        <f>MONTH($B2176)</f>
        <v/>
      </c>
      <c r="F2176" s="93">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$N2176*IF($O$2128=1,$O2176/$F$2128,1)</f>
        <v/>
      </c>
      <c r="T2176" s="95">
        <f>IF($G2176&lt;nr_MStartP,$S2176,$T2164*(1+IF($G2176&lt;nr_MStartP1,$M$2128,$N$2128)))</f>
        <v/>
      </c>
      <c r="U2176" s="95">
        <f>IF($L$2128,$T2176,$N2176)</f>
        <v/>
      </c>
    </row>
    <row r="2177">
      <c r="A2177" s="90" t="n">
        <v>47</v>
      </c>
      <c r="B2177" s="91">
        <f>EDATE($B2176,1)</f>
        <v/>
      </c>
      <c r="C2177" s="92">
        <f>EOMONTH($B2177,0)</f>
        <v/>
      </c>
      <c r="D2177" s="87">
        <f>$C2177-$B2177+1</f>
        <v/>
      </c>
      <c r="E2177" s="87">
        <f>MONTH($B2177)</f>
        <v/>
      </c>
      <c r="F2177" s="93">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$N2177*IF($O$2128=1,$O2177/$F$2128,1)</f>
        <v/>
      </c>
      <c r="T2177" s="95">
        <f>IF($G2177&lt;nr_MStartP,$S2177,$T2165*(1+IF($G2177&lt;nr_MStartP1,$M$2128,$N$2128)))</f>
        <v/>
      </c>
      <c r="U2177" s="95">
        <f>IF($L$2128,$T2177,$N2177)</f>
        <v/>
      </c>
    </row>
    <row r="2178">
      <c r="A2178" s="90" t="n">
        <v>48</v>
      </c>
      <c r="B2178" s="91">
        <f>EDATE($B2177,1)</f>
        <v/>
      </c>
      <c r="C2178" s="92">
        <f>EOMONTH($B2178,0)</f>
        <v/>
      </c>
      <c r="D2178" s="87">
        <f>$C2178-$B2178+1</f>
        <v/>
      </c>
      <c r="E2178" s="87">
        <f>MONTH($B2178)</f>
        <v/>
      </c>
      <c r="F2178" s="93">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$N2178*IF($O$2128=1,$O2178/$F$2128,1)</f>
        <v/>
      </c>
      <c r="T2178" s="95">
        <f>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04">
        <f>SUMPRODUCT($H$2131:$H$2178,$Q$2131:$Q$2178,$O$2131:$O$2178)/SUMPRODUCT($H$2131:$H$2178,$Q$2131:$Q$2178)</f>
        <v/>
      </c>
      <c r="G2179" s="20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04">
        <f>IF(N(INDEX(lr_mind,40))=0,1,INDEX(lr_mind,40))</f>
        <v/>
      </c>
      <c r="G2182" s="204">
        <f>IF(N(INDEX(lr_m0,40))=0,1,INDEX(lr_m0,40))</f>
        <v/>
      </c>
      <c r="H2182" s="73">
        <f>IF(N(INDEX(lr_m0asof,40))=0,DATE(nr_PlanYear-1,10,1),INDEX(lr_m0asof,40))</f>
        <v/>
      </c>
      <c r="I2182" s="204">
        <f>IF(N(INDEX(lr_m1,40))=0,1,INDEX(lr_m1,40))</f>
        <v/>
      </c>
      <c r="J2182" s="204">
        <f>INDEX(lr_mprior,40)</f>
        <v/>
      </c>
      <c r="K2182" s="20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93">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$N2185*IF($O$2182=1,$O2185/$F$2182,1)</f>
        <v/>
      </c>
      <c r="T2185" s="95">
        <f>IF($G2185&lt;nr_MStartP,$S2185,$T2173*(1+IF($G2185&lt;nr_MStartP1,$M$2182,$N$2182)))</f>
        <v/>
      </c>
      <c r="U2185" s="95">
        <f>IF($L$2182,$T2185,$N2185)</f>
        <v/>
      </c>
    </row>
    <row r="2186">
      <c r="A2186" s="90" t="n">
        <v>2</v>
      </c>
      <c r="B2186" s="91">
        <f>EDATE($B2185,1)</f>
        <v/>
      </c>
      <c r="C2186" s="92">
        <f>EOMONTH($B2186,0)</f>
        <v/>
      </c>
      <c r="D2186" s="87">
        <f>$C2186-$B2186+1</f>
        <v/>
      </c>
      <c r="E2186" s="87">
        <f>MONTH($B2186)</f>
        <v/>
      </c>
      <c r="F2186" s="93">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$N2186*IF($O$2182=1,$O2186/$F$2182,1)</f>
        <v/>
      </c>
      <c r="T2186" s="95">
        <f>IF($G2186&lt;nr_MStartP,$S2186,$T2174*(1+IF($G2186&lt;nr_MStartP1,$M$2182,$N$2182)))</f>
        <v/>
      </c>
      <c r="U2186" s="95">
        <f>IF($L$2182,$T2186,$N2186)</f>
        <v/>
      </c>
    </row>
    <row r="2187">
      <c r="A2187" s="90" t="n">
        <v>3</v>
      </c>
      <c r="B2187" s="91">
        <f>EDATE($B2186,1)</f>
        <v/>
      </c>
      <c r="C2187" s="92">
        <f>EOMONTH($B2187,0)</f>
        <v/>
      </c>
      <c r="D2187" s="87">
        <f>$C2187-$B2187+1</f>
        <v/>
      </c>
      <c r="E2187" s="87">
        <f>MONTH($B2187)</f>
        <v/>
      </c>
      <c r="F2187" s="93">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$N2187*IF($O$2182=1,$O2187/$F$2182,1)</f>
        <v/>
      </c>
      <c r="T2187" s="95">
        <f>IF($G2187&lt;nr_MStartP,$S2187,$T2175*(1+IF($G2187&lt;nr_MStartP1,$M$2182,$N$2182)))</f>
        <v/>
      </c>
      <c r="U2187" s="95">
        <f>IF($L$2182,$T2187,$N2187)</f>
        <v/>
      </c>
    </row>
    <row r="2188">
      <c r="A2188" s="90" t="n">
        <v>4</v>
      </c>
      <c r="B2188" s="91">
        <f>EDATE($B2187,1)</f>
        <v/>
      </c>
      <c r="C2188" s="92">
        <f>EOMONTH($B2188,0)</f>
        <v/>
      </c>
      <c r="D2188" s="87">
        <f>$C2188-$B2188+1</f>
        <v/>
      </c>
      <c r="E2188" s="87">
        <f>MONTH($B2188)</f>
        <v/>
      </c>
      <c r="F2188" s="93">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$N2188*IF($O$2182=1,$O2188/$F$2182,1)</f>
        <v/>
      </c>
      <c r="T2188" s="95">
        <f>IF($G2188&lt;nr_MStartP,$S2188,$T2176*(1+IF($G2188&lt;nr_MStartP1,$M$2182,$N$2182)))</f>
        <v/>
      </c>
      <c r="U2188" s="95">
        <f>IF($L$2182,$T2188,$N2188)</f>
        <v/>
      </c>
    </row>
    <row r="2189">
      <c r="A2189" s="90" t="n">
        <v>5</v>
      </c>
      <c r="B2189" s="91">
        <f>EDATE($B2188,1)</f>
        <v/>
      </c>
      <c r="C2189" s="92">
        <f>EOMONTH($B2189,0)</f>
        <v/>
      </c>
      <c r="D2189" s="87">
        <f>$C2189-$B2189+1</f>
        <v/>
      </c>
      <c r="E2189" s="87">
        <f>MONTH($B2189)</f>
        <v/>
      </c>
      <c r="F2189" s="93">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$N2189*IF($O$2182=1,$O2189/$F$2182,1)</f>
        <v/>
      </c>
      <c r="T2189" s="95">
        <f>IF($G2189&lt;nr_MStartP,$S2189,$T2177*(1+IF($G2189&lt;nr_MStartP1,$M$2182,$N$2182)))</f>
        <v/>
      </c>
      <c r="U2189" s="95">
        <f>IF($L$2182,$T2189,$N2189)</f>
        <v/>
      </c>
    </row>
    <row r="2190">
      <c r="A2190" s="90" t="n">
        <v>6</v>
      </c>
      <c r="B2190" s="91">
        <f>EDATE($B2189,1)</f>
        <v/>
      </c>
      <c r="C2190" s="92">
        <f>EOMONTH($B2190,0)</f>
        <v/>
      </c>
      <c r="D2190" s="87">
        <f>$C2190-$B2190+1</f>
        <v/>
      </c>
      <c r="E2190" s="87">
        <f>MONTH($B2190)</f>
        <v/>
      </c>
      <c r="F2190" s="93">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$N2190*IF($O$2182=1,$O2190/$F$2182,1)</f>
        <v/>
      </c>
      <c r="T2190" s="95">
        <f>IF($G2190&lt;nr_MStartP,$S2190,$T2178*(1+IF($G2190&lt;nr_MStartP1,$M$2182,$N$2182)))</f>
        <v/>
      </c>
      <c r="U2190" s="95">
        <f>IF($L$2182,$T2190,$N2190)</f>
        <v/>
      </c>
    </row>
    <row r="2191">
      <c r="A2191" s="90" t="n">
        <v>7</v>
      </c>
      <c r="B2191" s="91">
        <f>EDATE($B2190,1)</f>
        <v/>
      </c>
      <c r="C2191" s="92">
        <f>EOMONTH($B2191,0)</f>
        <v/>
      </c>
      <c r="D2191" s="87">
        <f>$C2191-$B2191+1</f>
        <v/>
      </c>
      <c r="E2191" s="87">
        <f>MONTH($B2191)</f>
        <v/>
      </c>
      <c r="F2191" s="93">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$N2191*IF($O$2182=1,$O2191/$F$2182,1)</f>
        <v/>
      </c>
      <c r="T2191" s="95">
        <f>IF($G2191&lt;nr_MStartP,$S2191,$T2179*(1+IF($G2191&lt;nr_MStartP1,$M$2182,$N$2182)))</f>
        <v/>
      </c>
      <c r="U2191" s="95">
        <f>IF($L$2182,$T2191,$N2191)</f>
        <v/>
      </c>
    </row>
    <row r="2192">
      <c r="A2192" s="90" t="n">
        <v>8</v>
      </c>
      <c r="B2192" s="91">
        <f>EDATE($B2191,1)</f>
        <v/>
      </c>
      <c r="C2192" s="92">
        <f>EOMONTH($B2192,0)</f>
        <v/>
      </c>
      <c r="D2192" s="87">
        <f>$C2192-$B2192+1</f>
        <v/>
      </c>
      <c r="E2192" s="87">
        <f>MONTH($B2192)</f>
        <v/>
      </c>
      <c r="F2192" s="93">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$N2192*IF($O$2182=1,$O2192/$F$2182,1)</f>
        <v/>
      </c>
      <c r="T2192" s="95">
        <f>IF($G2192&lt;nr_MStartP,$S2192,$T2180*(1+IF($G2192&lt;nr_MStartP1,$M$2182,$N$2182)))</f>
        <v/>
      </c>
      <c r="U2192" s="95">
        <f>IF($L$2182,$T2192,$N2192)</f>
        <v/>
      </c>
    </row>
    <row r="2193">
      <c r="A2193" s="90" t="n">
        <v>9</v>
      </c>
      <c r="B2193" s="91">
        <f>EDATE($B2192,1)</f>
        <v/>
      </c>
      <c r="C2193" s="92">
        <f>EOMONTH($B2193,0)</f>
        <v/>
      </c>
      <c r="D2193" s="87">
        <f>$C2193-$B2193+1</f>
        <v/>
      </c>
      <c r="E2193" s="87">
        <f>MONTH($B2193)</f>
        <v/>
      </c>
      <c r="F2193" s="93">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$N2193*IF($O$2182=1,$O2193/$F$2182,1)</f>
        <v/>
      </c>
      <c r="T2193" s="95">
        <f>IF($G2193&lt;nr_MStartP,$S2193,$T2181*(1+IF($G2193&lt;nr_MStartP1,$M$2182,$N$2182)))</f>
        <v/>
      </c>
      <c r="U2193" s="95">
        <f>IF($L$2182,$T2193,$N2193)</f>
        <v/>
      </c>
    </row>
    <row r="2194">
      <c r="A2194" s="90" t="n">
        <v>10</v>
      </c>
      <c r="B2194" s="91">
        <f>EDATE($B2193,1)</f>
        <v/>
      </c>
      <c r="C2194" s="92">
        <f>EOMONTH($B2194,0)</f>
        <v/>
      </c>
      <c r="D2194" s="87">
        <f>$C2194-$B2194+1</f>
        <v/>
      </c>
      <c r="E2194" s="87">
        <f>MONTH($B2194)</f>
        <v/>
      </c>
      <c r="F2194" s="93">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$N2194*IF($O$2182=1,$O2194/$F$2182,1)</f>
        <v/>
      </c>
      <c r="T2194" s="95">
        <f>IF($G2194&lt;nr_MStartP,$S2194,$T2182*(1+IF($G2194&lt;nr_MStartP1,$M$2182,$N$2182)))</f>
        <v/>
      </c>
      <c r="U2194" s="95">
        <f>IF($L$2182,$T2194,$N2194)</f>
        <v/>
      </c>
    </row>
    <row r="2195">
      <c r="A2195" s="90" t="n">
        <v>11</v>
      </c>
      <c r="B2195" s="91">
        <f>EDATE($B2194,1)</f>
        <v/>
      </c>
      <c r="C2195" s="92">
        <f>EOMONTH($B2195,0)</f>
        <v/>
      </c>
      <c r="D2195" s="87">
        <f>$C2195-$B2195+1</f>
        <v/>
      </c>
      <c r="E2195" s="87">
        <f>MONTH($B2195)</f>
        <v/>
      </c>
      <c r="F2195" s="93">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$N2195*IF($O$2182=1,$O2195/$F$2182,1)</f>
        <v/>
      </c>
      <c r="T2195" s="95">
        <f>IF($G2195&lt;nr_MStartP,$S2195,$T2183*(1+IF($G2195&lt;nr_MStartP1,$M$2182,$N$2182)))</f>
        <v/>
      </c>
      <c r="U2195" s="95">
        <f>IF($L$2182,$T2195,$N2195)</f>
        <v/>
      </c>
    </row>
    <row r="2196">
      <c r="A2196" s="90" t="n">
        <v>12</v>
      </c>
      <c r="B2196" s="91">
        <f>EDATE($B2195,1)</f>
        <v/>
      </c>
      <c r="C2196" s="92">
        <f>EOMONTH($B2196,0)</f>
        <v/>
      </c>
      <c r="D2196" s="87">
        <f>$C2196-$B2196+1</f>
        <v/>
      </c>
      <c r="E2196" s="87">
        <f>MONTH($B2196)</f>
        <v/>
      </c>
      <c r="F2196" s="93">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$N2196*IF($O$2182=1,$O2196/$F$2182,1)</f>
        <v/>
      </c>
      <c r="T2196" s="95">
        <f>IF($G2196&lt;nr_MStartP,$S2196,$T2184*(1+IF($G2196&lt;nr_MStartP1,$M$2182,$N$2182)))</f>
        <v/>
      </c>
      <c r="U2196" s="95">
        <f>IF($L$2182,$T2196,$N2196)</f>
        <v/>
      </c>
    </row>
    <row r="2197">
      <c r="A2197" s="90" t="n">
        <v>13</v>
      </c>
      <c r="B2197" s="91">
        <f>EDATE($B2196,1)</f>
        <v/>
      </c>
      <c r="C2197" s="92">
        <f>EOMONTH($B2197,0)</f>
        <v/>
      </c>
      <c r="D2197" s="87">
        <f>$C2197-$B2197+1</f>
        <v/>
      </c>
      <c r="E2197" s="87">
        <f>MONTH($B2197)</f>
        <v/>
      </c>
      <c r="F2197" s="93">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$N2197*IF($O$2182=1,$O2197/$F$2182,1)</f>
        <v/>
      </c>
      <c r="T2197" s="95">
        <f>IF($G2197&lt;nr_MStartP,$S2197,$T2185*(1+IF($G2197&lt;nr_MStartP1,$M$2182,$N$2182)))</f>
        <v/>
      </c>
      <c r="U2197" s="95">
        <f>IF($L$2182,$T2197,$N2197)</f>
        <v/>
      </c>
    </row>
    <row r="2198">
      <c r="A2198" s="90" t="n">
        <v>14</v>
      </c>
      <c r="B2198" s="91">
        <f>EDATE($B2197,1)</f>
        <v/>
      </c>
      <c r="C2198" s="92">
        <f>EOMONTH($B2198,0)</f>
        <v/>
      </c>
      <c r="D2198" s="87">
        <f>$C2198-$B2198+1</f>
        <v/>
      </c>
      <c r="E2198" s="87">
        <f>MONTH($B2198)</f>
        <v/>
      </c>
      <c r="F2198" s="93">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$N2198*IF($O$2182=1,$O2198/$F$2182,1)</f>
        <v/>
      </c>
      <c r="T2198" s="95">
        <f>IF($G2198&lt;nr_MStartP,$S2198,$T2186*(1+IF($G2198&lt;nr_MStartP1,$M$2182,$N$2182)))</f>
        <v/>
      </c>
      <c r="U2198" s="95">
        <f>IF($L$2182,$T2198,$N2198)</f>
        <v/>
      </c>
    </row>
    <row r="2199">
      <c r="A2199" s="90" t="n">
        <v>15</v>
      </c>
      <c r="B2199" s="91">
        <f>EDATE($B2198,1)</f>
        <v/>
      </c>
      <c r="C2199" s="92">
        <f>EOMONTH($B2199,0)</f>
        <v/>
      </c>
      <c r="D2199" s="87">
        <f>$C2199-$B2199+1</f>
        <v/>
      </c>
      <c r="E2199" s="87">
        <f>MONTH($B2199)</f>
        <v/>
      </c>
      <c r="F2199" s="93">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$N2199*IF($O$2182=1,$O2199/$F$2182,1)</f>
        <v/>
      </c>
      <c r="T2199" s="95">
        <f>IF($G2199&lt;nr_MStartP,$S2199,$T2187*(1+IF($G2199&lt;nr_MStartP1,$M$2182,$N$2182)))</f>
        <v/>
      </c>
      <c r="U2199" s="95">
        <f>IF($L$2182,$T2199,$N2199)</f>
        <v/>
      </c>
    </row>
    <row r="2200">
      <c r="A2200" s="90" t="n">
        <v>16</v>
      </c>
      <c r="B2200" s="91">
        <f>EDATE($B2199,1)</f>
        <v/>
      </c>
      <c r="C2200" s="92">
        <f>EOMONTH($B2200,0)</f>
        <v/>
      </c>
      <c r="D2200" s="87">
        <f>$C2200-$B2200+1</f>
        <v/>
      </c>
      <c r="E2200" s="87">
        <f>MONTH($B2200)</f>
        <v/>
      </c>
      <c r="F2200" s="93">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$N2200*IF($O$2182=1,$O2200/$F$2182,1)</f>
        <v/>
      </c>
      <c r="T2200" s="95">
        <f>IF($G2200&lt;nr_MStartP,$S2200,$T2188*(1+IF($G2200&lt;nr_MStartP1,$M$2182,$N$2182)))</f>
        <v/>
      </c>
      <c r="U2200" s="95">
        <f>IF($L$2182,$T2200,$N2200)</f>
        <v/>
      </c>
    </row>
    <row r="2201">
      <c r="A2201" s="90" t="n">
        <v>17</v>
      </c>
      <c r="B2201" s="91">
        <f>EDATE($B2200,1)</f>
        <v/>
      </c>
      <c r="C2201" s="92">
        <f>EOMONTH($B2201,0)</f>
        <v/>
      </c>
      <c r="D2201" s="87">
        <f>$C2201-$B2201+1</f>
        <v/>
      </c>
      <c r="E2201" s="87">
        <f>MONTH($B2201)</f>
        <v/>
      </c>
      <c r="F2201" s="93">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$N2201*IF($O$2182=1,$O2201/$F$2182,1)</f>
        <v/>
      </c>
      <c r="T2201" s="95">
        <f>IF($G2201&lt;nr_MStartP,$S2201,$T2189*(1+IF($G2201&lt;nr_MStartP1,$M$2182,$N$2182)))</f>
        <v/>
      </c>
      <c r="U2201" s="95">
        <f>IF($L$2182,$T2201,$N2201)</f>
        <v/>
      </c>
    </row>
    <row r="2202">
      <c r="A2202" s="90" t="n">
        <v>18</v>
      </c>
      <c r="B2202" s="91">
        <f>EDATE($B2201,1)</f>
        <v/>
      </c>
      <c r="C2202" s="92">
        <f>EOMONTH($B2202,0)</f>
        <v/>
      </c>
      <c r="D2202" s="87">
        <f>$C2202-$B2202+1</f>
        <v/>
      </c>
      <c r="E2202" s="87">
        <f>MONTH($B2202)</f>
        <v/>
      </c>
      <c r="F2202" s="93">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$N2202*IF($O$2182=1,$O2202/$F$2182,1)</f>
        <v/>
      </c>
      <c r="T2202" s="95">
        <f>IF($G2202&lt;nr_MStartP,$S2202,$T2190*(1+IF($G2202&lt;nr_MStartP1,$M$2182,$N$2182)))</f>
        <v/>
      </c>
      <c r="U2202" s="95">
        <f>IF($L$2182,$T2202,$N2202)</f>
        <v/>
      </c>
    </row>
    <row r="2203">
      <c r="A2203" s="90" t="n">
        <v>19</v>
      </c>
      <c r="B2203" s="91">
        <f>EDATE($B2202,1)</f>
        <v/>
      </c>
      <c r="C2203" s="92">
        <f>EOMONTH($B2203,0)</f>
        <v/>
      </c>
      <c r="D2203" s="87">
        <f>$C2203-$B2203+1</f>
        <v/>
      </c>
      <c r="E2203" s="87">
        <f>MONTH($B2203)</f>
        <v/>
      </c>
      <c r="F2203" s="93">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$N2203*IF($O$2182=1,$O2203/$F$2182,1)</f>
        <v/>
      </c>
      <c r="T2203" s="95">
        <f>IF($G2203&lt;nr_MStartP,$S2203,$T2191*(1+IF($G2203&lt;nr_MStartP1,$M$2182,$N$2182)))</f>
        <v/>
      </c>
      <c r="U2203" s="95">
        <f>IF($L$2182,$T2203,$N2203)</f>
        <v/>
      </c>
    </row>
    <row r="2204">
      <c r="A2204" s="90" t="n">
        <v>20</v>
      </c>
      <c r="B2204" s="91">
        <f>EDATE($B2203,1)</f>
        <v/>
      </c>
      <c r="C2204" s="92">
        <f>EOMONTH($B2204,0)</f>
        <v/>
      </c>
      <c r="D2204" s="87">
        <f>$C2204-$B2204+1</f>
        <v/>
      </c>
      <c r="E2204" s="87">
        <f>MONTH($B2204)</f>
        <v/>
      </c>
      <c r="F2204" s="93">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$N2204*IF($O$2182=1,$O2204/$F$2182,1)</f>
        <v/>
      </c>
      <c r="T2204" s="95">
        <f>IF($G2204&lt;nr_MStartP,$S2204,$T2192*(1+IF($G2204&lt;nr_MStartP1,$M$2182,$N$2182)))</f>
        <v/>
      </c>
      <c r="U2204" s="95">
        <f>IF($L$2182,$T2204,$N2204)</f>
        <v/>
      </c>
    </row>
    <row r="2205">
      <c r="A2205" s="90" t="n">
        <v>21</v>
      </c>
      <c r="B2205" s="91">
        <f>EDATE($B2204,1)</f>
        <v/>
      </c>
      <c r="C2205" s="92">
        <f>EOMONTH($B2205,0)</f>
        <v/>
      </c>
      <c r="D2205" s="87">
        <f>$C2205-$B2205+1</f>
        <v/>
      </c>
      <c r="E2205" s="87">
        <f>MONTH($B2205)</f>
        <v/>
      </c>
      <c r="F2205" s="93">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$N2205*IF($O$2182=1,$O2205/$F$2182,1)</f>
        <v/>
      </c>
      <c r="T2205" s="95">
        <f>IF($G2205&lt;nr_MStartP,$S2205,$T2193*(1+IF($G2205&lt;nr_MStartP1,$M$2182,$N$2182)))</f>
        <v/>
      </c>
      <c r="U2205" s="95">
        <f>IF($L$2182,$T2205,$N2205)</f>
        <v/>
      </c>
    </row>
    <row r="2206">
      <c r="A2206" s="90" t="n">
        <v>22</v>
      </c>
      <c r="B2206" s="91">
        <f>EDATE($B2205,1)</f>
        <v/>
      </c>
      <c r="C2206" s="92">
        <f>EOMONTH($B2206,0)</f>
        <v/>
      </c>
      <c r="D2206" s="87">
        <f>$C2206-$B2206+1</f>
        <v/>
      </c>
      <c r="E2206" s="87">
        <f>MONTH($B2206)</f>
        <v/>
      </c>
      <c r="F2206" s="93">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$N2206*IF($O$2182=1,$O2206/$F$2182,1)</f>
        <v/>
      </c>
      <c r="T2206" s="95">
        <f>IF($G2206&lt;nr_MStartP,$S2206,$T2194*(1+IF($G2206&lt;nr_MStartP1,$M$2182,$N$2182)))</f>
        <v/>
      </c>
      <c r="U2206" s="95">
        <f>IF($L$2182,$T2206,$N2206)</f>
        <v/>
      </c>
    </row>
    <row r="2207">
      <c r="A2207" s="90" t="n">
        <v>23</v>
      </c>
      <c r="B2207" s="91">
        <f>EDATE($B2206,1)</f>
        <v/>
      </c>
      <c r="C2207" s="92">
        <f>EOMONTH($B2207,0)</f>
        <v/>
      </c>
      <c r="D2207" s="87">
        <f>$C2207-$B2207+1</f>
        <v/>
      </c>
      <c r="E2207" s="87">
        <f>MONTH($B2207)</f>
        <v/>
      </c>
      <c r="F2207" s="93">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$N2207*IF($O$2182=1,$O2207/$F$2182,1)</f>
        <v/>
      </c>
      <c r="T2207" s="95">
        <f>IF($G2207&lt;nr_MStartP,$S2207,$T2195*(1+IF($G2207&lt;nr_MStartP1,$M$2182,$N$2182)))</f>
        <v/>
      </c>
      <c r="U2207" s="95">
        <f>IF($L$2182,$T2207,$N2207)</f>
        <v/>
      </c>
    </row>
    <row r="2208">
      <c r="A2208" s="90" t="n">
        <v>24</v>
      </c>
      <c r="B2208" s="91">
        <f>EDATE($B2207,1)</f>
        <v/>
      </c>
      <c r="C2208" s="92">
        <f>EOMONTH($B2208,0)</f>
        <v/>
      </c>
      <c r="D2208" s="87">
        <f>$C2208-$B2208+1</f>
        <v/>
      </c>
      <c r="E2208" s="87">
        <f>MONTH($B2208)</f>
        <v/>
      </c>
      <c r="F2208" s="93">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$N2208*IF($O$2182=1,$O2208/$F$2182,1)</f>
        <v/>
      </c>
      <c r="T2208" s="95">
        <f>IF($G2208&lt;nr_MStartP,$S2208,$T2196*(1+IF($G2208&lt;nr_MStartP1,$M$2182,$N$2182)))</f>
        <v/>
      </c>
      <c r="U2208" s="95">
        <f>IF($L$2182,$T2208,$N2208)</f>
        <v/>
      </c>
    </row>
    <row r="2209">
      <c r="A2209" s="90" t="n">
        <v>25</v>
      </c>
      <c r="B2209" s="91">
        <f>EDATE($B2208,1)</f>
        <v/>
      </c>
      <c r="C2209" s="92">
        <f>EOMONTH($B2209,0)</f>
        <v/>
      </c>
      <c r="D2209" s="87">
        <f>$C2209-$B2209+1</f>
        <v/>
      </c>
      <c r="E2209" s="87">
        <f>MONTH($B2209)</f>
        <v/>
      </c>
      <c r="F2209" s="93">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$N2209*IF($O$2182=1,$O2209/$F$2182,1)</f>
        <v/>
      </c>
      <c r="T2209" s="95">
        <f>IF($G2209&lt;nr_MStartP,$S2209,$T2197*(1+IF($G2209&lt;nr_MStartP1,$M$2182,$N$2182)))</f>
        <v/>
      </c>
      <c r="U2209" s="95">
        <f>IF($L$2182,$T2209,$N2209)</f>
        <v/>
      </c>
    </row>
    <row r="2210">
      <c r="A2210" s="90" t="n">
        <v>26</v>
      </c>
      <c r="B2210" s="91">
        <f>EDATE($B2209,1)</f>
        <v/>
      </c>
      <c r="C2210" s="92">
        <f>EOMONTH($B2210,0)</f>
        <v/>
      </c>
      <c r="D2210" s="87">
        <f>$C2210-$B2210+1</f>
        <v/>
      </c>
      <c r="E2210" s="87">
        <f>MONTH($B2210)</f>
        <v/>
      </c>
      <c r="F2210" s="93">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$N2210*IF($O$2182=1,$O2210/$F$2182,1)</f>
        <v/>
      </c>
      <c r="T2210" s="95">
        <f>IF($G2210&lt;nr_MStartP,$S2210,$T2198*(1+IF($G2210&lt;nr_MStartP1,$M$2182,$N$2182)))</f>
        <v/>
      </c>
      <c r="U2210" s="95">
        <f>IF($L$2182,$T2210,$N2210)</f>
        <v/>
      </c>
    </row>
    <row r="2211">
      <c r="A2211" s="90" t="n">
        <v>27</v>
      </c>
      <c r="B2211" s="91">
        <f>EDATE($B2210,1)</f>
        <v/>
      </c>
      <c r="C2211" s="92">
        <f>EOMONTH($B2211,0)</f>
        <v/>
      </c>
      <c r="D2211" s="87">
        <f>$C2211-$B2211+1</f>
        <v/>
      </c>
      <c r="E2211" s="87">
        <f>MONTH($B2211)</f>
        <v/>
      </c>
      <c r="F2211" s="93">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$N2211*IF($O$2182=1,$O2211/$F$2182,1)</f>
        <v/>
      </c>
      <c r="T2211" s="95">
        <f>IF($G2211&lt;nr_MStartP,$S2211,$T2199*(1+IF($G2211&lt;nr_MStartP1,$M$2182,$N$2182)))</f>
        <v/>
      </c>
      <c r="U2211" s="95">
        <f>IF($L$2182,$T2211,$N2211)</f>
        <v/>
      </c>
    </row>
    <row r="2212">
      <c r="A2212" s="90" t="n">
        <v>28</v>
      </c>
      <c r="B2212" s="91">
        <f>EDATE($B2211,1)</f>
        <v/>
      </c>
      <c r="C2212" s="92">
        <f>EOMONTH($B2212,0)</f>
        <v/>
      </c>
      <c r="D2212" s="87">
        <f>$C2212-$B2212+1</f>
        <v/>
      </c>
      <c r="E2212" s="87">
        <f>MONTH($B2212)</f>
        <v/>
      </c>
      <c r="F2212" s="93">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$N2212*IF($O$2182=1,$O2212/$F$2182,1)</f>
        <v/>
      </c>
      <c r="T2212" s="95">
        <f>IF($G2212&lt;nr_MStartP,$S2212,$T2200*(1+IF($G2212&lt;nr_MStartP1,$M$2182,$N$2182)))</f>
        <v/>
      </c>
      <c r="U2212" s="95">
        <f>IF($L$2182,$T2212,$N2212)</f>
        <v/>
      </c>
    </row>
    <row r="2213">
      <c r="A2213" s="90" t="n">
        <v>29</v>
      </c>
      <c r="B2213" s="91">
        <f>EDATE($B2212,1)</f>
        <v/>
      </c>
      <c r="C2213" s="92">
        <f>EOMONTH($B2213,0)</f>
        <v/>
      </c>
      <c r="D2213" s="87">
        <f>$C2213-$B2213+1</f>
        <v/>
      </c>
      <c r="E2213" s="87">
        <f>MONTH($B2213)</f>
        <v/>
      </c>
      <c r="F2213" s="93">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$N2213*IF($O$2182=1,$O2213/$F$2182,1)</f>
        <v/>
      </c>
      <c r="T2213" s="95">
        <f>IF($G2213&lt;nr_MStartP,$S2213,$T2201*(1+IF($G2213&lt;nr_MStartP1,$M$2182,$N$2182)))</f>
        <v/>
      </c>
      <c r="U2213" s="95">
        <f>IF($L$2182,$T2213,$N2213)</f>
        <v/>
      </c>
    </row>
    <row r="2214">
      <c r="A2214" s="90" t="n">
        <v>30</v>
      </c>
      <c r="B2214" s="91">
        <f>EDATE($B2213,1)</f>
        <v/>
      </c>
      <c r="C2214" s="92">
        <f>EOMONTH($B2214,0)</f>
        <v/>
      </c>
      <c r="D2214" s="87">
        <f>$C2214-$B2214+1</f>
        <v/>
      </c>
      <c r="E2214" s="87">
        <f>MONTH($B2214)</f>
        <v/>
      </c>
      <c r="F2214" s="93">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$N2214*IF($O$2182=1,$O2214/$F$2182,1)</f>
        <v/>
      </c>
      <c r="T2214" s="95">
        <f>IF($G2214&lt;nr_MStartP,$S2214,$T2202*(1+IF($G2214&lt;nr_MStartP1,$M$2182,$N$2182)))</f>
        <v/>
      </c>
      <c r="U2214" s="95">
        <f>IF($L$2182,$T2214,$N2214)</f>
        <v/>
      </c>
    </row>
    <row r="2215">
      <c r="A2215" s="90" t="n">
        <v>31</v>
      </c>
      <c r="B2215" s="91">
        <f>EDATE($B2214,1)</f>
        <v/>
      </c>
      <c r="C2215" s="92">
        <f>EOMONTH($B2215,0)</f>
        <v/>
      </c>
      <c r="D2215" s="87">
        <f>$C2215-$B2215+1</f>
        <v/>
      </c>
      <c r="E2215" s="87">
        <f>MONTH($B2215)</f>
        <v/>
      </c>
      <c r="F2215" s="93">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$N2215*IF($O$2182=1,$O2215/$F$2182,1)</f>
        <v/>
      </c>
      <c r="T2215" s="95">
        <f>IF($G2215&lt;nr_MStartP,$S2215,$T2203*(1+IF($G2215&lt;nr_MStartP1,$M$2182,$N$2182)))</f>
        <v/>
      </c>
      <c r="U2215" s="95">
        <f>IF($L$2182,$T2215,$N2215)</f>
        <v/>
      </c>
    </row>
    <row r="2216">
      <c r="A2216" s="90" t="n">
        <v>32</v>
      </c>
      <c r="B2216" s="91">
        <f>EDATE($B2215,1)</f>
        <v/>
      </c>
      <c r="C2216" s="92">
        <f>EOMONTH($B2216,0)</f>
        <v/>
      </c>
      <c r="D2216" s="87">
        <f>$C2216-$B2216+1</f>
        <v/>
      </c>
      <c r="E2216" s="87">
        <f>MONTH($B2216)</f>
        <v/>
      </c>
      <c r="F2216" s="93">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$N2216*IF($O$2182=1,$O2216/$F$2182,1)</f>
        <v/>
      </c>
      <c r="T2216" s="95">
        <f>IF($G2216&lt;nr_MStartP,$S2216,$T2204*(1+IF($G2216&lt;nr_MStartP1,$M$2182,$N$2182)))</f>
        <v/>
      </c>
      <c r="U2216" s="95">
        <f>IF($L$2182,$T2216,$N2216)</f>
        <v/>
      </c>
    </row>
    <row r="2217">
      <c r="A2217" s="90" t="n">
        <v>33</v>
      </c>
      <c r="B2217" s="91">
        <f>EDATE($B2216,1)</f>
        <v/>
      </c>
      <c r="C2217" s="92">
        <f>EOMONTH($B2217,0)</f>
        <v/>
      </c>
      <c r="D2217" s="87">
        <f>$C2217-$B2217+1</f>
        <v/>
      </c>
      <c r="E2217" s="87">
        <f>MONTH($B2217)</f>
        <v/>
      </c>
      <c r="F2217" s="93">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$N2217*IF($O$2182=1,$O2217/$F$2182,1)</f>
        <v/>
      </c>
      <c r="T2217" s="95">
        <f>IF($G2217&lt;nr_MStartP,$S2217,$T2205*(1+IF($G2217&lt;nr_MStartP1,$M$2182,$N$2182)))</f>
        <v/>
      </c>
      <c r="U2217" s="95">
        <f>IF($L$2182,$T2217,$N2217)</f>
        <v/>
      </c>
    </row>
    <row r="2218">
      <c r="A2218" s="90" t="n">
        <v>34</v>
      </c>
      <c r="B2218" s="91">
        <f>EDATE($B2217,1)</f>
        <v/>
      </c>
      <c r="C2218" s="92">
        <f>EOMONTH($B2218,0)</f>
        <v/>
      </c>
      <c r="D2218" s="87">
        <f>$C2218-$B2218+1</f>
        <v/>
      </c>
      <c r="E2218" s="87">
        <f>MONTH($B2218)</f>
        <v/>
      </c>
      <c r="F2218" s="93">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$N2218*IF($O$2182=1,$O2218/$F$2182,1)</f>
        <v/>
      </c>
      <c r="T2218" s="95">
        <f>IF($G2218&lt;nr_MStartP,$S2218,$T2206*(1+IF($G2218&lt;nr_MStartP1,$M$2182,$N$2182)))</f>
        <v/>
      </c>
      <c r="U2218" s="95">
        <f>IF($L$2182,$T2218,$N2218)</f>
        <v/>
      </c>
    </row>
    <row r="2219">
      <c r="A2219" s="90" t="n">
        <v>35</v>
      </c>
      <c r="B2219" s="91">
        <f>EDATE($B2218,1)</f>
        <v/>
      </c>
      <c r="C2219" s="92">
        <f>EOMONTH($B2219,0)</f>
        <v/>
      </c>
      <c r="D2219" s="87">
        <f>$C2219-$B2219+1</f>
        <v/>
      </c>
      <c r="E2219" s="87">
        <f>MONTH($B2219)</f>
        <v/>
      </c>
      <c r="F2219" s="93">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$N2219*IF($O$2182=1,$O2219/$F$2182,1)</f>
        <v/>
      </c>
      <c r="T2219" s="95">
        <f>IF($G2219&lt;nr_MStartP,$S2219,$T2207*(1+IF($G2219&lt;nr_MStartP1,$M$2182,$N$2182)))</f>
        <v/>
      </c>
      <c r="U2219" s="95">
        <f>IF($L$2182,$T2219,$N2219)</f>
        <v/>
      </c>
    </row>
    <row r="2220">
      <c r="A2220" s="90" t="n">
        <v>36</v>
      </c>
      <c r="B2220" s="91">
        <f>EDATE($B2219,1)</f>
        <v/>
      </c>
      <c r="C2220" s="92">
        <f>EOMONTH($B2220,0)</f>
        <v/>
      </c>
      <c r="D2220" s="87">
        <f>$C2220-$B2220+1</f>
        <v/>
      </c>
      <c r="E2220" s="87">
        <f>MONTH($B2220)</f>
        <v/>
      </c>
      <c r="F2220" s="93">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$N2220*IF($O$2182=1,$O2220/$F$2182,1)</f>
        <v/>
      </c>
      <c r="T2220" s="95">
        <f>IF($G2220&lt;nr_MStartP,$S2220,$T2208*(1+IF($G2220&lt;nr_MStartP1,$M$2182,$N$2182)))</f>
        <v/>
      </c>
      <c r="U2220" s="95">
        <f>IF($L$2182,$T2220,$N2220)</f>
        <v/>
      </c>
    </row>
    <row r="2221">
      <c r="A2221" s="90" t="n">
        <v>37</v>
      </c>
      <c r="B2221" s="91">
        <f>EDATE($B2220,1)</f>
        <v/>
      </c>
      <c r="C2221" s="92">
        <f>EOMONTH($B2221,0)</f>
        <v/>
      </c>
      <c r="D2221" s="87">
        <f>$C2221-$B2221+1</f>
        <v/>
      </c>
      <c r="E2221" s="87">
        <f>MONTH($B2221)</f>
        <v/>
      </c>
      <c r="F2221" s="93">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$N2221*IF($O$2182=1,$O2221/$F$2182,1)</f>
        <v/>
      </c>
      <c r="T2221" s="95">
        <f>IF($G2221&lt;nr_MStartP,$S2221,$T2209*(1+IF($G2221&lt;nr_MStartP1,$M$2182,$N$2182)))</f>
        <v/>
      </c>
      <c r="U2221" s="95">
        <f>IF($L$2182,$T2221,$N2221)</f>
        <v/>
      </c>
    </row>
    <row r="2222">
      <c r="A2222" s="90" t="n">
        <v>38</v>
      </c>
      <c r="B2222" s="91">
        <f>EDATE($B2221,1)</f>
        <v/>
      </c>
      <c r="C2222" s="92">
        <f>EOMONTH($B2222,0)</f>
        <v/>
      </c>
      <c r="D2222" s="87">
        <f>$C2222-$B2222+1</f>
        <v/>
      </c>
      <c r="E2222" s="87">
        <f>MONTH($B2222)</f>
        <v/>
      </c>
      <c r="F2222" s="93">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$N2222*IF($O$2182=1,$O2222/$F$2182,1)</f>
        <v/>
      </c>
      <c r="T2222" s="95">
        <f>IF($G2222&lt;nr_MStartP,$S2222,$T2210*(1+IF($G2222&lt;nr_MStartP1,$M$2182,$N$2182)))</f>
        <v/>
      </c>
      <c r="U2222" s="95">
        <f>IF($L$2182,$T2222,$N2222)</f>
        <v/>
      </c>
    </row>
    <row r="2223">
      <c r="A2223" s="90" t="n">
        <v>39</v>
      </c>
      <c r="B2223" s="91">
        <f>EDATE($B2222,1)</f>
        <v/>
      </c>
      <c r="C2223" s="92">
        <f>EOMONTH($B2223,0)</f>
        <v/>
      </c>
      <c r="D2223" s="87">
        <f>$C2223-$B2223+1</f>
        <v/>
      </c>
      <c r="E2223" s="87">
        <f>MONTH($B2223)</f>
        <v/>
      </c>
      <c r="F2223" s="93">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$N2223*IF($O$2182=1,$O2223/$F$2182,1)</f>
        <v/>
      </c>
      <c r="T2223" s="95">
        <f>IF($G2223&lt;nr_MStartP,$S2223,$T2211*(1+IF($G2223&lt;nr_MStartP1,$M$2182,$N$2182)))</f>
        <v/>
      </c>
      <c r="U2223" s="95">
        <f>IF($L$2182,$T2223,$N2223)</f>
        <v/>
      </c>
    </row>
    <row r="2224">
      <c r="A2224" s="90" t="n">
        <v>40</v>
      </c>
      <c r="B2224" s="91">
        <f>EDATE($B2223,1)</f>
        <v/>
      </c>
      <c r="C2224" s="92">
        <f>EOMONTH($B2224,0)</f>
        <v/>
      </c>
      <c r="D2224" s="87">
        <f>$C2224-$B2224+1</f>
        <v/>
      </c>
      <c r="E2224" s="87">
        <f>MONTH($B2224)</f>
        <v/>
      </c>
      <c r="F2224" s="93">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$N2224*IF($O$2182=1,$O2224/$F$2182,1)</f>
        <v/>
      </c>
      <c r="T2224" s="95">
        <f>IF($G2224&lt;nr_MStartP,$S2224,$T2212*(1+IF($G2224&lt;nr_MStartP1,$M$2182,$N$2182)))</f>
        <v/>
      </c>
      <c r="U2224" s="95">
        <f>IF($L$2182,$T2224,$N2224)</f>
        <v/>
      </c>
    </row>
    <row r="2225">
      <c r="A2225" s="90" t="n">
        <v>41</v>
      </c>
      <c r="B2225" s="91">
        <f>EDATE($B2224,1)</f>
        <v/>
      </c>
      <c r="C2225" s="92">
        <f>EOMONTH($B2225,0)</f>
        <v/>
      </c>
      <c r="D2225" s="87">
        <f>$C2225-$B2225+1</f>
        <v/>
      </c>
      <c r="E2225" s="87">
        <f>MONTH($B2225)</f>
        <v/>
      </c>
      <c r="F2225" s="93">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$N2225*IF($O$2182=1,$O2225/$F$2182,1)</f>
        <v/>
      </c>
      <c r="T2225" s="95">
        <f>IF($G2225&lt;nr_MStartP,$S2225,$T2213*(1+IF($G2225&lt;nr_MStartP1,$M$2182,$N$2182)))</f>
        <v/>
      </c>
      <c r="U2225" s="95">
        <f>IF($L$2182,$T2225,$N2225)</f>
        <v/>
      </c>
    </row>
    <row r="2226">
      <c r="A2226" s="90" t="n">
        <v>42</v>
      </c>
      <c r="B2226" s="91">
        <f>EDATE($B2225,1)</f>
        <v/>
      </c>
      <c r="C2226" s="92">
        <f>EOMONTH($B2226,0)</f>
        <v/>
      </c>
      <c r="D2226" s="87">
        <f>$C2226-$B2226+1</f>
        <v/>
      </c>
      <c r="E2226" s="87">
        <f>MONTH($B2226)</f>
        <v/>
      </c>
      <c r="F2226" s="93">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$N2226*IF($O$2182=1,$O2226/$F$2182,1)</f>
        <v/>
      </c>
      <c r="T2226" s="95">
        <f>IF($G2226&lt;nr_MStartP,$S2226,$T2214*(1+IF($G2226&lt;nr_MStartP1,$M$2182,$N$2182)))</f>
        <v/>
      </c>
      <c r="U2226" s="95">
        <f>IF($L$2182,$T2226,$N2226)</f>
        <v/>
      </c>
    </row>
    <row r="2227">
      <c r="A2227" s="90" t="n">
        <v>43</v>
      </c>
      <c r="B2227" s="91">
        <f>EDATE($B2226,1)</f>
        <v/>
      </c>
      <c r="C2227" s="92">
        <f>EOMONTH($B2227,0)</f>
        <v/>
      </c>
      <c r="D2227" s="87">
        <f>$C2227-$B2227+1</f>
        <v/>
      </c>
      <c r="E2227" s="87">
        <f>MONTH($B2227)</f>
        <v/>
      </c>
      <c r="F2227" s="93">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$N2227*IF($O$2182=1,$O2227/$F$2182,1)</f>
        <v/>
      </c>
      <c r="T2227" s="95">
        <f>IF($G2227&lt;nr_MStartP,$S2227,$T2215*(1+IF($G2227&lt;nr_MStartP1,$M$2182,$N$2182)))</f>
        <v/>
      </c>
      <c r="U2227" s="95">
        <f>IF($L$2182,$T2227,$N2227)</f>
        <v/>
      </c>
    </row>
    <row r="2228">
      <c r="A2228" s="90" t="n">
        <v>44</v>
      </c>
      <c r="B2228" s="91">
        <f>EDATE($B2227,1)</f>
        <v/>
      </c>
      <c r="C2228" s="92">
        <f>EOMONTH($B2228,0)</f>
        <v/>
      </c>
      <c r="D2228" s="87">
        <f>$C2228-$B2228+1</f>
        <v/>
      </c>
      <c r="E2228" s="87">
        <f>MONTH($B2228)</f>
        <v/>
      </c>
      <c r="F2228" s="93">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$N2228*IF($O$2182=1,$O2228/$F$2182,1)</f>
        <v/>
      </c>
      <c r="T2228" s="95">
        <f>IF($G2228&lt;nr_MStartP,$S2228,$T2216*(1+IF($G2228&lt;nr_MStartP1,$M$2182,$N$2182)))</f>
        <v/>
      </c>
      <c r="U2228" s="95">
        <f>IF($L$2182,$T2228,$N2228)</f>
        <v/>
      </c>
    </row>
    <row r="2229">
      <c r="A2229" s="90" t="n">
        <v>45</v>
      </c>
      <c r="B2229" s="91">
        <f>EDATE($B2228,1)</f>
        <v/>
      </c>
      <c r="C2229" s="92">
        <f>EOMONTH($B2229,0)</f>
        <v/>
      </c>
      <c r="D2229" s="87">
        <f>$C2229-$B2229+1</f>
        <v/>
      </c>
      <c r="E2229" s="87">
        <f>MONTH($B2229)</f>
        <v/>
      </c>
      <c r="F2229" s="93">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$N2229*IF($O$2182=1,$O2229/$F$2182,1)</f>
        <v/>
      </c>
      <c r="T2229" s="95">
        <f>IF($G2229&lt;nr_MStartP,$S2229,$T2217*(1+IF($G2229&lt;nr_MStartP1,$M$2182,$N$2182)))</f>
        <v/>
      </c>
      <c r="U2229" s="95">
        <f>IF($L$2182,$T2229,$N2229)</f>
        <v/>
      </c>
    </row>
    <row r="2230">
      <c r="A2230" s="90" t="n">
        <v>46</v>
      </c>
      <c r="B2230" s="91">
        <f>EDATE($B2229,1)</f>
        <v/>
      </c>
      <c r="C2230" s="92">
        <f>EOMONTH($B2230,0)</f>
        <v/>
      </c>
      <c r="D2230" s="87">
        <f>$C2230-$B2230+1</f>
        <v/>
      </c>
      <c r="E2230" s="87">
        <f>MONTH($B2230)</f>
        <v/>
      </c>
      <c r="F2230" s="93">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$N2230*IF($O$2182=1,$O2230/$F$2182,1)</f>
        <v/>
      </c>
      <c r="T2230" s="95">
        <f>IF($G2230&lt;nr_MStartP,$S2230,$T2218*(1+IF($G2230&lt;nr_MStartP1,$M$2182,$N$2182)))</f>
        <v/>
      </c>
      <c r="U2230" s="95">
        <f>IF($L$2182,$T2230,$N2230)</f>
        <v/>
      </c>
    </row>
    <row r="2231">
      <c r="A2231" s="90" t="n">
        <v>47</v>
      </c>
      <c r="B2231" s="91">
        <f>EDATE($B2230,1)</f>
        <v/>
      </c>
      <c r="C2231" s="92">
        <f>EOMONTH($B2231,0)</f>
        <v/>
      </c>
      <c r="D2231" s="87">
        <f>$C2231-$B2231+1</f>
        <v/>
      </c>
      <c r="E2231" s="87">
        <f>MONTH($B2231)</f>
        <v/>
      </c>
      <c r="F2231" s="93">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$N2231*IF($O$2182=1,$O2231/$F$2182,1)</f>
        <v/>
      </c>
      <c r="T2231" s="95">
        <f>IF($G2231&lt;nr_MStartP,$S2231,$T2219*(1+IF($G2231&lt;nr_MStartP1,$M$2182,$N$2182)))</f>
        <v/>
      </c>
      <c r="U2231" s="95">
        <f>IF($L$2182,$T2231,$N2231)</f>
        <v/>
      </c>
    </row>
    <row r="2232">
      <c r="A2232" s="90" t="n">
        <v>48</v>
      </c>
      <c r="B2232" s="91">
        <f>EDATE($B2231,1)</f>
        <v/>
      </c>
      <c r="C2232" s="92">
        <f>EOMONTH($B2232,0)</f>
        <v/>
      </c>
      <c r="D2232" s="87">
        <f>$C2232-$B2232+1</f>
        <v/>
      </c>
      <c r="E2232" s="87">
        <f>MONTH($B2232)</f>
        <v/>
      </c>
      <c r="F2232" s="93">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$N2232*IF($O$2182=1,$O2232/$F$2182,1)</f>
        <v/>
      </c>
      <c r="T2232" s="95">
        <f>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04">
        <f>SUMPRODUCT($H$2185:$H$2232,$Q$2185:$Q$2232,$O$2185:$O$2232)/SUMPRODUCT($H$2185:$H$2232,$Q$2185:$Q$2232)</f>
        <v/>
      </c>
      <c r="G2233" s="20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04">
        <f>IF(N(INDEX(lr_mind,41))=0,1,INDEX(lr_mind,41))</f>
        <v/>
      </c>
      <c r="G2236" s="204">
        <f>IF(N(INDEX(lr_m0,41))=0,1,INDEX(lr_m0,41))</f>
        <v/>
      </c>
      <c r="H2236" s="73">
        <f>IF(N(INDEX(lr_m0asof,41))=0,DATE(nr_PlanYear-1,10,1),INDEX(lr_m0asof,41))</f>
        <v/>
      </c>
      <c r="I2236" s="204">
        <f>IF(N(INDEX(lr_m1,41))=0,1,INDEX(lr_m1,41))</f>
        <v/>
      </c>
      <c r="J2236" s="204">
        <f>INDEX(lr_mprior,41)</f>
        <v/>
      </c>
      <c r="K2236" s="20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93">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$N2239*IF($O$2236=1,$O2239/$F$2236,1)</f>
        <v/>
      </c>
      <c r="T2239" s="95">
        <f>IF($G2239&lt;nr_MStartP,$S2239,$T2227*(1+IF($G2239&lt;nr_MStartP1,$M$2236,$N$2236)))</f>
        <v/>
      </c>
      <c r="U2239" s="95">
        <f>IF($L$2236,$T2239,$N2239)</f>
        <v/>
      </c>
    </row>
    <row r="2240">
      <c r="A2240" s="90" t="n">
        <v>2</v>
      </c>
      <c r="B2240" s="91">
        <f>EDATE($B2239,1)</f>
        <v/>
      </c>
      <c r="C2240" s="92">
        <f>EOMONTH($B2240,0)</f>
        <v/>
      </c>
      <c r="D2240" s="87">
        <f>$C2240-$B2240+1</f>
        <v/>
      </c>
      <c r="E2240" s="87">
        <f>MONTH($B2240)</f>
        <v/>
      </c>
      <c r="F2240" s="93">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$N2240*IF($O$2236=1,$O2240/$F$2236,1)</f>
        <v/>
      </c>
      <c r="T2240" s="95">
        <f>IF($G2240&lt;nr_MStartP,$S2240,$T2228*(1+IF($G2240&lt;nr_MStartP1,$M$2236,$N$2236)))</f>
        <v/>
      </c>
      <c r="U2240" s="95">
        <f>IF($L$2236,$T2240,$N2240)</f>
        <v/>
      </c>
    </row>
    <row r="2241">
      <c r="A2241" s="90" t="n">
        <v>3</v>
      </c>
      <c r="B2241" s="91">
        <f>EDATE($B2240,1)</f>
        <v/>
      </c>
      <c r="C2241" s="92">
        <f>EOMONTH($B2241,0)</f>
        <v/>
      </c>
      <c r="D2241" s="87">
        <f>$C2241-$B2241+1</f>
        <v/>
      </c>
      <c r="E2241" s="87">
        <f>MONTH($B2241)</f>
        <v/>
      </c>
      <c r="F2241" s="93">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$N2241*IF($O$2236=1,$O2241/$F$2236,1)</f>
        <v/>
      </c>
      <c r="T2241" s="95">
        <f>IF($G2241&lt;nr_MStartP,$S2241,$T2229*(1+IF($G2241&lt;nr_MStartP1,$M$2236,$N$2236)))</f>
        <v/>
      </c>
      <c r="U2241" s="95">
        <f>IF($L$2236,$T2241,$N2241)</f>
        <v/>
      </c>
    </row>
    <row r="2242">
      <c r="A2242" s="90" t="n">
        <v>4</v>
      </c>
      <c r="B2242" s="91">
        <f>EDATE($B2241,1)</f>
        <v/>
      </c>
      <c r="C2242" s="92">
        <f>EOMONTH($B2242,0)</f>
        <v/>
      </c>
      <c r="D2242" s="87">
        <f>$C2242-$B2242+1</f>
        <v/>
      </c>
      <c r="E2242" s="87">
        <f>MONTH($B2242)</f>
        <v/>
      </c>
      <c r="F2242" s="93">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$N2242*IF($O$2236=1,$O2242/$F$2236,1)</f>
        <v/>
      </c>
      <c r="T2242" s="95">
        <f>IF($G2242&lt;nr_MStartP,$S2242,$T2230*(1+IF($G2242&lt;nr_MStartP1,$M$2236,$N$2236)))</f>
        <v/>
      </c>
      <c r="U2242" s="95">
        <f>IF($L$2236,$T2242,$N2242)</f>
        <v/>
      </c>
    </row>
    <row r="2243">
      <c r="A2243" s="90" t="n">
        <v>5</v>
      </c>
      <c r="B2243" s="91">
        <f>EDATE($B2242,1)</f>
        <v/>
      </c>
      <c r="C2243" s="92">
        <f>EOMONTH($B2243,0)</f>
        <v/>
      </c>
      <c r="D2243" s="87">
        <f>$C2243-$B2243+1</f>
        <v/>
      </c>
      <c r="E2243" s="87">
        <f>MONTH($B2243)</f>
        <v/>
      </c>
      <c r="F2243" s="93">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$N2243*IF($O$2236=1,$O2243/$F$2236,1)</f>
        <v/>
      </c>
      <c r="T2243" s="95">
        <f>IF($G2243&lt;nr_MStartP,$S2243,$T2231*(1+IF($G2243&lt;nr_MStartP1,$M$2236,$N$2236)))</f>
        <v/>
      </c>
      <c r="U2243" s="95">
        <f>IF($L$2236,$T2243,$N2243)</f>
        <v/>
      </c>
    </row>
    <row r="2244">
      <c r="A2244" s="90" t="n">
        <v>6</v>
      </c>
      <c r="B2244" s="91">
        <f>EDATE($B2243,1)</f>
        <v/>
      </c>
      <c r="C2244" s="92">
        <f>EOMONTH($B2244,0)</f>
        <v/>
      </c>
      <c r="D2244" s="87">
        <f>$C2244-$B2244+1</f>
        <v/>
      </c>
      <c r="E2244" s="87">
        <f>MONTH($B2244)</f>
        <v/>
      </c>
      <c r="F2244" s="93">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$N2244*IF($O$2236=1,$O2244/$F$2236,1)</f>
        <v/>
      </c>
      <c r="T2244" s="95">
        <f>IF($G2244&lt;nr_MStartP,$S2244,$T2232*(1+IF($G2244&lt;nr_MStartP1,$M$2236,$N$2236)))</f>
        <v/>
      </c>
      <c r="U2244" s="95">
        <f>IF($L$2236,$T2244,$N2244)</f>
        <v/>
      </c>
    </row>
    <row r="2245">
      <c r="A2245" s="90" t="n">
        <v>7</v>
      </c>
      <c r="B2245" s="91">
        <f>EDATE($B2244,1)</f>
        <v/>
      </c>
      <c r="C2245" s="92">
        <f>EOMONTH($B2245,0)</f>
        <v/>
      </c>
      <c r="D2245" s="87">
        <f>$C2245-$B2245+1</f>
        <v/>
      </c>
      <c r="E2245" s="87">
        <f>MONTH($B2245)</f>
        <v/>
      </c>
      <c r="F2245" s="93">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$N2245*IF($O$2236=1,$O2245/$F$2236,1)</f>
        <v/>
      </c>
      <c r="T2245" s="95">
        <f>IF($G2245&lt;nr_MStartP,$S2245,$T2233*(1+IF($G2245&lt;nr_MStartP1,$M$2236,$N$2236)))</f>
        <v/>
      </c>
      <c r="U2245" s="95">
        <f>IF($L$2236,$T2245,$N2245)</f>
        <v/>
      </c>
    </row>
    <row r="2246">
      <c r="A2246" s="90" t="n">
        <v>8</v>
      </c>
      <c r="B2246" s="91">
        <f>EDATE($B2245,1)</f>
        <v/>
      </c>
      <c r="C2246" s="92">
        <f>EOMONTH($B2246,0)</f>
        <v/>
      </c>
      <c r="D2246" s="87">
        <f>$C2246-$B2246+1</f>
        <v/>
      </c>
      <c r="E2246" s="87">
        <f>MONTH($B2246)</f>
        <v/>
      </c>
      <c r="F2246" s="93">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$N2246*IF($O$2236=1,$O2246/$F$2236,1)</f>
        <v/>
      </c>
      <c r="T2246" s="95">
        <f>IF($G2246&lt;nr_MStartP,$S2246,$T2234*(1+IF($G2246&lt;nr_MStartP1,$M$2236,$N$2236)))</f>
        <v/>
      </c>
      <c r="U2246" s="95">
        <f>IF($L$2236,$T2246,$N2246)</f>
        <v/>
      </c>
    </row>
    <row r="2247">
      <c r="A2247" s="90" t="n">
        <v>9</v>
      </c>
      <c r="B2247" s="91">
        <f>EDATE($B2246,1)</f>
        <v/>
      </c>
      <c r="C2247" s="92">
        <f>EOMONTH($B2247,0)</f>
        <v/>
      </c>
      <c r="D2247" s="87">
        <f>$C2247-$B2247+1</f>
        <v/>
      </c>
      <c r="E2247" s="87">
        <f>MONTH($B2247)</f>
        <v/>
      </c>
      <c r="F2247" s="93">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$N2247*IF($O$2236=1,$O2247/$F$2236,1)</f>
        <v/>
      </c>
      <c r="T2247" s="95">
        <f>IF($G2247&lt;nr_MStartP,$S2247,$T2235*(1+IF($G2247&lt;nr_MStartP1,$M$2236,$N$2236)))</f>
        <v/>
      </c>
      <c r="U2247" s="95">
        <f>IF($L$2236,$T2247,$N2247)</f>
        <v/>
      </c>
    </row>
    <row r="2248">
      <c r="A2248" s="90" t="n">
        <v>10</v>
      </c>
      <c r="B2248" s="91">
        <f>EDATE($B2247,1)</f>
        <v/>
      </c>
      <c r="C2248" s="92">
        <f>EOMONTH($B2248,0)</f>
        <v/>
      </c>
      <c r="D2248" s="87">
        <f>$C2248-$B2248+1</f>
        <v/>
      </c>
      <c r="E2248" s="87">
        <f>MONTH($B2248)</f>
        <v/>
      </c>
      <c r="F2248" s="93">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$N2248*IF($O$2236=1,$O2248/$F$2236,1)</f>
        <v/>
      </c>
      <c r="T2248" s="95">
        <f>IF($G2248&lt;nr_MStartP,$S2248,$T2236*(1+IF($G2248&lt;nr_MStartP1,$M$2236,$N$2236)))</f>
        <v/>
      </c>
      <c r="U2248" s="95">
        <f>IF($L$2236,$T2248,$N2248)</f>
        <v/>
      </c>
    </row>
    <row r="2249">
      <c r="A2249" s="90" t="n">
        <v>11</v>
      </c>
      <c r="B2249" s="91">
        <f>EDATE($B2248,1)</f>
        <v/>
      </c>
      <c r="C2249" s="92">
        <f>EOMONTH($B2249,0)</f>
        <v/>
      </c>
      <c r="D2249" s="87">
        <f>$C2249-$B2249+1</f>
        <v/>
      </c>
      <c r="E2249" s="87">
        <f>MONTH($B2249)</f>
        <v/>
      </c>
      <c r="F2249" s="93">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$N2249*IF($O$2236=1,$O2249/$F$2236,1)</f>
        <v/>
      </c>
      <c r="T2249" s="95">
        <f>IF($G2249&lt;nr_MStartP,$S2249,$T2237*(1+IF($G2249&lt;nr_MStartP1,$M$2236,$N$2236)))</f>
        <v/>
      </c>
      <c r="U2249" s="95">
        <f>IF($L$2236,$T2249,$N2249)</f>
        <v/>
      </c>
    </row>
    <row r="2250">
      <c r="A2250" s="90" t="n">
        <v>12</v>
      </c>
      <c r="B2250" s="91">
        <f>EDATE($B2249,1)</f>
        <v/>
      </c>
      <c r="C2250" s="92">
        <f>EOMONTH($B2250,0)</f>
        <v/>
      </c>
      <c r="D2250" s="87">
        <f>$C2250-$B2250+1</f>
        <v/>
      </c>
      <c r="E2250" s="87">
        <f>MONTH($B2250)</f>
        <v/>
      </c>
      <c r="F2250" s="93">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$N2250*IF($O$2236=1,$O2250/$F$2236,1)</f>
        <v/>
      </c>
      <c r="T2250" s="95">
        <f>IF($G2250&lt;nr_MStartP,$S2250,$T2238*(1+IF($G2250&lt;nr_MStartP1,$M$2236,$N$2236)))</f>
        <v/>
      </c>
      <c r="U2250" s="95">
        <f>IF($L$2236,$T2250,$N2250)</f>
        <v/>
      </c>
    </row>
    <row r="2251">
      <c r="A2251" s="90" t="n">
        <v>13</v>
      </c>
      <c r="B2251" s="91">
        <f>EDATE($B2250,1)</f>
        <v/>
      </c>
      <c r="C2251" s="92">
        <f>EOMONTH($B2251,0)</f>
        <v/>
      </c>
      <c r="D2251" s="87">
        <f>$C2251-$B2251+1</f>
        <v/>
      </c>
      <c r="E2251" s="87">
        <f>MONTH($B2251)</f>
        <v/>
      </c>
      <c r="F2251" s="93">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$N2251*IF($O$2236=1,$O2251/$F$2236,1)</f>
        <v/>
      </c>
      <c r="T2251" s="95">
        <f>IF($G2251&lt;nr_MStartP,$S2251,$T2239*(1+IF($G2251&lt;nr_MStartP1,$M$2236,$N$2236)))</f>
        <v/>
      </c>
      <c r="U2251" s="95">
        <f>IF($L$2236,$T2251,$N2251)</f>
        <v/>
      </c>
    </row>
    <row r="2252">
      <c r="A2252" s="90" t="n">
        <v>14</v>
      </c>
      <c r="B2252" s="91">
        <f>EDATE($B2251,1)</f>
        <v/>
      </c>
      <c r="C2252" s="92">
        <f>EOMONTH($B2252,0)</f>
        <v/>
      </c>
      <c r="D2252" s="87">
        <f>$C2252-$B2252+1</f>
        <v/>
      </c>
      <c r="E2252" s="87">
        <f>MONTH($B2252)</f>
        <v/>
      </c>
      <c r="F2252" s="93">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$N2252*IF($O$2236=1,$O2252/$F$2236,1)</f>
        <v/>
      </c>
      <c r="T2252" s="95">
        <f>IF($G2252&lt;nr_MStartP,$S2252,$T2240*(1+IF($G2252&lt;nr_MStartP1,$M$2236,$N$2236)))</f>
        <v/>
      </c>
      <c r="U2252" s="95">
        <f>IF($L$2236,$T2252,$N2252)</f>
        <v/>
      </c>
    </row>
    <row r="2253">
      <c r="A2253" s="90" t="n">
        <v>15</v>
      </c>
      <c r="B2253" s="91">
        <f>EDATE($B2252,1)</f>
        <v/>
      </c>
      <c r="C2253" s="92">
        <f>EOMONTH($B2253,0)</f>
        <v/>
      </c>
      <c r="D2253" s="87">
        <f>$C2253-$B2253+1</f>
        <v/>
      </c>
      <c r="E2253" s="87">
        <f>MONTH($B2253)</f>
        <v/>
      </c>
      <c r="F2253" s="93">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$N2253*IF($O$2236=1,$O2253/$F$2236,1)</f>
        <v/>
      </c>
      <c r="T2253" s="95">
        <f>IF($G2253&lt;nr_MStartP,$S2253,$T2241*(1+IF($G2253&lt;nr_MStartP1,$M$2236,$N$2236)))</f>
        <v/>
      </c>
      <c r="U2253" s="95">
        <f>IF($L$2236,$T2253,$N2253)</f>
        <v/>
      </c>
    </row>
    <row r="2254">
      <c r="A2254" s="90" t="n">
        <v>16</v>
      </c>
      <c r="B2254" s="91">
        <f>EDATE($B2253,1)</f>
        <v/>
      </c>
      <c r="C2254" s="92">
        <f>EOMONTH($B2254,0)</f>
        <v/>
      </c>
      <c r="D2254" s="87">
        <f>$C2254-$B2254+1</f>
        <v/>
      </c>
      <c r="E2254" s="87">
        <f>MONTH($B2254)</f>
        <v/>
      </c>
      <c r="F2254" s="93">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$N2254*IF($O$2236=1,$O2254/$F$2236,1)</f>
        <v/>
      </c>
      <c r="T2254" s="95">
        <f>IF($G2254&lt;nr_MStartP,$S2254,$T2242*(1+IF($G2254&lt;nr_MStartP1,$M$2236,$N$2236)))</f>
        <v/>
      </c>
      <c r="U2254" s="95">
        <f>IF($L$2236,$T2254,$N2254)</f>
        <v/>
      </c>
    </row>
    <row r="2255">
      <c r="A2255" s="90" t="n">
        <v>17</v>
      </c>
      <c r="B2255" s="91">
        <f>EDATE($B2254,1)</f>
        <v/>
      </c>
      <c r="C2255" s="92">
        <f>EOMONTH($B2255,0)</f>
        <v/>
      </c>
      <c r="D2255" s="87">
        <f>$C2255-$B2255+1</f>
        <v/>
      </c>
      <c r="E2255" s="87">
        <f>MONTH($B2255)</f>
        <v/>
      </c>
      <c r="F2255" s="93">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$N2255*IF($O$2236=1,$O2255/$F$2236,1)</f>
        <v/>
      </c>
      <c r="T2255" s="95">
        <f>IF($G2255&lt;nr_MStartP,$S2255,$T2243*(1+IF($G2255&lt;nr_MStartP1,$M$2236,$N$2236)))</f>
        <v/>
      </c>
      <c r="U2255" s="95">
        <f>IF($L$2236,$T2255,$N2255)</f>
        <v/>
      </c>
    </row>
    <row r="2256">
      <c r="A2256" s="90" t="n">
        <v>18</v>
      </c>
      <c r="B2256" s="91">
        <f>EDATE($B2255,1)</f>
        <v/>
      </c>
      <c r="C2256" s="92">
        <f>EOMONTH($B2256,0)</f>
        <v/>
      </c>
      <c r="D2256" s="87">
        <f>$C2256-$B2256+1</f>
        <v/>
      </c>
      <c r="E2256" s="87">
        <f>MONTH($B2256)</f>
        <v/>
      </c>
      <c r="F2256" s="93">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$N2256*IF($O$2236=1,$O2256/$F$2236,1)</f>
        <v/>
      </c>
      <c r="T2256" s="95">
        <f>IF($G2256&lt;nr_MStartP,$S2256,$T2244*(1+IF($G2256&lt;nr_MStartP1,$M$2236,$N$2236)))</f>
        <v/>
      </c>
      <c r="U2256" s="95">
        <f>IF($L$2236,$T2256,$N2256)</f>
        <v/>
      </c>
    </row>
    <row r="2257">
      <c r="A2257" s="90" t="n">
        <v>19</v>
      </c>
      <c r="B2257" s="91">
        <f>EDATE($B2256,1)</f>
        <v/>
      </c>
      <c r="C2257" s="92">
        <f>EOMONTH($B2257,0)</f>
        <v/>
      </c>
      <c r="D2257" s="87">
        <f>$C2257-$B2257+1</f>
        <v/>
      </c>
      <c r="E2257" s="87">
        <f>MONTH($B2257)</f>
        <v/>
      </c>
      <c r="F2257" s="93">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$N2257*IF($O$2236=1,$O2257/$F$2236,1)</f>
        <v/>
      </c>
      <c r="T2257" s="95">
        <f>IF($G2257&lt;nr_MStartP,$S2257,$T2245*(1+IF($G2257&lt;nr_MStartP1,$M$2236,$N$2236)))</f>
        <v/>
      </c>
      <c r="U2257" s="95">
        <f>IF($L$2236,$T2257,$N2257)</f>
        <v/>
      </c>
    </row>
    <row r="2258">
      <c r="A2258" s="90" t="n">
        <v>20</v>
      </c>
      <c r="B2258" s="91">
        <f>EDATE($B2257,1)</f>
        <v/>
      </c>
      <c r="C2258" s="92">
        <f>EOMONTH($B2258,0)</f>
        <v/>
      </c>
      <c r="D2258" s="87">
        <f>$C2258-$B2258+1</f>
        <v/>
      </c>
      <c r="E2258" s="87">
        <f>MONTH($B2258)</f>
        <v/>
      </c>
      <c r="F2258" s="93">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$N2258*IF($O$2236=1,$O2258/$F$2236,1)</f>
        <v/>
      </c>
      <c r="T2258" s="95">
        <f>IF($G2258&lt;nr_MStartP,$S2258,$T2246*(1+IF($G2258&lt;nr_MStartP1,$M$2236,$N$2236)))</f>
        <v/>
      </c>
      <c r="U2258" s="95">
        <f>IF($L$2236,$T2258,$N2258)</f>
        <v/>
      </c>
    </row>
    <row r="2259">
      <c r="A2259" s="90" t="n">
        <v>21</v>
      </c>
      <c r="B2259" s="91">
        <f>EDATE($B2258,1)</f>
        <v/>
      </c>
      <c r="C2259" s="92">
        <f>EOMONTH($B2259,0)</f>
        <v/>
      </c>
      <c r="D2259" s="87">
        <f>$C2259-$B2259+1</f>
        <v/>
      </c>
      <c r="E2259" s="87">
        <f>MONTH($B2259)</f>
        <v/>
      </c>
      <c r="F2259" s="93">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$N2259*IF($O$2236=1,$O2259/$F$2236,1)</f>
        <v/>
      </c>
      <c r="T2259" s="95">
        <f>IF($G2259&lt;nr_MStartP,$S2259,$T2247*(1+IF($G2259&lt;nr_MStartP1,$M$2236,$N$2236)))</f>
        <v/>
      </c>
      <c r="U2259" s="95">
        <f>IF($L$2236,$T2259,$N2259)</f>
        <v/>
      </c>
    </row>
    <row r="2260">
      <c r="A2260" s="90" t="n">
        <v>22</v>
      </c>
      <c r="B2260" s="91">
        <f>EDATE($B2259,1)</f>
        <v/>
      </c>
      <c r="C2260" s="92">
        <f>EOMONTH($B2260,0)</f>
        <v/>
      </c>
      <c r="D2260" s="87">
        <f>$C2260-$B2260+1</f>
        <v/>
      </c>
      <c r="E2260" s="87">
        <f>MONTH($B2260)</f>
        <v/>
      </c>
      <c r="F2260" s="93">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$N2260*IF($O$2236=1,$O2260/$F$2236,1)</f>
        <v/>
      </c>
      <c r="T2260" s="95">
        <f>IF($G2260&lt;nr_MStartP,$S2260,$T2248*(1+IF($G2260&lt;nr_MStartP1,$M$2236,$N$2236)))</f>
        <v/>
      </c>
      <c r="U2260" s="95">
        <f>IF($L$2236,$T2260,$N2260)</f>
        <v/>
      </c>
    </row>
    <row r="2261">
      <c r="A2261" s="90" t="n">
        <v>23</v>
      </c>
      <c r="B2261" s="91">
        <f>EDATE($B2260,1)</f>
        <v/>
      </c>
      <c r="C2261" s="92">
        <f>EOMONTH($B2261,0)</f>
        <v/>
      </c>
      <c r="D2261" s="87">
        <f>$C2261-$B2261+1</f>
        <v/>
      </c>
      <c r="E2261" s="87">
        <f>MONTH($B2261)</f>
        <v/>
      </c>
      <c r="F2261" s="93">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$N2261*IF($O$2236=1,$O2261/$F$2236,1)</f>
        <v/>
      </c>
      <c r="T2261" s="95">
        <f>IF($G2261&lt;nr_MStartP,$S2261,$T2249*(1+IF($G2261&lt;nr_MStartP1,$M$2236,$N$2236)))</f>
        <v/>
      </c>
      <c r="U2261" s="95">
        <f>IF($L$2236,$T2261,$N2261)</f>
        <v/>
      </c>
    </row>
    <row r="2262">
      <c r="A2262" s="90" t="n">
        <v>24</v>
      </c>
      <c r="B2262" s="91">
        <f>EDATE($B2261,1)</f>
        <v/>
      </c>
      <c r="C2262" s="92">
        <f>EOMONTH($B2262,0)</f>
        <v/>
      </c>
      <c r="D2262" s="87">
        <f>$C2262-$B2262+1</f>
        <v/>
      </c>
      <c r="E2262" s="87">
        <f>MONTH($B2262)</f>
        <v/>
      </c>
      <c r="F2262" s="93">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$N2262*IF($O$2236=1,$O2262/$F$2236,1)</f>
        <v/>
      </c>
      <c r="T2262" s="95">
        <f>IF($G2262&lt;nr_MStartP,$S2262,$T2250*(1+IF($G2262&lt;nr_MStartP1,$M$2236,$N$2236)))</f>
        <v/>
      </c>
      <c r="U2262" s="95">
        <f>IF($L$2236,$T2262,$N2262)</f>
        <v/>
      </c>
    </row>
    <row r="2263">
      <c r="A2263" s="90" t="n">
        <v>25</v>
      </c>
      <c r="B2263" s="91">
        <f>EDATE($B2262,1)</f>
        <v/>
      </c>
      <c r="C2263" s="92">
        <f>EOMONTH($B2263,0)</f>
        <v/>
      </c>
      <c r="D2263" s="87">
        <f>$C2263-$B2263+1</f>
        <v/>
      </c>
      <c r="E2263" s="87">
        <f>MONTH($B2263)</f>
        <v/>
      </c>
      <c r="F2263" s="93">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$N2263*IF($O$2236=1,$O2263/$F$2236,1)</f>
        <v/>
      </c>
      <c r="T2263" s="95">
        <f>IF($G2263&lt;nr_MStartP,$S2263,$T2251*(1+IF($G2263&lt;nr_MStartP1,$M$2236,$N$2236)))</f>
        <v/>
      </c>
      <c r="U2263" s="95">
        <f>IF($L$2236,$T2263,$N2263)</f>
        <v/>
      </c>
    </row>
    <row r="2264">
      <c r="A2264" s="90" t="n">
        <v>26</v>
      </c>
      <c r="B2264" s="91">
        <f>EDATE($B2263,1)</f>
        <v/>
      </c>
      <c r="C2264" s="92">
        <f>EOMONTH($B2264,0)</f>
        <v/>
      </c>
      <c r="D2264" s="87">
        <f>$C2264-$B2264+1</f>
        <v/>
      </c>
      <c r="E2264" s="87">
        <f>MONTH($B2264)</f>
        <v/>
      </c>
      <c r="F2264" s="93">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$N2264*IF($O$2236=1,$O2264/$F$2236,1)</f>
        <v/>
      </c>
      <c r="T2264" s="95">
        <f>IF($G2264&lt;nr_MStartP,$S2264,$T2252*(1+IF($G2264&lt;nr_MStartP1,$M$2236,$N$2236)))</f>
        <v/>
      </c>
      <c r="U2264" s="95">
        <f>IF($L$2236,$T2264,$N2264)</f>
        <v/>
      </c>
    </row>
    <row r="2265">
      <c r="A2265" s="90" t="n">
        <v>27</v>
      </c>
      <c r="B2265" s="91">
        <f>EDATE($B2264,1)</f>
        <v/>
      </c>
      <c r="C2265" s="92">
        <f>EOMONTH($B2265,0)</f>
        <v/>
      </c>
      <c r="D2265" s="87">
        <f>$C2265-$B2265+1</f>
        <v/>
      </c>
      <c r="E2265" s="87">
        <f>MONTH($B2265)</f>
        <v/>
      </c>
      <c r="F2265" s="93">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$N2265*IF($O$2236=1,$O2265/$F$2236,1)</f>
        <v/>
      </c>
      <c r="T2265" s="95">
        <f>IF($G2265&lt;nr_MStartP,$S2265,$T2253*(1+IF($G2265&lt;nr_MStartP1,$M$2236,$N$2236)))</f>
        <v/>
      </c>
      <c r="U2265" s="95">
        <f>IF($L$2236,$T2265,$N2265)</f>
        <v/>
      </c>
    </row>
    <row r="2266">
      <c r="A2266" s="90" t="n">
        <v>28</v>
      </c>
      <c r="B2266" s="91">
        <f>EDATE($B2265,1)</f>
        <v/>
      </c>
      <c r="C2266" s="92">
        <f>EOMONTH($B2266,0)</f>
        <v/>
      </c>
      <c r="D2266" s="87">
        <f>$C2266-$B2266+1</f>
        <v/>
      </c>
      <c r="E2266" s="87">
        <f>MONTH($B2266)</f>
        <v/>
      </c>
      <c r="F2266" s="93">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$N2266*IF($O$2236=1,$O2266/$F$2236,1)</f>
        <v/>
      </c>
      <c r="T2266" s="95">
        <f>IF($G2266&lt;nr_MStartP,$S2266,$T2254*(1+IF($G2266&lt;nr_MStartP1,$M$2236,$N$2236)))</f>
        <v/>
      </c>
      <c r="U2266" s="95">
        <f>IF($L$2236,$T2266,$N2266)</f>
        <v/>
      </c>
    </row>
    <row r="2267">
      <c r="A2267" s="90" t="n">
        <v>29</v>
      </c>
      <c r="B2267" s="91">
        <f>EDATE($B2266,1)</f>
        <v/>
      </c>
      <c r="C2267" s="92">
        <f>EOMONTH($B2267,0)</f>
        <v/>
      </c>
      <c r="D2267" s="87">
        <f>$C2267-$B2267+1</f>
        <v/>
      </c>
      <c r="E2267" s="87">
        <f>MONTH($B2267)</f>
        <v/>
      </c>
      <c r="F2267" s="93">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$N2267*IF($O$2236=1,$O2267/$F$2236,1)</f>
        <v/>
      </c>
      <c r="T2267" s="95">
        <f>IF($G2267&lt;nr_MStartP,$S2267,$T2255*(1+IF($G2267&lt;nr_MStartP1,$M$2236,$N$2236)))</f>
        <v/>
      </c>
      <c r="U2267" s="95">
        <f>IF($L$2236,$T2267,$N2267)</f>
        <v/>
      </c>
    </row>
    <row r="2268">
      <c r="A2268" s="90" t="n">
        <v>30</v>
      </c>
      <c r="B2268" s="91">
        <f>EDATE($B2267,1)</f>
        <v/>
      </c>
      <c r="C2268" s="92">
        <f>EOMONTH($B2268,0)</f>
        <v/>
      </c>
      <c r="D2268" s="87">
        <f>$C2268-$B2268+1</f>
        <v/>
      </c>
      <c r="E2268" s="87">
        <f>MONTH($B2268)</f>
        <v/>
      </c>
      <c r="F2268" s="93">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$N2268*IF($O$2236=1,$O2268/$F$2236,1)</f>
        <v/>
      </c>
      <c r="T2268" s="95">
        <f>IF($G2268&lt;nr_MStartP,$S2268,$T2256*(1+IF($G2268&lt;nr_MStartP1,$M$2236,$N$2236)))</f>
        <v/>
      </c>
      <c r="U2268" s="95">
        <f>IF($L$2236,$T2268,$N2268)</f>
        <v/>
      </c>
    </row>
    <row r="2269">
      <c r="A2269" s="90" t="n">
        <v>31</v>
      </c>
      <c r="B2269" s="91">
        <f>EDATE($B2268,1)</f>
        <v/>
      </c>
      <c r="C2269" s="92">
        <f>EOMONTH($B2269,0)</f>
        <v/>
      </c>
      <c r="D2269" s="87">
        <f>$C2269-$B2269+1</f>
        <v/>
      </c>
      <c r="E2269" s="87">
        <f>MONTH($B2269)</f>
        <v/>
      </c>
      <c r="F2269" s="93">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$N2269*IF($O$2236=1,$O2269/$F$2236,1)</f>
        <v/>
      </c>
      <c r="T2269" s="95">
        <f>IF($G2269&lt;nr_MStartP,$S2269,$T2257*(1+IF($G2269&lt;nr_MStartP1,$M$2236,$N$2236)))</f>
        <v/>
      </c>
      <c r="U2269" s="95">
        <f>IF($L$2236,$T2269,$N2269)</f>
        <v/>
      </c>
    </row>
    <row r="2270">
      <c r="A2270" s="90" t="n">
        <v>32</v>
      </c>
      <c r="B2270" s="91">
        <f>EDATE($B2269,1)</f>
        <v/>
      </c>
      <c r="C2270" s="92">
        <f>EOMONTH($B2270,0)</f>
        <v/>
      </c>
      <c r="D2270" s="87">
        <f>$C2270-$B2270+1</f>
        <v/>
      </c>
      <c r="E2270" s="87">
        <f>MONTH($B2270)</f>
        <v/>
      </c>
      <c r="F2270" s="93">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$N2270*IF($O$2236=1,$O2270/$F$2236,1)</f>
        <v/>
      </c>
      <c r="T2270" s="95">
        <f>IF($G2270&lt;nr_MStartP,$S2270,$T2258*(1+IF($G2270&lt;nr_MStartP1,$M$2236,$N$2236)))</f>
        <v/>
      </c>
      <c r="U2270" s="95">
        <f>IF($L$2236,$T2270,$N2270)</f>
        <v/>
      </c>
    </row>
    <row r="2271">
      <c r="A2271" s="90" t="n">
        <v>33</v>
      </c>
      <c r="B2271" s="91">
        <f>EDATE($B2270,1)</f>
        <v/>
      </c>
      <c r="C2271" s="92">
        <f>EOMONTH($B2271,0)</f>
        <v/>
      </c>
      <c r="D2271" s="87">
        <f>$C2271-$B2271+1</f>
        <v/>
      </c>
      <c r="E2271" s="87">
        <f>MONTH($B2271)</f>
        <v/>
      </c>
      <c r="F2271" s="93">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$N2271*IF($O$2236=1,$O2271/$F$2236,1)</f>
        <v/>
      </c>
      <c r="T2271" s="95">
        <f>IF($G2271&lt;nr_MStartP,$S2271,$T2259*(1+IF($G2271&lt;nr_MStartP1,$M$2236,$N$2236)))</f>
        <v/>
      </c>
      <c r="U2271" s="95">
        <f>IF($L$2236,$T2271,$N2271)</f>
        <v/>
      </c>
    </row>
    <row r="2272">
      <c r="A2272" s="90" t="n">
        <v>34</v>
      </c>
      <c r="B2272" s="91">
        <f>EDATE($B2271,1)</f>
        <v/>
      </c>
      <c r="C2272" s="92">
        <f>EOMONTH($B2272,0)</f>
        <v/>
      </c>
      <c r="D2272" s="87">
        <f>$C2272-$B2272+1</f>
        <v/>
      </c>
      <c r="E2272" s="87">
        <f>MONTH($B2272)</f>
        <v/>
      </c>
      <c r="F2272" s="93">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$N2272*IF($O$2236=1,$O2272/$F$2236,1)</f>
        <v/>
      </c>
      <c r="T2272" s="95">
        <f>IF($G2272&lt;nr_MStartP,$S2272,$T2260*(1+IF($G2272&lt;nr_MStartP1,$M$2236,$N$2236)))</f>
        <v/>
      </c>
      <c r="U2272" s="95">
        <f>IF($L$2236,$T2272,$N2272)</f>
        <v/>
      </c>
    </row>
    <row r="2273">
      <c r="A2273" s="90" t="n">
        <v>35</v>
      </c>
      <c r="B2273" s="91">
        <f>EDATE($B2272,1)</f>
        <v/>
      </c>
      <c r="C2273" s="92">
        <f>EOMONTH($B2273,0)</f>
        <v/>
      </c>
      <c r="D2273" s="87">
        <f>$C2273-$B2273+1</f>
        <v/>
      </c>
      <c r="E2273" s="87">
        <f>MONTH($B2273)</f>
        <v/>
      </c>
      <c r="F2273" s="93">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$N2273*IF($O$2236=1,$O2273/$F$2236,1)</f>
        <v/>
      </c>
      <c r="T2273" s="95">
        <f>IF($G2273&lt;nr_MStartP,$S2273,$T2261*(1+IF($G2273&lt;nr_MStartP1,$M$2236,$N$2236)))</f>
        <v/>
      </c>
      <c r="U2273" s="95">
        <f>IF($L$2236,$T2273,$N2273)</f>
        <v/>
      </c>
    </row>
    <row r="2274">
      <c r="A2274" s="90" t="n">
        <v>36</v>
      </c>
      <c r="B2274" s="91">
        <f>EDATE($B2273,1)</f>
        <v/>
      </c>
      <c r="C2274" s="92">
        <f>EOMONTH($B2274,0)</f>
        <v/>
      </c>
      <c r="D2274" s="87">
        <f>$C2274-$B2274+1</f>
        <v/>
      </c>
      <c r="E2274" s="87">
        <f>MONTH($B2274)</f>
        <v/>
      </c>
      <c r="F2274" s="93">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$N2274*IF($O$2236=1,$O2274/$F$2236,1)</f>
        <v/>
      </c>
      <c r="T2274" s="95">
        <f>IF($G2274&lt;nr_MStartP,$S2274,$T2262*(1+IF($G2274&lt;nr_MStartP1,$M$2236,$N$2236)))</f>
        <v/>
      </c>
      <c r="U2274" s="95">
        <f>IF($L$2236,$T2274,$N2274)</f>
        <v/>
      </c>
    </row>
    <row r="2275">
      <c r="A2275" s="90" t="n">
        <v>37</v>
      </c>
      <c r="B2275" s="91">
        <f>EDATE($B2274,1)</f>
        <v/>
      </c>
      <c r="C2275" s="92">
        <f>EOMONTH($B2275,0)</f>
        <v/>
      </c>
      <c r="D2275" s="87">
        <f>$C2275-$B2275+1</f>
        <v/>
      </c>
      <c r="E2275" s="87">
        <f>MONTH($B2275)</f>
        <v/>
      </c>
      <c r="F2275" s="93">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$N2275*IF($O$2236=1,$O2275/$F$2236,1)</f>
        <v/>
      </c>
      <c r="T2275" s="95">
        <f>IF($G2275&lt;nr_MStartP,$S2275,$T2263*(1+IF($G2275&lt;nr_MStartP1,$M$2236,$N$2236)))</f>
        <v/>
      </c>
      <c r="U2275" s="95">
        <f>IF($L$2236,$T2275,$N2275)</f>
        <v/>
      </c>
    </row>
    <row r="2276">
      <c r="A2276" s="90" t="n">
        <v>38</v>
      </c>
      <c r="B2276" s="91">
        <f>EDATE($B2275,1)</f>
        <v/>
      </c>
      <c r="C2276" s="92">
        <f>EOMONTH($B2276,0)</f>
        <v/>
      </c>
      <c r="D2276" s="87">
        <f>$C2276-$B2276+1</f>
        <v/>
      </c>
      <c r="E2276" s="87">
        <f>MONTH($B2276)</f>
        <v/>
      </c>
      <c r="F2276" s="93">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$N2276*IF($O$2236=1,$O2276/$F$2236,1)</f>
        <v/>
      </c>
      <c r="T2276" s="95">
        <f>IF($G2276&lt;nr_MStartP,$S2276,$T2264*(1+IF($G2276&lt;nr_MStartP1,$M$2236,$N$2236)))</f>
        <v/>
      </c>
      <c r="U2276" s="95">
        <f>IF($L$2236,$T2276,$N2276)</f>
        <v/>
      </c>
    </row>
    <row r="2277">
      <c r="A2277" s="90" t="n">
        <v>39</v>
      </c>
      <c r="B2277" s="91">
        <f>EDATE($B2276,1)</f>
        <v/>
      </c>
      <c r="C2277" s="92">
        <f>EOMONTH($B2277,0)</f>
        <v/>
      </c>
      <c r="D2277" s="87">
        <f>$C2277-$B2277+1</f>
        <v/>
      </c>
      <c r="E2277" s="87">
        <f>MONTH($B2277)</f>
        <v/>
      </c>
      <c r="F2277" s="93">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$N2277*IF($O$2236=1,$O2277/$F$2236,1)</f>
        <v/>
      </c>
      <c r="T2277" s="95">
        <f>IF($G2277&lt;nr_MStartP,$S2277,$T2265*(1+IF($G2277&lt;nr_MStartP1,$M$2236,$N$2236)))</f>
        <v/>
      </c>
      <c r="U2277" s="95">
        <f>IF($L$2236,$T2277,$N2277)</f>
        <v/>
      </c>
    </row>
    <row r="2278">
      <c r="A2278" s="90" t="n">
        <v>40</v>
      </c>
      <c r="B2278" s="91">
        <f>EDATE($B2277,1)</f>
        <v/>
      </c>
      <c r="C2278" s="92">
        <f>EOMONTH($B2278,0)</f>
        <v/>
      </c>
      <c r="D2278" s="87">
        <f>$C2278-$B2278+1</f>
        <v/>
      </c>
      <c r="E2278" s="87">
        <f>MONTH($B2278)</f>
        <v/>
      </c>
      <c r="F2278" s="93">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$N2278*IF($O$2236=1,$O2278/$F$2236,1)</f>
        <v/>
      </c>
      <c r="T2278" s="95">
        <f>IF($G2278&lt;nr_MStartP,$S2278,$T2266*(1+IF($G2278&lt;nr_MStartP1,$M$2236,$N$2236)))</f>
        <v/>
      </c>
      <c r="U2278" s="95">
        <f>IF($L$2236,$T2278,$N2278)</f>
        <v/>
      </c>
    </row>
    <row r="2279">
      <c r="A2279" s="90" t="n">
        <v>41</v>
      </c>
      <c r="B2279" s="91">
        <f>EDATE($B2278,1)</f>
        <v/>
      </c>
      <c r="C2279" s="92">
        <f>EOMONTH($B2279,0)</f>
        <v/>
      </c>
      <c r="D2279" s="87">
        <f>$C2279-$B2279+1</f>
        <v/>
      </c>
      <c r="E2279" s="87">
        <f>MONTH($B2279)</f>
        <v/>
      </c>
      <c r="F2279" s="93">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$N2279*IF($O$2236=1,$O2279/$F$2236,1)</f>
        <v/>
      </c>
      <c r="T2279" s="95">
        <f>IF($G2279&lt;nr_MStartP,$S2279,$T2267*(1+IF($G2279&lt;nr_MStartP1,$M$2236,$N$2236)))</f>
        <v/>
      </c>
      <c r="U2279" s="95">
        <f>IF($L$2236,$T2279,$N2279)</f>
        <v/>
      </c>
    </row>
    <row r="2280">
      <c r="A2280" s="90" t="n">
        <v>42</v>
      </c>
      <c r="B2280" s="91">
        <f>EDATE($B2279,1)</f>
        <v/>
      </c>
      <c r="C2280" s="92">
        <f>EOMONTH($B2280,0)</f>
        <v/>
      </c>
      <c r="D2280" s="87">
        <f>$C2280-$B2280+1</f>
        <v/>
      </c>
      <c r="E2280" s="87">
        <f>MONTH($B2280)</f>
        <v/>
      </c>
      <c r="F2280" s="93">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$N2280*IF($O$2236=1,$O2280/$F$2236,1)</f>
        <v/>
      </c>
      <c r="T2280" s="95">
        <f>IF($G2280&lt;nr_MStartP,$S2280,$T2268*(1+IF($G2280&lt;nr_MStartP1,$M$2236,$N$2236)))</f>
        <v/>
      </c>
      <c r="U2280" s="95">
        <f>IF($L$2236,$T2280,$N2280)</f>
        <v/>
      </c>
    </row>
    <row r="2281">
      <c r="A2281" s="90" t="n">
        <v>43</v>
      </c>
      <c r="B2281" s="91">
        <f>EDATE($B2280,1)</f>
        <v/>
      </c>
      <c r="C2281" s="92">
        <f>EOMONTH($B2281,0)</f>
        <v/>
      </c>
      <c r="D2281" s="87">
        <f>$C2281-$B2281+1</f>
        <v/>
      </c>
      <c r="E2281" s="87">
        <f>MONTH($B2281)</f>
        <v/>
      </c>
      <c r="F2281" s="93">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$N2281*IF($O$2236=1,$O2281/$F$2236,1)</f>
        <v/>
      </c>
      <c r="T2281" s="95">
        <f>IF($G2281&lt;nr_MStartP,$S2281,$T2269*(1+IF($G2281&lt;nr_MStartP1,$M$2236,$N$2236)))</f>
        <v/>
      </c>
      <c r="U2281" s="95">
        <f>IF($L$2236,$T2281,$N2281)</f>
        <v/>
      </c>
    </row>
    <row r="2282">
      <c r="A2282" s="90" t="n">
        <v>44</v>
      </c>
      <c r="B2282" s="91">
        <f>EDATE($B2281,1)</f>
        <v/>
      </c>
      <c r="C2282" s="92">
        <f>EOMONTH($B2282,0)</f>
        <v/>
      </c>
      <c r="D2282" s="87">
        <f>$C2282-$B2282+1</f>
        <v/>
      </c>
      <c r="E2282" s="87">
        <f>MONTH($B2282)</f>
        <v/>
      </c>
      <c r="F2282" s="93">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$N2282*IF($O$2236=1,$O2282/$F$2236,1)</f>
        <v/>
      </c>
      <c r="T2282" s="95">
        <f>IF($G2282&lt;nr_MStartP,$S2282,$T2270*(1+IF($G2282&lt;nr_MStartP1,$M$2236,$N$2236)))</f>
        <v/>
      </c>
      <c r="U2282" s="95">
        <f>IF($L$2236,$T2282,$N2282)</f>
        <v/>
      </c>
    </row>
    <row r="2283">
      <c r="A2283" s="90" t="n">
        <v>45</v>
      </c>
      <c r="B2283" s="91">
        <f>EDATE($B2282,1)</f>
        <v/>
      </c>
      <c r="C2283" s="92">
        <f>EOMONTH($B2283,0)</f>
        <v/>
      </c>
      <c r="D2283" s="87">
        <f>$C2283-$B2283+1</f>
        <v/>
      </c>
      <c r="E2283" s="87">
        <f>MONTH($B2283)</f>
        <v/>
      </c>
      <c r="F2283" s="93">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$N2283*IF($O$2236=1,$O2283/$F$2236,1)</f>
        <v/>
      </c>
      <c r="T2283" s="95">
        <f>IF($G2283&lt;nr_MStartP,$S2283,$T2271*(1+IF($G2283&lt;nr_MStartP1,$M$2236,$N$2236)))</f>
        <v/>
      </c>
      <c r="U2283" s="95">
        <f>IF($L$2236,$T2283,$N2283)</f>
        <v/>
      </c>
    </row>
    <row r="2284">
      <c r="A2284" s="90" t="n">
        <v>46</v>
      </c>
      <c r="B2284" s="91">
        <f>EDATE($B2283,1)</f>
        <v/>
      </c>
      <c r="C2284" s="92">
        <f>EOMONTH($B2284,0)</f>
        <v/>
      </c>
      <c r="D2284" s="87">
        <f>$C2284-$B2284+1</f>
        <v/>
      </c>
      <c r="E2284" s="87">
        <f>MONTH($B2284)</f>
        <v/>
      </c>
      <c r="F2284" s="93">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$N2284*IF($O$2236=1,$O2284/$F$2236,1)</f>
        <v/>
      </c>
      <c r="T2284" s="95">
        <f>IF($G2284&lt;nr_MStartP,$S2284,$T2272*(1+IF($G2284&lt;nr_MStartP1,$M$2236,$N$2236)))</f>
        <v/>
      </c>
      <c r="U2284" s="95">
        <f>IF($L$2236,$T2284,$N2284)</f>
        <v/>
      </c>
    </row>
    <row r="2285">
      <c r="A2285" s="90" t="n">
        <v>47</v>
      </c>
      <c r="B2285" s="91">
        <f>EDATE($B2284,1)</f>
        <v/>
      </c>
      <c r="C2285" s="92">
        <f>EOMONTH($B2285,0)</f>
        <v/>
      </c>
      <c r="D2285" s="87">
        <f>$C2285-$B2285+1</f>
        <v/>
      </c>
      <c r="E2285" s="87">
        <f>MONTH($B2285)</f>
        <v/>
      </c>
      <c r="F2285" s="93">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$N2285*IF($O$2236=1,$O2285/$F$2236,1)</f>
        <v/>
      </c>
      <c r="T2285" s="95">
        <f>IF($G2285&lt;nr_MStartP,$S2285,$T2273*(1+IF($G2285&lt;nr_MStartP1,$M$2236,$N$2236)))</f>
        <v/>
      </c>
      <c r="U2285" s="95">
        <f>IF($L$2236,$T2285,$N2285)</f>
        <v/>
      </c>
    </row>
    <row r="2286">
      <c r="A2286" s="90" t="n">
        <v>48</v>
      </c>
      <c r="B2286" s="91">
        <f>EDATE($B2285,1)</f>
        <v/>
      </c>
      <c r="C2286" s="92">
        <f>EOMONTH($B2286,0)</f>
        <v/>
      </c>
      <c r="D2286" s="87">
        <f>$C2286-$B2286+1</f>
        <v/>
      </c>
      <c r="E2286" s="87">
        <f>MONTH($B2286)</f>
        <v/>
      </c>
      <c r="F2286" s="93">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$N2286*IF($O$2236=1,$O2286/$F$2236,1)</f>
        <v/>
      </c>
      <c r="T2286" s="95">
        <f>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04">
        <f>SUMPRODUCT($H$2239:$H$2286,$Q$2239:$Q$2286,$O$2239:$O$2286)/SUMPRODUCT($H$2239:$H$2286,$Q$2239:$Q$2286)</f>
        <v/>
      </c>
      <c r="G2287" s="20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04">
        <f>IF(N(INDEX(lr_mind,42))=0,1,INDEX(lr_mind,42))</f>
        <v/>
      </c>
      <c r="G2290" s="204">
        <f>IF(N(INDEX(lr_m0,42))=0,1,INDEX(lr_m0,42))</f>
        <v/>
      </c>
      <c r="H2290" s="73">
        <f>IF(N(INDEX(lr_m0asof,42))=0,DATE(nr_PlanYear-1,10,1),INDEX(lr_m0asof,42))</f>
        <v/>
      </c>
      <c r="I2290" s="204">
        <f>IF(N(INDEX(lr_m1,42))=0,1,INDEX(lr_m1,42))</f>
        <v/>
      </c>
      <c r="J2290" s="204">
        <f>INDEX(lr_mprior,42)</f>
        <v/>
      </c>
      <c r="K2290" s="20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93">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$N2293*IF($O$2290=1,$O2293/$F$2290,1)</f>
        <v/>
      </c>
      <c r="T2293" s="95">
        <f>IF($G2293&lt;nr_MStartP,$S2293,$T2281*(1+IF($G2293&lt;nr_MStartP1,$M$2290,$N$2290)))</f>
        <v/>
      </c>
      <c r="U2293" s="95">
        <f>IF($L$2290,$T2293,$N2293)</f>
        <v/>
      </c>
    </row>
    <row r="2294">
      <c r="A2294" s="90" t="n">
        <v>2</v>
      </c>
      <c r="B2294" s="91">
        <f>EDATE($B2293,1)</f>
        <v/>
      </c>
      <c r="C2294" s="92">
        <f>EOMONTH($B2294,0)</f>
        <v/>
      </c>
      <c r="D2294" s="87">
        <f>$C2294-$B2294+1</f>
        <v/>
      </c>
      <c r="E2294" s="87">
        <f>MONTH($B2294)</f>
        <v/>
      </c>
      <c r="F2294" s="93">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$N2294*IF($O$2290=1,$O2294/$F$2290,1)</f>
        <v/>
      </c>
      <c r="T2294" s="95">
        <f>IF($G2294&lt;nr_MStartP,$S2294,$T2282*(1+IF($G2294&lt;nr_MStartP1,$M$2290,$N$2290)))</f>
        <v/>
      </c>
      <c r="U2294" s="95">
        <f>IF($L$2290,$T2294,$N2294)</f>
        <v/>
      </c>
    </row>
    <row r="2295">
      <c r="A2295" s="90" t="n">
        <v>3</v>
      </c>
      <c r="B2295" s="91">
        <f>EDATE($B2294,1)</f>
        <v/>
      </c>
      <c r="C2295" s="92">
        <f>EOMONTH($B2295,0)</f>
        <v/>
      </c>
      <c r="D2295" s="87">
        <f>$C2295-$B2295+1</f>
        <v/>
      </c>
      <c r="E2295" s="87">
        <f>MONTH($B2295)</f>
        <v/>
      </c>
      <c r="F2295" s="93">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$N2295*IF($O$2290=1,$O2295/$F$2290,1)</f>
        <v/>
      </c>
      <c r="T2295" s="95">
        <f>IF($G2295&lt;nr_MStartP,$S2295,$T2283*(1+IF($G2295&lt;nr_MStartP1,$M$2290,$N$2290)))</f>
        <v/>
      </c>
      <c r="U2295" s="95">
        <f>IF($L$2290,$T2295,$N2295)</f>
        <v/>
      </c>
    </row>
    <row r="2296">
      <c r="A2296" s="90" t="n">
        <v>4</v>
      </c>
      <c r="B2296" s="91">
        <f>EDATE($B2295,1)</f>
        <v/>
      </c>
      <c r="C2296" s="92">
        <f>EOMONTH($B2296,0)</f>
        <v/>
      </c>
      <c r="D2296" s="87">
        <f>$C2296-$B2296+1</f>
        <v/>
      </c>
      <c r="E2296" s="87">
        <f>MONTH($B2296)</f>
        <v/>
      </c>
      <c r="F2296" s="93">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$N2296*IF($O$2290=1,$O2296/$F$2290,1)</f>
        <v/>
      </c>
      <c r="T2296" s="95">
        <f>IF($G2296&lt;nr_MStartP,$S2296,$T2284*(1+IF($G2296&lt;nr_MStartP1,$M$2290,$N$2290)))</f>
        <v/>
      </c>
      <c r="U2296" s="95">
        <f>IF($L$2290,$T2296,$N2296)</f>
        <v/>
      </c>
    </row>
    <row r="2297">
      <c r="A2297" s="90" t="n">
        <v>5</v>
      </c>
      <c r="B2297" s="91">
        <f>EDATE($B2296,1)</f>
        <v/>
      </c>
      <c r="C2297" s="92">
        <f>EOMONTH($B2297,0)</f>
        <v/>
      </c>
      <c r="D2297" s="87">
        <f>$C2297-$B2297+1</f>
        <v/>
      </c>
      <c r="E2297" s="87">
        <f>MONTH($B2297)</f>
        <v/>
      </c>
      <c r="F2297" s="93">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$N2297*IF($O$2290=1,$O2297/$F$2290,1)</f>
        <v/>
      </c>
      <c r="T2297" s="95">
        <f>IF($G2297&lt;nr_MStartP,$S2297,$T2285*(1+IF($G2297&lt;nr_MStartP1,$M$2290,$N$2290)))</f>
        <v/>
      </c>
      <c r="U2297" s="95">
        <f>IF($L$2290,$T2297,$N2297)</f>
        <v/>
      </c>
    </row>
    <row r="2298">
      <c r="A2298" s="90" t="n">
        <v>6</v>
      </c>
      <c r="B2298" s="91">
        <f>EDATE($B2297,1)</f>
        <v/>
      </c>
      <c r="C2298" s="92">
        <f>EOMONTH($B2298,0)</f>
        <v/>
      </c>
      <c r="D2298" s="87">
        <f>$C2298-$B2298+1</f>
        <v/>
      </c>
      <c r="E2298" s="87">
        <f>MONTH($B2298)</f>
        <v/>
      </c>
      <c r="F2298" s="93">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$N2298*IF($O$2290=1,$O2298/$F$2290,1)</f>
        <v/>
      </c>
      <c r="T2298" s="95">
        <f>IF($G2298&lt;nr_MStartP,$S2298,$T2286*(1+IF($G2298&lt;nr_MStartP1,$M$2290,$N$2290)))</f>
        <v/>
      </c>
      <c r="U2298" s="95">
        <f>IF($L$2290,$T2298,$N2298)</f>
        <v/>
      </c>
    </row>
    <row r="2299">
      <c r="A2299" s="90" t="n">
        <v>7</v>
      </c>
      <c r="B2299" s="91">
        <f>EDATE($B2298,1)</f>
        <v/>
      </c>
      <c r="C2299" s="92">
        <f>EOMONTH($B2299,0)</f>
        <v/>
      </c>
      <c r="D2299" s="87">
        <f>$C2299-$B2299+1</f>
        <v/>
      </c>
      <c r="E2299" s="87">
        <f>MONTH($B2299)</f>
        <v/>
      </c>
      <c r="F2299" s="93">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$N2299*IF($O$2290=1,$O2299/$F$2290,1)</f>
        <v/>
      </c>
      <c r="T2299" s="95">
        <f>IF($G2299&lt;nr_MStartP,$S2299,$T2287*(1+IF($G2299&lt;nr_MStartP1,$M$2290,$N$2290)))</f>
        <v/>
      </c>
      <c r="U2299" s="95">
        <f>IF($L$2290,$T2299,$N2299)</f>
        <v/>
      </c>
    </row>
    <row r="2300">
      <c r="A2300" s="90" t="n">
        <v>8</v>
      </c>
      <c r="B2300" s="91">
        <f>EDATE($B2299,1)</f>
        <v/>
      </c>
      <c r="C2300" s="92">
        <f>EOMONTH($B2300,0)</f>
        <v/>
      </c>
      <c r="D2300" s="87">
        <f>$C2300-$B2300+1</f>
        <v/>
      </c>
      <c r="E2300" s="87">
        <f>MONTH($B2300)</f>
        <v/>
      </c>
      <c r="F2300" s="93">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$N2300*IF($O$2290=1,$O2300/$F$2290,1)</f>
        <v/>
      </c>
      <c r="T2300" s="95">
        <f>IF($G2300&lt;nr_MStartP,$S2300,$T2288*(1+IF($G2300&lt;nr_MStartP1,$M$2290,$N$2290)))</f>
        <v/>
      </c>
      <c r="U2300" s="95">
        <f>IF($L$2290,$T2300,$N2300)</f>
        <v/>
      </c>
    </row>
    <row r="2301">
      <c r="A2301" s="90" t="n">
        <v>9</v>
      </c>
      <c r="B2301" s="91">
        <f>EDATE($B2300,1)</f>
        <v/>
      </c>
      <c r="C2301" s="92">
        <f>EOMONTH($B2301,0)</f>
        <v/>
      </c>
      <c r="D2301" s="87">
        <f>$C2301-$B2301+1</f>
        <v/>
      </c>
      <c r="E2301" s="87">
        <f>MONTH($B2301)</f>
        <v/>
      </c>
      <c r="F2301" s="93">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$N2301*IF($O$2290=1,$O2301/$F$2290,1)</f>
        <v/>
      </c>
      <c r="T2301" s="95">
        <f>IF($G2301&lt;nr_MStartP,$S2301,$T2289*(1+IF($G2301&lt;nr_MStartP1,$M$2290,$N$2290)))</f>
        <v/>
      </c>
      <c r="U2301" s="95">
        <f>IF($L$2290,$T2301,$N2301)</f>
        <v/>
      </c>
    </row>
    <row r="2302">
      <c r="A2302" s="90" t="n">
        <v>10</v>
      </c>
      <c r="B2302" s="91">
        <f>EDATE($B2301,1)</f>
        <v/>
      </c>
      <c r="C2302" s="92">
        <f>EOMONTH($B2302,0)</f>
        <v/>
      </c>
      <c r="D2302" s="87">
        <f>$C2302-$B2302+1</f>
        <v/>
      </c>
      <c r="E2302" s="87">
        <f>MONTH($B2302)</f>
        <v/>
      </c>
      <c r="F2302" s="93">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$N2302*IF($O$2290=1,$O2302/$F$2290,1)</f>
        <v/>
      </c>
      <c r="T2302" s="95">
        <f>IF($G2302&lt;nr_MStartP,$S2302,$T2290*(1+IF($G2302&lt;nr_MStartP1,$M$2290,$N$2290)))</f>
        <v/>
      </c>
      <c r="U2302" s="95">
        <f>IF($L$2290,$T2302,$N2302)</f>
        <v/>
      </c>
    </row>
    <row r="2303">
      <c r="A2303" s="90" t="n">
        <v>11</v>
      </c>
      <c r="B2303" s="91">
        <f>EDATE($B2302,1)</f>
        <v/>
      </c>
      <c r="C2303" s="92">
        <f>EOMONTH($B2303,0)</f>
        <v/>
      </c>
      <c r="D2303" s="87">
        <f>$C2303-$B2303+1</f>
        <v/>
      </c>
      <c r="E2303" s="87">
        <f>MONTH($B2303)</f>
        <v/>
      </c>
      <c r="F2303" s="93">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$N2303*IF($O$2290=1,$O2303/$F$2290,1)</f>
        <v/>
      </c>
      <c r="T2303" s="95">
        <f>IF($G2303&lt;nr_MStartP,$S2303,$T2291*(1+IF($G2303&lt;nr_MStartP1,$M$2290,$N$2290)))</f>
        <v/>
      </c>
      <c r="U2303" s="95">
        <f>IF($L$2290,$T2303,$N2303)</f>
        <v/>
      </c>
    </row>
    <row r="2304">
      <c r="A2304" s="90" t="n">
        <v>12</v>
      </c>
      <c r="B2304" s="91">
        <f>EDATE($B2303,1)</f>
        <v/>
      </c>
      <c r="C2304" s="92">
        <f>EOMONTH($B2304,0)</f>
        <v/>
      </c>
      <c r="D2304" s="87">
        <f>$C2304-$B2304+1</f>
        <v/>
      </c>
      <c r="E2304" s="87">
        <f>MONTH($B2304)</f>
        <v/>
      </c>
      <c r="F2304" s="93">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$N2304*IF($O$2290=1,$O2304/$F$2290,1)</f>
        <v/>
      </c>
      <c r="T2304" s="95">
        <f>IF($G2304&lt;nr_MStartP,$S2304,$T2292*(1+IF($G2304&lt;nr_MStartP1,$M$2290,$N$2290)))</f>
        <v/>
      </c>
      <c r="U2304" s="95">
        <f>IF($L$2290,$T2304,$N2304)</f>
        <v/>
      </c>
    </row>
    <row r="2305">
      <c r="A2305" s="90" t="n">
        <v>13</v>
      </c>
      <c r="B2305" s="91">
        <f>EDATE($B2304,1)</f>
        <v/>
      </c>
      <c r="C2305" s="92">
        <f>EOMONTH($B2305,0)</f>
        <v/>
      </c>
      <c r="D2305" s="87">
        <f>$C2305-$B2305+1</f>
        <v/>
      </c>
      <c r="E2305" s="87">
        <f>MONTH($B2305)</f>
        <v/>
      </c>
      <c r="F2305" s="93">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$N2305*IF($O$2290=1,$O2305/$F$2290,1)</f>
        <v/>
      </c>
      <c r="T2305" s="95">
        <f>IF($G2305&lt;nr_MStartP,$S2305,$T2293*(1+IF($G2305&lt;nr_MStartP1,$M$2290,$N$2290)))</f>
        <v/>
      </c>
      <c r="U2305" s="95">
        <f>IF($L$2290,$T2305,$N2305)</f>
        <v/>
      </c>
    </row>
    <row r="2306">
      <c r="A2306" s="90" t="n">
        <v>14</v>
      </c>
      <c r="B2306" s="91">
        <f>EDATE($B2305,1)</f>
        <v/>
      </c>
      <c r="C2306" s="92">
        <f>EOMONTH($B2306,0)</f>
        <v/>
      </c>
      <c r="D2306" s="87">
        <f>$C2306-$B2306+1</f>
        <v/>
      </c>
      <c r="E2306" s="87">
        <f>MONTH($B2306)</f>
        <v/>
      </c>
      <c r="F2306" s="93">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$N2306*IF($O$2290=1,$O2306/$F$2290,1)</f>
        <v/>
      </c>
      <c r="T2306" s="95">
        <f>IF($G2306&lt;nr_MStartP,$S2306,$T2294*(1+IF($G2306&lt;nr_MStartP1,$M$2290,$N$2290)))</f>
        <v/>
      </c>
      <c r="U2306" s="95">
        <f>IF($L$2290,$T2306,$N2306)</f>
        <v/>
      </c>
    </row>
    <row r="2307">
      <c r="A2307" s="90" t="n">
        <v>15</v>
      </c>
      <c r="B2307" s="91">
        <f>EDATE($B2306,1)</f>
        <v/>
      </c>
      <c r="C2307" s="92">
        <f>EOMONTH($B2307,0)</f>
        <v/>
      </c>
      <c r="D2307" s="87">
        <f>$C2307-$B2307+1</f>
        <v/>
      </c>
      <c r="E2307" s="87">
        <f>MONTH($B2307)</f>
        <v/>
      </c>
      <c r="F2307" s="93">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$N2307*IF($O$2290=1,$O2307/$F$2290,1)</f>
        <v/>
      </c>
      <c r="T2307" s="95">
        <f>IF($G2307&lt;nr_MStartP,$S2307,$T2295*(1+IF($G2307&lt;nr_MStartP1,$M$2290,$N$2290)))</f>
        <v/>
      </c>
      <c r="U2307" s="95">
        <f>IF($L$2290,$T2307,$N2307)</f>
        <v/>
      </c>
    </row>
    <row r="2308">
      <c r="A2308" s="90" t="n">
        <v>16</v>
      </c>
      <c r="B2308" s="91">
        <f>EDATE($B2307,1)</f>
        <v/>
      </c>
      <c r="C2308" s="92">
        <f>EOMONTH($B2308,0)</f>
        <v/>
      </c>
      <c r="D2308" s="87">
        <f>$C2308-$B2308+1</f>
        <v/>
      </c>
      <c r="E2308" s="87">
        <f>MONTH($B2308)</f>
        <v/>
      </c>
      <c r="F2308" s="93">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$N2308*IF($O$2290=1,$O2308/$F$2290,1)</f>
        <v/>
      </c>
      <c r="T2308" s="95">
        <f>IF($G2308&lt;nr_MStartP,$S2308,$T2296*(1+IF($G2308&lt;nr_MStartP1,$M$2290,$N$2290)))</f>
        <v/>
      </c>
      <c r="U2308" s="95">
        <f>IF($L$2290,$T2308,$N2308)</f>
        <v/>
      </c>
    </row>
    <row r="2309">
      <c r="A2309" s="90" t="n">
        <v>17</v>
      </c>
      <c r="B2309" s="91">
        <f>EDATE($B2308,1)</f>
        <v/>
      </c>
      <c r="C2309" s="92">
        <f>EOMONTH($B2309,0)</f>
        <v/>
      </c>
      <c r="D2309" s="87">
        <f>$C2309-$B2309+1</f>
        <v/>
      </c>
      <c r="E2309" s="87">
        <f>MONTH($B2309)</f>
        <v/>
      </c>
      <c r="F2309" s="93">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$N2309*IF($O$2290=1,$O2309/$F$2290,1)</f>
        <v/>
      </c>
      <c r="T2309" s="95">
        <f>IF($G2309&lt;nr_MStartP,$S2309,$T2297*(1+IF($G2309&lt;nr_MStartP1,$M$2290,$N$2290)))</f>
        <v/>
      </c>
      <c r="U2309" s="95">
        <f>IF($L$2290,$T2309,$N2309)</f>
        <v/>
      </c>
    </row>
    <row r="2310">
      <c r="A2310" s="90" t="n">
        <v>18</v>
      </c>
      <c r="B2310" s="91">
        <f>EDATE($B2309,1)</f>
        <v/>
      </c>
      <c r="C2310" s="92">
        <f>EOMONTH($B2310,0)</f>
        <v/>
      </c>
      <c r="D2310" s="87">
        <f>$C2310-$B2310+1</f>
        <v/>
      </c>
      <c r="E2310" s="87">
        <f>MONTH($B2310)</f>
        <v/>
      </c>
      <c r="F2310" s="93">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$N2310*IF($O$2290=1,$O2310/$F$2290,1)</f>
        <v/>
      </c>
      <c r="T2310" s="95">
        <f>IF($G2310&lt;nr_MStartP,$S2310,$T2298*(1+IF($G2310&lt;nr_MStartP1,$M$2290,$N$2290)))</f>
        <v/>
      </c>
      <c r="U2310" s="95">
        <f>IF($L$2290,$T2310,$N2310)</f>
        <v/>
      </c>
    </row>
    <row r="2311">
      <c r="A2311" s="90" t="n">
        <v>19</v>
      </c>
      <c r="B2311" s="91">
        <f>EDATE($B2310,1)</f>
        <v/>
      </c>
      <c r="C2311" s="92">
        <f>EOMONTH($B2311,0)</f>
        <v/>
      </c>
      <c r="D2311" s="87">
        <f>$C2311-$B2311+1</f>
        <v/>
      </c>
      <c r="E2311" s="87">
        <f>MONTH($B2311)</f>
        <v/>
      </c>
      <c r="F2311" s="93">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$N2311*IF($O$2290=1,$O2311/$F$2290,1)</f>
        <v/>
      </c>
      <c r="T2311" s="95">
        <f>IF($G2311&lt;nr_MStartP,$S2311,$T2299*(1+IF($G2311&lt;nr_MStartP1,$M$2290,$N$2290)))</f>
        <v/>
      </c>
      <c r="U2311" s="95">
        <f>IF($L$2290,$T2311,$N2311)</f>
        <v/>
      </c>
    </row>
    <row r="2312">
      <c r="A2312" s="90" t="n">
        <v>20</v>
      </c>
      <c r="B2312" s="91">
        <f>EDATE($B2311,1)</f>
        <v/>
      </c>
      <c r="C2312" s="92">
        <f>EOMONTH($B2312,0)</f>
        <v/>
      </c>
      <c r="D2312" s="87">
        <f>$C2312-$B2312+1</f>
        <v/>
      </c>
      <c r="E2312" s="87">
        <f>MONTH($B2312)</f>
        <v/>
      </c>
      <c r="F2312" s="93">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$N2312*IF($O$2290=1,$O2312/$F$2290,1)</f>
        <v/>
      </c>
      <c r="T2312" s="95">
        <f>IF($G2312&lt;nr_MStartP,$S2312,$T2300*(1+IF($G2312&lt;nr_MStartP1,$M$2290,$N$2290)))</f>
        <v/>
      </c>
      <c r="U2312" s="95">
        <f>IF($L$2290,$T2312,$N2312)</f>
        <v/>
      </c>
    </row>
    <row r="2313">
      <c r="A2313" s="90" t="n">
        <v>21</v>
      </c>
      <c r="B2313" s="91">
        <f>EDATE($B2312,1)</f>
        <v/>
      </c>
      <c r="C2313" s="92">
        <f>EOMONTH($B2313,0)</f>
        <v/>
      </c>
      <c r="D2313" s="87">
        <f>$C2313-$B2313+1</f>
        <v/>
      </c>
      <c r="E2313" s="87">
        <f>MONTH($B2313)</f>
        <v/>
      </c>
      <c r="F2313" s="93">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$N2313*IF($O$2290=1,$O2313/$F$2290,1)</f>
        <v/>
      </c>
      <c r="T2313" s="95">
        <f>IF($G2313&lt;nr_MStartP,$S2313,$T2301*(1+IF($G2313&lt;nr_MStartP1,$M$2290,$N$2290)))</f>
        <v/>
      </c>
      <c r="U2313" s="95">
        <f>IF($L$2290,$T2313,$N2313)</f>
        <v/>
      </c>
    </row>
    <row r="2314">
      <c r="A2314" s="90" t="n">
        <v>22</v>
      </c>
      <c r="B2314" s="91">
        <f>EDATE($B2313,1)</f>
        <v/>
      </c>
      <c r="C2314" s="92">
        <f>EOMONTH($B2314,0)</f>
        <v/>
      </c>
      <c r="D2314" s="87">
        <f>$C2314-$B2314+1</f>
        <v/>
      </c>
      <c r="E2314" s="87">
        <f>MONTH($B2314)</f>
        <v/>
      </c>
      <c r="F2314" s="93">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$N2314*IF($O$2290=1,$O2314/$F$2290,1)</f>
        <v/>
      </c>
      <c r="T2314" s="95">
        <f>IF($G2314&lt;nr_MStartP,$S2314,$T2302*(1+IF($G2314&lt;nr_MStartP1,$M$2290,$N$2290)))</f>
        <v/>
      </c>
      <c r="U2314" s="95">
        <f>IF($L$2290,$T2314,$N2314)</f>
        <v/>
      </c>
    </row>
    <row r="2315">
      <c r="A2315" s="90" t="n">
        <v>23</v>
      </c>
      <c r="B2315" s="91">
        <f>EDATE($B2314,1)</f>
        <v/>
      </c>
      <c r="C2315" s="92">
        <f>EOMONTH($B2315,0)</f>
        <v/>
      </c>
      <c r="D2315" s="87">
        <f>$C2315-$B2315+1</f>
        <v/>
      </c>
      <c r="E2315" s="87">
        <f>MONTH($B2315)</f>
        <v/>
      </c>
      <c r="F2315" s="93">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$N2315*IF($O$2290=1,$O2315/$F$2290,1)</f>
        <v/>
      </c>
      <c r="T2315" s="95">
        <f>IF($G2315&lt;nr_MStartP,$S2315,$T2303*(1+IF($G2315&lt;nr_MStartP1,$M$2290,$N$2290)))</f>
        <v/>
      </c>
      <c r="U2315" s="95">
        <f>IF($L$2290,$T2315,$N2315)</f>
        <v/>
      </c>
    </row>
    <row r="2316">
      <c r="A2316" s="90" t="n">
        <v>24</v>
      </c>
      <c r="B2316" s="91">
        <f>EDATE($B2315,1)</f>
        <v/>
      </c>
      <c r="C2316" s="92">
        <f>EOMONTH($B2316,0)</f>
        <v/>
      </c>
      <c r="D2316" s="87">
        <f>$C2316-$B2316+1</f>
        <v/>
      </c>
      <c r="E2316" s="87">
        <f>MONTH($B2316)</f>
        <v/>
      </c>
      <c r="F2316" s="93">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$N2316*IF($O$2290=1,$O2316/$F$2290,1)</f>
        <v/>
      </c>
      <c r="T2316" s="95">
        <f>IF($G2316&lt;nr_MStartP,$S2316,$T2304*(1+IF($G2316&lt;nr_MStartP1,$M$2290,$N$2290)))</f>
        <v/>
      </c>
      <c r="U2316" s="95">
        <f>IF($L$2290,$T2316,$N2316)</f>
        <v/>
      </c>
    </row>
    <row r="2317">
      <c r="A2317" s="90" t="n">
        <v>25</v>
      </c>
      <c r="B2317" s="91">
        <f>EDATE($B2316,1)</f>
        <v/>
      </c>
      <c r="C2317" s="92">
        <f>EOMONTH($B2317,0)</f>
        <v/>
      </c>
      <c r="D2317" s="87">
        <f>$C2317-$B2317+1</f>
        <v/>
      </c>
      <c r="E2317" s="87">
        <f>MONTH($B2317)</f>
        <v/>
      </c>
      <c r="F2317" s="93">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$N2317*IF($O$2290=1,$O2317/$F$2290,1)</f>
        <v/>
      </c>
      <c r="T2317" s="95">
        <f>IF($G2317&lt;nr_MStartP,$S2317,$T2305*(1+IF($G2317&lt;nr_MStartP1,$M$2290,$N$2290)))</f>
        <v/>
      </c>
      <c r="U2317" s="95">
        <f>IF($L$2290,$T2317,$N2317)</f>
        <v/>
      </c>
    </row>
    <row r="2318">
      <c r="A2318" s="90" t="n">
        <v>26</v>
      </c>
      <c r="B2318" s="91">
        <f>EDATE($B2317,1)</f>
        <v/>
      </c>
      <c r="C2318" s="92">
        <f>EOMONTH($B2318,0)</f>
        <v/>
      </c>
      <c r="D2318" s="87">
        <f>$C2318-$B2318+1</f>
        <v/>
      </c>
      <c r="E2318" s="87">
        <f>MONTH($B2318)</f>
        <v/>
      </c>
      <c r="F2318" s="93">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$N2318*IF($O$2290=1,$O2318/$F$2290,1)</f>
        <v/>
      </c>
      <c r="T2318" s="95">
        <f>IF($G2318&lt;nr_MStartP,$S2318,$T2306*(1+IF($G2318&lt;nr_MStartP1,$M$2290,$N$2290)))</f>
        <v/>
      </c>
      <c r="U2318" s="95">
        <f>IF($L$2290,$T2318,$N2318)</f>
        <v/>
      </c>
    </row>
    <row r="2319">
      <c r="A2319" s="90" t="n">
        <v>27</v>
      </c>
      <c r="B2319" s="91">
        <f>EDATE($B2318,1)</f>
        <v/>
      </c>
      <c r="C2319" s="92">
        <f>EOMONTH($B2319,0)</f>
        <v/>
      </c>
      <c r="D2319" s="87">
        <f>$C2319-$B2319+1</f>
        <v/>
      </c>
      <c r="E2319" s="87">
        <f>MONTH($B2319)</f>
        <v/>
      </c>
      <c r="F2319" s="93">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$N2319*IF($O$2290=1,$O2319/$F$2290,1)</f>
        <v/>
      </c>
      <c r="T2319" s="95">
        <f>IF($G2319&lt;nr_MStartP,$S2319,$T2307*(1+IF($G2319&lt;nr_MStartP1,$M$2290,$N$2290)))</f>
        <v/>
      </c>
      <c r="U2319" s="95">
        <f>IF($L$2290,$T2319,$N2319)</f>
        <v/>
      </c>
    </row>
    <row r="2320">
      <c r="A2320" s="90" t="n">
        <v>28</v>
      </c>
      <c r="B2320" s="91">
        <f>EDATE($B2319,1)</f>
        <v/>
      </c>
      <c r="C2320" s="92">
        <f>EOMONTH($B2320,0)</f>
        <v/>
      </c>
      <c r="D2320" s="87">
        <f>$C2320-$B2320+1</f>
        <v/>
      </c>
      <c r="E2320" s="87">
        <f>MONTH($B2320)</f>
        <v/>
      </c>
      <c r="F2320" s="93">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$N2320*IF($O$2290=1,$O2320/$F$2290,1)</f>
        <v/>
      </c>
      <c r="T2320" s="95">
        <f>IF($G2320&lt;nr_MStartP,$S2320,$T2308*(1+IF($G2320&lt;nr_MStartP1,$M$2290,$N$2290)))</f>
        <v/>
      </c>
      <c r="U2320" s="95">
        <f>IF($L$2290,$T2320,$N2320)</f>
        <v/>
      </c>
    </row>
    <row r="2321">
      <c r="A2321" s="90" t="n">
        <v>29</v>
      </c>
      <c r="B2321" s="91">
        <f>EDATE($B2320,1)</f>
        <v/>
      </c>
      <c r="C2321" s="92">
        <f>EOMONTH($B2321,0)</f>
        <v/>
      </c>
      <c r="D2321" s="87">
        <f>$C2321-$B2321+1</f>
        <v/>
      </c>
      <c r="E2321" s="87">
        <f>MONTH($B2321)</f>
        <v/>
      </c>
      <c r="F2321" s="93">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$N2321*IF($O$2290=1,$O2321/$F$2290,1)</f>
        <v/>
      </c>
      <c r="T2321" s="95">
        <f>IF($G2321&lt;nr_MStartP,$S2321,$T2309*(1+IF($G2321&lt;nr_MStartP1,$M$2290,$N$2290)))</f>
        <v/>
      </c>
      <c r="U2321" s="95">
        <f>IF($L$2290,$T2321,$N2321)</f>
        <v/>
      </c>
    </row>
    <row r="2322">
      <c r="A2322" s="90" t="n">
        <v>30</v>
      </c>
      <c r="B2322" s="91">
        <f>EDATE($B2321,1)</f>
        <v/>
      </c>
      <c r="C2322" s="92">
        <f>EOMONTH($B2322,0)</f>
        <v/>
      </c>
      <c r="D2322" s="87">
        <f>$C2322-$B2322+1</f>
        <v/>
      </c>
      <c r="E2322" s="87">
        <f>MONTH($B2322)</f>
        <v/>
      </c>
      <c r="F2322" s="93">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$N2322*IF($O$2290=1,$O2322/$F$2290,1)</f>
        <v/>
      </c>
      <c r="T2322" s="95">
        <f>IF($G2322&lt;nr_MStartP,$S2322,$T2310*(1+IF($G2322&lt;nr_MStartP1,$M$2290,$N$2290)))</f>
        <v/>
      </c>
      <c r="U2322" s="95">
        <f>IF($L$2290,$T2322,$N2322)</f>
        <v/>
      </c>
    </row>
    <row r="2323">
      <c r="A2323" s="90" t="n">
        <v>31</v>
      </c>
      <c r="B2323" s="91">
        <f>EDATE($B2322,1)</f>
        <v/>
      </c>
      <c r="C2323" s="92">
        <f>EOMONTH($B2323,0)</f>
        <v/>
      </c>
      <c r="D2323" s="87">
        <f>$C2323-$B2323+1</f>
        <v/>
      </c>
      <c r="E2323" s="87">
        <f>MONTH($B2323)</f>
        <v/>
      </c>
      <c r="F2323" s="93">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$N2323*IF($O$2290=1,$O2323/$F$2290,1)</f>
        <v/>
      </c>
      <c r="T2323" s="95">
        <f>IF($G2323&lt;nr_MStartP,$S2323,$T2311*(1+IF($G2323&lt;nr_MStartP1,$M$2290,$N$2290)))</f>
        <v/>
      </c>
      <c r="U2323" s="95">
        <f>IF($L$2290,$T2323,$N2323)</f>
        <v/>
      </c>
    </row>
    <row r="2324">
      <c r="A2324" s="90" t="n">
        <v>32</v>
      </c>
      <c r="B2324" s="91">
        <f>EDATE($B2323,1)</f>
        <v/>
      </c>
      <c r="C2324" s="92">
        <f>EOMONTH($B2324,0)</f>
        <v/>
      </c>
      <c r="D2324" s="87">
        <f>$C2324-$B2324+1</f>
        <v/>
      </c>
      <c r="E2324" s="87">
        <f>MONTH($B2324)</f>
        <v/>
      </c>
      <c r="F2324" s="93">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$N2324*IF($O$2290=1,$O2324/$F$2290,1)</f>
        <v/>
      </c>
      <c r="T2324" s="95">
        <f>IF($G2324&lt;nr_MStartP,$S2324,$T2312*(1+IF($G2324&lt;nr_MStartP1,$M$2290,$N$2290)))</f>
        <v/>
      </c>
      <c r="U2324" s="95">
        <f>IF($L$2290,$T2324,$N2324)</f>
        <v/>
      </c>
    </row>
    <row r="2325">
      <c r="A2325" s="90" t="n">
        <v>33</v>
      </c>
      <c r="B2325" s="91">
        <f>EDATE($B2324,1)</f>
        <v/>
      </c>
      <c r="C2325" s="92">
        <f>EOMONTH($B2325,0)</f>
        <v/>
      </c>
      <c r="D2325" s="87">
        <f>$C2325-$B2325+1</f>
        <v/>
      </c>
      <c r="E2325" s="87">
        <f>MONTH($B2325)</f>
        <v/>
      </c>
      <c r="F2325" s="93">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$N2325*IF($O$2290=1,$O2325/$F$2290,1)</f>
        <v/>
      </c>
      <c r="T2325" s="95">
        <f>IF($G2325&lt;nr_MStartP,$S2325,$T2313*(1+IF($G2325&lt;nr_MStartP1,$M$2290,$N$2290)))</f>
        <v/>
      </c>
      <c r="U2325" s="95">
        <f>IF($L$2290,$T2325,$N2325)</f>
        <v/>
      </c>
    </row>
    <row r="2326">
      <c r="A2326" s="90" t="n">
        <v>34</v>
      </c>
      <c r="B2326" s="91">
        <f>EDATE($B2325,1)</f>
        <v/>
      </c>
      <c r="C2326" s="92">
        <f>EOMONTH($B2326,0)</f>
        <v/>
      </c>
      <c r="D2326" s="87">
        <f>$C2326-$B2326+1</f>
        <v/>
      </c>
      <c r="E2326" s="87">
        <f>MONTH($B2326)</f>
        <v/>
      </c>
      <c r="F2326" s="93">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$N2326*IF($O$2290=1,$O2326/$F$2290,1)</f>
        <v/>
      </c>
      <c r="T2326" s="95">
        <f>IF($G2326&lt;nr_MStartP,$S2326,$T2314*(1+IF($G2326&lt;nr_MStartP1,$M$2290,$N$2290)))</f>
        <v/>
      </c>
      <c r="U2326" s="95">
        <f>IF($L$2290,$T2326,$N2326)</f>
        <v/>
      </c>
    </row>
    <row r="2327">
      <c r="A2327" s="90" t="n">
        <v>35</v>
      </c>
      <c r="B2327" s="91">
        <f>EDATE($B2326,1)</f>
        <v/>
      </c>
      <c r="C2327" s="92">
        <f>EOMONTH($B2327,0)</f>
        <v/>
      </c>
      <c r="D2327" s="87">
        <f>$C2327-$B2327+1</f>
        <v/>
      </c>
      <c r="E2327" s="87">
        <f>MONTH($B2327)</f>
        <v/>
      </c>
      <c r="F2327" s="93">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$N2327*IF($O$2290=1,$O2327/$F$2290,1)</f>
        <v/>
      </c>
      <c r="T2327" s="95">
        <f>IF($G2327&lt;nr_MStartP,$S2327,$T2315*(1+IF($G2327&lt;nr_MStartP1,$M$2290,$N$2290)))</f>
        <v/>
      </c>
      <c r="U2327" s="95">
        <f>IF($L$2290,$T2327,$N2327)</f>
        <v/>
      </c>
    </row>
    <row r="2328">
      <c r="A2328" s="90" t="n">
        <v>36</v>
      </c>
      <c r="B2328" s="91">
        <f>EDATE($B2327,1)</f>
        <v/>
      </c>
      <c r="C2328" s="92">
        <f>EOMONTH($B2328,0)</f>
        <v/>
      </c>
      <c r="D2328" s="87">
        <f>$C2328-$B2328+1</f>
        <v/>
      </c>
      <c r="E2328" s="87">
        <f>MONTH($B2328)</f>
        <v/>
      </c>
      <c r="F2328" s="93">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$N2328*IF($O$2290=1,$O2328/$F$2290,1)</f>
        <v/>
      </c>
      <c r="T2328" s="95">
        <f>IF($G2328&lt;nr_MStartP,$S2328,$T2316*(1+IF($G2328&lt;nr_MStartP1,$M$2290,$N$2290)))</f>
        <v/>
      </c>
      <c r="U2328" s="95">
        <f>IF($L$2290,$T2328,$N2328)</f>
        <v/>
      </c>
    </row>
    <row r="2329">
      <c r="A2329" s="90" t="n">
        <v>37</v>
      </c>
      <c r="B2329" s="91">
        <f>EDATE($B2328,1)</f>
        <v/>
      </c>
      <c r="C2329" s="92">
        <f>EOMONTH($B2329,0)</f>
        <v/>
      </c>
      <c r="D2329" s="87">
        <f>$C2329-$B2329+1</f>
        <v/>
      </c>
      <c r="E2329" s="87">
        <f>MONTH($B2329)</f>
        <v/>
      </c>
      <c r="F2329" s="93">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$N2329*IF($O$2290=1,$O2329/$F$2290,1)</f>
        <v/>
      </c>
      <c r="T2329" s="95">
        <f>IF($G2329&lt;nr_MStartP,$S2329,$T2317*(1+IF($G2329&lt;nr_MStartP1,$M$2290,$N$2290)))</f>
        <v/>
      </c>
      <c r="U2329" s="95">
        <f>IF($L$2290,$T2329,$N2329)</f>
        <v/>
      </c>
    </row>
    <row r="2330">
      <c r="A2330" s="90" t="n">
        <v>38</v>
      </c>
      <c r="B2330" s="91">
        <f>EDATE($B2329,1)</f>
        <v/>
      </c>
      <c r="C2330" s="92">
        <f>EOMONTH($B2330,0)</f>
        <v/>
      </c>
      <c r="D2330" s="87">
        <f>$C2330-$B2330+1</f>
        <v/>
      </c>
      <c r="E2330" s="87">
        <f>MONTH($B2330)</f>
        <v/>
      </c>
      <c r="F2330" s="93">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$N2330*IF($O$2290=1,$O2330/$F$2290,1)</f>
        <v/>
      </c>
      <c r="T2330" s="95">
        <f>IF($G2330&lt;nr_MStartP,$S2330,$T2318*(1+IF($G2330&lt;nr_MStartP1,$M$2290,$N$2290)))</f>
        <v/>
      </c>
      <c r="U2330" s="95">
        <f>IF($L$2290,$T2330,$N2330)</f>
        <v/>
      </c>
    </row>
    <row r="2331">
      <c r="A2331" s="90" t="n">
        <v>39</v>
      </c>
      <c r="B2331" s="91">
        <f>EDATE($B2330,1)</f>
        <v/>
      </c>
      <c r="C2331" s="92">
        <f>EOMONTH($B2331,0)</f>
        <v/>
      </c>
      <c r="D2331" s="87">
        <f>$C2331-$B2331+1</f>
        <v/>
      </c>
      <c r="E2331" s="87">
        <f>MONTH($B2331)</f>
        <v/>
      </c>
      <c r="F2331" s="93">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$N2331*IF($O$2290=1,$O2331/$F$2290,1)</f>
        <v/>
      </c>
      <c r="T2331" s="95">
        <f>IF($G2331&lt;nr_MStartP,$S2331,$T2319*(1+IF($G2331&lt;nr_MStartP1,$M$2290,$N$2290)))</f>
        <v/>
      </c>
      <c r="U2331" s="95">
        <f>IF($L$2290,$T2331,$N2331)</f>
        <v/>
      </c>
    </row>
    <row r="2332">
      <c r="A2332" s="90" t="n">
        <v>40</v>
      </c>
      <c r="B2332" s="91">
        <f>EDATE($B2331,1)</f>
        <v/>
      </c>
      <c r="C2332" s="92">
        <f>EOMONTH($B2332,0)</f>
        <v/>
      </c>
      <c r="D2332" s="87">
        <f>$C2332-$B2332+1</f>
        <v/>
      </c>
      <c r="E2332" s="87">
        <f>MONTH($B2332)</f>
        <v/>
      </c>
      <c r="F2332" s="93">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$N2332*IF($O$2290=1,$O2332/$F$2290,1)</f>
        <v/>
      </c>
      <c r="T2332" s="95">
        <f>IF($G2332&lt;nr_MStartP,$S2332,$T2320*(1+IF($G2332&lt;nr_MStartP1,$M$2290,$N$2290)))</f>
        <v/>
      </c>
      <c r="U2332" s="95">
        <f>IF($L$2290,$T2332,$N2332)</f>
        <v/>
      </c>
    </row>
    <row r="2333">
      <c r="A2333" s="90" t="n">
        <v>41</v>
      </c>
      <c r="B2333" s="91">
        <f>EDATE($B2332,1)</f>
        <v/>
      </c>
      <c r="C2333" s="92">
        <f>EOMONTH($B2333,0)</f>
        <v/>
      </c>
      <c r="D2333" s="87">
        <f>$C2333-$B2333+1</f>
        <v/>
      </c>
      <c r="E2333" s="87">
        <f>MONTH($B2333)</f>
        <v/>
      </c>
      <c r="F2333" s="93">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$N2333*IF($O$2290=1,$O2333/$F$2290,1)</f>
        <v/>
      </c>
      <c r="T2333" s="95">
        <f>IF($G2333&lt;nr_MStartP,$S2333,$T2321*(1+IF($G2333&lt;nr_MStartP1,$M$2290,$N$2290)))</f>
        <v/>
      </c>
      <c r="U2333" s="95">
        <f>IF($L$2290,$T2333,$N2333)</f>
        <v/>
      </c>
    </row>
    <row r="2334">
      <c r="A2334" s="90" t="n">
        <v>42</v>
      </c>
      <c r="B2334" s="91">
        <f>EDATE($B2333,1)</f>
        <v/>
      </c>
      <c r="C2334" s="92">
        <f>EOMONTH($B2334,0)</f>
        <v/>
      </c>
      <c r="D2334" s="87">
        <f>$C2334-$B2334+1</f>
        <v/>
      </c>
      <c r="E2334" s="87">
        <f>MONTH($B2334)</f>
        <v/>
      </c>
      <c r="F2334" s="93">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$N2334*IF($O$2290=1,$O2334/$F$2290,1)</f>
        <v/>
      </c>
      <c r="T2334" s="95">
        <f>IF($G2334&lt;nr_MStartP,$S2334,$T2322*(1+IF($G2334&lt;nr_MStartP1,$M$2290,$N$2290)))</f>
        <v/>
      </c>
      <c r="U2334" s="95">
        <f>IF($L$2290,$T2334,$N2334)</f>
        <v/>
      </c>
    </row>
    <row r="2335">
      <c r="A2335" s="90" t="n">
        <v>43</v>
      </c>
      <c r="B2335" s="91">
        <f>EDATE($B2334,1)</f>
        <v/>
      </c>
      <c r="C2335" s="92">
        <f>EOMONTH($B2335,0)</f>
        <v/>
      </c>
      <c r="D2335" s="87">
        <f>$C2335-$B2335+1</f>
        <v/>
      </c>
      <c r="E2335" s="87">
        <f>MONTH($B2335)</f>
        <v/>
      </c>
      <c r="F2335" s="93">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$N2335*IF($O$2290=1,$O2335/$F$2290,1)</f>
        <v/>
      </c>
      <c r="T2335" s="95">
        <f>IF($G2335&lt;nr_MStartP,$S2335,$T2323*(1+IF($G2335&lt;nr_MStartP1,$M$2290,$N$2290)))</f>
        <v/>
      </c>
      <c r="U2335" s="95">
        <f>IF($L$2290,$T2335,$N2335)</f>
        <v/>
      </c>
    </row>
    <row r="2336">
      <c r="A2336" s="90" t="n">
        <v>44</v>
      </c>
      <c r="B2336" s="91">
        <f>EDATE($B2335,1)</f>
        <v/>
      </c>
      <c r="C2336" s="92">
        <f>EOMONTH($B2336,0)</f>
        <v/>
      </c>
      <c r="D2336" s="87">
        <f>$C2336-$B2336+1</f>
        <v/>
      </c>
      <c r="E2336" s="87">
        <f>MONTH($B2336)</f>
        <v/>
      </c>
      <c r="F2336" s="93">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$N2336*IF($O$2290=1,$O2336/$F$2290,1)</f>
        <v/>
      </c>
      <c r="T2336" s="95">
        <f>IF($G2336&lt;nr_MStartP,$S2336,$T2324*(1+IF($G2336&lt;nr_MStartP1,$M$2290,$N$2290)))</f>
        <v/>
      </c>
      <c r="U2336" s="95">
        <f>IF($L$2290,$T2336,$N2336)</f>
        <v/>
      </c>
    </row>
    <row r="2337">
      <c r="A2337" s="90" t="n">
        <v>45</v>
      </c>
      <c r="B2337" s="91">
        <f>EDATE($B2336,1)</f>
        <v/>
      </c>
      <c r="C2337" s="92">
        <f>EOMONTH($B2337,0)</f>
        <v/>
      </c>
      <c r="D2337" s="87">
        <f>$C2337-$B2337+1</f>
        <v/>
      </c>
      <c r="E2337" s="87">
        <f>MONTH($B2337)</f>
        <v/>
      </c>
      <c r="F2337" s="93">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$N2337*IF($O$2290=1,$O2337/$F$2290,1)</f>
        <v/>
      </c>
      <c r="T2337" s="95">
        <f>IF($G2337&lt;nr_MStartP,$S2337,$T2325*(1+IF($G2337&lt;nr_MStartP1,$M$2290,$N$2290)))</f>
        <v/>
      </c>
      <c r="U2337" s="95">
        <f>IF($L$2290,$T2337,$N2337)</f>
        <v/>
      </c>
    </row>
    <row r="2338">
      <c r="A2338" s="90" t="n">
        <v>46</v>
      </c>
      <c r="B2338" s="91">
        <f>EDATE($B2337,1)</f>
        <v/>
      </c>
      <c r="C2338" s="92">
        <f>EOMONTH($B2338,0)</f>
        <v/>
      </c>
      <c r="D2338" s="87">
        <f>$C2338-$B2338+1</f>
        <v/>
      </c>
      <c r="E2338" s="87">
        <f>MONTH($B2338)</f>
        <v/>
      </c>
      <c r="F2338" s="93">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$N2338*IF($O$2290=1,$O2338/$F$2290,1)</f>
        <v/>
      </c>
      <c r="T2338" s="95">
        <f>IF($G2338&lt;nr_MStartP,$S2338,$T2326*(1+IF($G2338&lt;nr_MStartP1,$M$2290,$N$2290)))</f>
        <v/>
      </c>
      <c r="U2338" s="95">
        <f>IF($L$2290,$T2338,$N2338)</f>
        <v/>
      </c>
    </row>
    <row r="2339">
      <c r="A2339" s="90" t="n">
        <v>47</v>
      </c>
      <c r="B2339" s="91">
        <f>EDATE($B2338,1)</f>
        <v/>
      </c>
      <c r="C2339" s="92">
        <f>EOMONTH($B2339,0)</f>
        <v/>
      </c>
      <c r="D2339" s="87">
        <f>$C2339-$B2339+1</f>
        <v/>
      </c>
      <c r="E2339" s="87">
        <f>MONTH($B2339)</f>
        <v/>
      </c>
      <c r="F2339" s="93">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$N2339*IF($O$2290=1,$O2339/$F$2290,1)</f>
        <v/>
      </c>
      <c r="T2339" s="95">
        <f>IF($G2339&lt;nr_MStartP,$S2339,$T2327*(1+IF($G2339&lt;nr_MStartP1,$M$2290,$N$2290)))</f>
        <v/>
      </c>
      <c r="U2339" s="95">
        <f>IF($L$2290,$T2339,$N2339)</f>
        <v/>
      </c>
    </row>
    <row r="2340">
      <c r="A2340" s="90" t="n">
        <v>48</v>
      </c>
      <c r="B2340" s="91">
        <f>EDATE($B2339,1)</f>
        <v/>
      </c>
      <c r="C2340" s="92">
        <f>EOMONTH($B2340,0)</f>
        <v/>
      </c>
      <c r="D2340" s="87">
        <f>$C2340-$B2340+1</f>
        <v/>
      </c>
      <c r="E2340" s="87">
        <f>MONTH($B2340)</f>
        <v/>
      </c>
      <c r="F2340" s="93">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$N2340*IF($O$2290=1,$O2340/$F$2290,1)</f>
        <v/>
      </c>
      <c r="T2340" s="95">
        <f>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04">
        <f>SUMPRODUCT($H$2293:$H$2340,$Q$2293:$Q$2340,$O$2293:$O$2340)/SUMPRODUCT($H$2293:$H$2340,$Q$2293:$Q$2340)</f>
        <v/>
      </c>
      <c r="G2341" s="20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04">
        <f>IF(N(INDEX(lr_mind,43))=0,1,INDEX(lr_mind,43))</f>
        <v/>
      </c>
      <c r="G2344" s="204">
        <f>IF(N(INDEX(lr_m0,43))=0,1,INDEX(lr_m0,43))</f>
        <v/>
      </c>
      <c r="H2344" s="73">
        <f>IF(N(INDEX(lr_m0asof,43))=0,DATE(nr_PlanYear-1,10,1),INDEX(lr_m0asof,43))</f>
        <v/>
      </c>
      <c r="I2344" s="204">
        <f>IF(N(INDEX(lr_m1,43))=0,1,INDEX(lr_m1,43))</f>
        <v/>
      </c>
      <c r="J2344" s="204">
        <f>INDEX(lr_mprior,43)</f>
        <v/>
      </c>
      <c r="K2344" s="20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93">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$N2347*IF($O$2344=1,$O2347/$F$2344,1)</f>
        <v/>
      </c>
      <c r="T2347" s="95">
        <f>IF($G2347&lt;nr_MStartP,$S2347,$T2335*(1+IF($G2347&lt;nr_MStartP1,$M$2344,$N$2344)))</f>
        <v/>
      </c>
      <c r="U2347" s="95">
        <f>IF($L$2344,$T2347,$N2347)</f>
        <v/>
      </c>
    </row>
    <row r="2348">
      <c r="A2348" s="90" t="n">
        <v>2</v>
      </c>
      <c r="B2348" s="91">
        <f>EDATE($B2347,1)</f>
        <v/>
      </c>
      <c r="C2348" s="92">
        <f>EOMONTH($B2348,0)</f>
        <v/>
      </c>
      <c r="D2348" s="87">
        <f>$C2348-$B2348+1</f>
        <v/>
      </c>
      <c r="E2348" s="87">
        <f>MONTH($B2348)</f>
        <v/>
      </c>
      <c r="F2348" s="93">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$N2348*IF($O$2344=1,$O2348/$F$2344,1)</f>
        <v/>
      </c>
      <c r="T2348" s="95">
        <f>IF($G2348&lt;nr_MStartP,$S2348,$T2336*(1+IF($G2348&lt;nr_MStartP1,$M$2344,$N$2344)))</f>
        <v/>
      </c>
      <c r="U2348" s="95">
        <f>IF($L$2344,$T2348,$N2348)</f>
        <v/>
      </c>
    </row>
    <row r="2349">
      <c r="A2349" s="90" t="n">
        <v>3</v>
      </c>
      <c r="B2349" s="91">
        <f>EDATE($B2348,1)</f>
        <v/>
      </c>
      <c r="C2349" s="92">
        <f>EOMONTH($B2349,0)</f>
        <v/>
      </c>
      <c r="D2349" s="87">
        <f>$C2349-$B2349+1</f>
        <v/>
      </c>
      <c r="E2349" s="87">
        <f>MONTH($B2349)</f>
        <v/>
      </c>
      <c r="F2349" s="93">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$N2349*IF($O$2344=1,$O2349/$F$2344,1)</f>
        <v/>
      </c>
      <c r="T2349" s="95">
        <f>IF($G2349&lt;nr_MStartP,$S2349,$T2337*(1+IF($G2349&lt;nr_MStartP1,$M$2344,$N$2344)))</f>
        <v/>
      </c>
      <c r="U2349" s="95">
        <f>IF($L$2344,$T2349,$N2349)</f>
        <v/>
      </c>
    </row>
    <row r="2350">
      <c r="A2350" s="90" t="n">
        <v>4</v>
      </c>
      <c r="B2350" s="91">
        <f>EDATE($B2349,1)</f>
        <v/>
      </c>
      <c r="C2350" s="92">
        <f>EOMONTH($B2350,0)</f>
        <v/>
      </c>
      <c r="D2350" s="87">
        <f>$C2350-$B2350+1</f>
        <v/>
      </c>
      <c r="E2350" s="87">
        <f>MONTH($B2350)</f>
        <v/>
      </c>
      <c r="F2350" s="93">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$N2350*IF($O$2344=1,$O2350/$F$2344,1)</f>
        <v/>
      </c>
      <c r="T2350" s="95">
        <f>IF($G2350&lt;nr_MStartP,$S2350,$T2338*(1+IF($G2350&lt;nr_MStartP1,$M$2344,$N$2344)))</f>
        <v/>
      </c>
      <c r="U2350" s="95">
        <f>IF($L$2344,$T2350,$N2350)</f>
        <v/>
      </c>
    </row>
    <row r="2351">
      <c r="A2351" s="90" t="n">
        <v>5</v>
      </c>
      <c r="B2351" s="91">
        <f>EDATE($B2350,1)</f>
        <v/>
      </c>
      <c r="C2351" s="92">
        <f>EOMONTH($B2351,0)</f>
        <v/>
      </c>
      <c r="D2351" s="87">
        <f>$C2351-$B2351+1</f>
        <v/>
      </c>
      <c r="E2351" s="87">
        <f>MONTH($B2351)</f>
        <v/>
      </c>
      <c r="F2351" s="93">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$N2351*IF($O$2344=1,$O2351/$F$2344,1)</f>
        <v/>
      </c>
      <c r="T2351" s="95">
        <f>IF($G2351&lt;nr_MStartP,$S2351,$T2339*(1+IF($G2351&lt;nr_MStartP1,$M$2344,$N$2344)))</f>
        <v/>
      </c>
      <c r="U2351" s="95">
        <f>IF($L$2344,$T2351,$N2351)</f>
        <v/>
      </c>
    </row>
    <row r="2352">
      <c r="A2352" s="90" t="n">
        <v>6</v>
      </c>
      <c r="B2352" s="91">
        <f>EDATE($B2351,1)</f>
        <v/>
      </c>
      <c r="C2352" s="92">
        <f>EOMONTH($B2352,0)</f>
        <v/>
      </c>
      <c r="D2352" s="87">
        <f>$C2352-$B2352+1</f>
        <v/>
      </c>
      <c r="E2352" s="87">
        <f>MONTH($B2352)</f>
        <v/>
      </c>
      <c r="F2352" s="93">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$N2352*IF($O$2344=1,$O2352/$F$2344,1)</f>
        <v/>
      </c>
      <c r="T2352" s="95">
        <f>IF($G2352&lt;nr_MStartP,$S2352,$T2340*(1+IF($G2352&lt;nr_MStartP1,$M$2344,$N$2344)))</f>
        <v/>
      </c>
      <c r="U2352" s="95">
        <f>IF($L$2344,$T2352,$N2352)</f>
        <v/>
      </c>
    </row>
    <row r="2353">
      <c r="A2353" s="90" t="n">
        <v>7</v>
      </c>
      <c r="B2353" s="91">
        <f>EDATE($B2352,1)</f>
        <v/>
      </c>
      <c r="C2353" s="92">
        <f>EOMONTH($B2353,0)</f>
        <v/>
      </c>
      <c r="D2353" s="87">
        <f>$C2353-$B2353+1</f>
        <v/>
      </c>
      <c r="E2353" s="87">
        <f>MONTH($B2353)</f>
        <v/>
      </c>
      <c r="F2353" s="93">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$N2353*IF($O$2344=1,$O2353/$F$2344,1)</f>
        <v/>
      </c>
      <c r="T2353" s="95">
        <f>IF($G2353&lt;nr_MStartP,$S2353,$T2341*(1+IF($G2353&lt;nr_MStartP1,$M$2344,$N$2344)))</f>
        <v/>
      </c>
      <c r="U2353" s="95">
        <f>IF($L$2344,$T2353,$N2353)</f>
        <v/>
      </c>
    </row>
    <row r="2354">
      <c r="A2354" s="90" t="n">
        <v>8</v>
      </c>
      <c r="B2354" s="91">
        <f>EDATE($B2353,1)</f>
        <v/>
      </c>
      <c r="C2354" s="92">
        <f>EOMONTH($B2354,0)</f>
        <v/>
      </c>
      <c r="D2354" s="87">
        <f>$C2354-$B2354+1</f>
        <v/>
      </c>
      <c r="E2354" s="87">
        <f>MONTH($B2354)</f>
        <v/>
      </c>
      <c r="F2354" s="93">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$N2354*IF($O$2344=1,$O2354/$F$2344,1)</f>
        <v/>
      </c>
      <c r="T2354" s="95">
        <f>IF($G2354&lt;nr_MStartP,$S2354,$T2342*(1+IF($G2354&lt;nr_MStartP1,$M$2344,$N$2344)))</f>
        <v/>
      </c>
      <c r="U2354" s="95">
        <f>IF($L$2344,$T2354,$N2354)</f>
        <v/>
      </c>
    </row>
    <row r="2355">
      <c r="A2355" s="90" t="n">
        <v>9</v>
      </c>
      <c r="B2355" s="91">
        <f>EDATE($B2354,1)</f>
        <v/>
      </c>
      <c r="C2355" s="92">
        <f>EOMONTH($B2355,0)</f>
        <v/>
      </c>
      <c r="D2355" s="87">
        <f>$C2355-$B2355+1</f>
        <v/>
      </c>
      <c r="E2355" s="87">
        <f>MONTH($B2355)</f>
        <v/>
      </c>
      <c r="F2355" s="93">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$N2355*IF($O$2344=1,$O2355/$F$2344,1)</f>
        <v/>
      </c>
      <c r="T2355" s="95">
        <f>IF($G2355&lt;nr_MStartP,$S2355,$T2343*(1+IF($G2355&lt;nr_MStartP1,$M$2344,$N$2344)))</f>
        <v/>
      </c>
      <c r="U2355" s="95">
        <f>IF($L$2344,$T2355,$N2355)</f>
        <v/>
      </c>
    </row>
    <row r="2356">
      <c r="A2356" s="90" t="n">
        <v>10</v>
      </c>
      <c r="B2356" s="91">
        <f>EDATE($B2355,1)</f>
        <v/>
      </c>
      <c r="C2356" s="92">
        <f>EOMONTH($B2356,0)</f>
        <v/>
      </c>
      <c r="D2356" s="87">
        <f>$C2356-$B2356+1</f>
        <v/>
      </c>
      <c r="E2356" s="87">
        <f>MONTH($B2356)</f>
        <v/>
      </c>
      <c r="F2356" s="93">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$N2356*IF($O$2344=1,$O2356/$F$2344,1)</f>
        <v/>
      </c>
      <c r="T2356" s="95">
        <f>IF($G2356&lt;nr_MStartP,$S2356,$T2344*(1+IF($G2356&lt;nr_MStartP1,$M$2344,$N$2344)))</f>
        <v/>
      </c>
      <c r="U2356" s="95">
        <f>IF($L$2344,$T2356,$N2356)</f>
        <v/>
      </c>
    </row>
    <row r="2357">
      <c r="A2357" s="90" t="n">
        <v>11</v>
      </c>
      <c r="B2357" s="91">
        <f>EDATE($B2356,1)</f>
        <v/>
      </c>
      <c r="C2357" s="92">
        <f>EOMONTH($B2357,0)</f>
        <v/>
      </c>
      <c r="D2357" s="87">
        <f>$C2357-$B2357+1</f>
        <v/>
      </c>
      <c r="E2357" s="87">
        <f>MONTH($B2357)</f>
        <v/>
      </c>
      <c r="F2357" s="93">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$N2357*IF($O$2344=1,$O2357/$F$2344,1)</f>
        <v/>
      </c>
      <c r="T2357" s="95">
        <f>IF($G2357&lt;nr_MStartP,$S2357,$T2345*(1+IF($G2357&lt;nr_MStartP1,$M$2344,$N$2344)))</f>
        <v/>
      </c>
      <c r="U2357" s="95">
        <f>IF($L$2344,$T2357,$N2357)</f>
        <v/>
      </c>
    </row>
    <row r="2358">
      <c r="A2358" s="90" t="n">
        <v>12</v>
      </c>
      <c r="B2358" s="91">
        <f>EDATE($B2357,1)</f>
        <v/>
      </c>
      <c r="C2358" s="92">
        <f>EOMONTH($B2358,0)</f>
        <v/>
      </c>
      <c r="D2358" s="87">
        <f>$C2358-$B2358+1</f>
        <v/>
      </c>
      <c r="E2358" s="87">
        <f>MONTH($B2358)</f>
        <v/>
      </c>
      <c r="F2358" s="93">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$N2358*IF($O$2344=1,$O2358/$F$2344,1)</f>
        <v/>
      </c>
      <c r="T2358" s="95">
        <f>IF($G2358&lt;nr_MStartP,$S2358,$T2346*(1+IF($G2358&lt;nr_MStartP1,$M$2344,$N$2344)))</f>
        <v/>
      </c>
      <c r="U2358" s="95">
        <f>IF($L$2344,$T2358,$N2358)</f>
        <v/>
      </c>
    </row>
    <row r="2359">
      <c r="A2359" s="90" t="n">
        <v>13</v>
      </c>
      <c r="B2359" s="91">
        <f>EDATE($B2358,1)</f>
        <v/>
      </c>
      <c r="C2359" s="92">
        <f>EOMONTH($B2359,0)</f>
        <v/>
      </c>
      <c r="D2359" s="87">
        <f>$C2359-$B2359+1</f>
        <v/>
      </c>
      <c r="E2359" s="87">
        <f>MONTH($B2359)</f>
        <v/>
      </c>
      <c r="F2359" s="93">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$N2359*IF($O$2344=1,$O2359/$F$2344,1)</f>
        <v/>
      </c>
      <c r="T2359" s="95">
        <f>IF($G2359&lt;nr_MStartP,$S2359,$T2347*(1+IF($G2359&lt;nr_MStartP1,$M$2344,$N$2344)))</f>
        <v/>
      </c>
      <c r="U2359" s="95">
        <f>IF($L$2344,$T2359,$N2359)</f>
        <v/>
      </c>
    </row>
    <row r="2360">
      <c r="A2360" s="90" t="n">
        <v>14</v>
      </c>
      <c r="B2360" s="91">
        <f>EDATE($B2359,1)</f>
        <v/>
      </c>
      <c r="C2360" s="92">
        <f>EOMONTH($B2360,0)</f>
        <v/>
      </c>
      <c r="D2360" s="87">
        <f>$C2360-$B2360+1</f>
        <v/>
      </c>
      <c r="E2360" s="87">
        <f>MONTH($B2360)</f>
        <v/>
      </c>
      <c r="F2360" s="93">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$N2360*IF($O$2344=1,$O2360/$F$2344,1)</f>
        <v/>
      </c>
      <c r="T2360" s="95">
        <f>IF($G2360&lt;nr_MStartP,$S2360,$T2348*(1+IF($G2360&lt;nr_MStartP1,$M$2344,$N$2344)))</f>
        <v/>
      </c>
      <c r="U2360" s="95">
        <f>IF($L$2344,$T2360,$N2360)</f>
        <v/>
      </c>
    </row>
    <row r="2361">
      <c r="A2361" s="90" t="n">
        <v>15</v>
      </c>
      <c r="B2361" s="91">
        <f>EDATE($B2360,1)</f>
        <v/>
      </c>
      <c r="C2361" s="92">
        <f>EOMONTH($B2361,0)</f>
        <v/>
      </c>
      <c r="D2361" s="87">
        <f>$C2361-$B2361+1</f>
        <v/>
      </c>
      <c r="E2361" s="87">
        <f>MONTH($B2361)</f>
        <v/>
      </c>
      <c r="F2361" s="93">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$N2361*IF($O$2344=1,$O2361/$F$2344,1)</f>
        <v/>
      </c>
      <c r="T2361" s="95">
        <f>IF($G2361&lt;nr_MStartP,$S2361,$T2349*(1+IF($G2361&lt;nr_MStartP1,$M$2344,$N$2344)))</f>
        <v/>
      </c>
      <c r="U2361" s="95">
        <f>IF($L$2344,$T2361,$N2361)</f>
        <v/>
      </c>
    </row>
    <row r="2362">
      <c r="A2362" s="90" t="n">
        <v>16</v>
      </c>
      <c r="B2362" s="91">
        <f>EDATE($B2361,1)</f>
        <v/>
      </c>
      <c r="C2362" s="92">
        <f>EOMONTH($B2362,0)</f>
        <v/>
      </c>
      <c r="D2362" s="87">
        <f>$C2362-$B2362+1</f>
        <v/>
      </c>
      <c r="E2362" s="87">
        <f>MONTH($B2362)</f>
        <v/>
      </c>
      <c r="F2362" s="93">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$N2362*IF($O$2344=1,$O2362/$F$2344,1)</f>
        <v/>
      </c>
      <c r="T2362" s="95">
        <f>IF($G2362&lt;nr_MStartP,$S2362,$T2350*(1+IF($G2362&lt;nr_MStartP1,$M$2344,$N$2344)))</f>
        <v/>
      </c>
      <c r="U2362" s="95">
        <f>IF($L$2344,$T2362,$N2362)</f>
        <v/>
      </c>
    </row>
    <row r="2363">
      <c r="A2363" s="90" t="n">
        <v>17</v>
      </c>
      <c r="B2363" s="91">
        <f>EDATE($B2362,1)</f>
        <v/>
      </c>
      <c r="C2363" s="92">
        <f>EOMONTH($B2363,0)</f>
        <v/>
      </c>
      <c r="D2363" s="87">
        <f>$C2363-$B2363+1</f>
        <v/>
      </c>
      <c r="E2363" s="87">
        <f>MONTH($B2363)</f>
        <v/>
      </c>
      <c r="F2363" s="93">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$N2363*IF($O$2344=1,$O2363/$F$2344,1)</f>
        <v/>
      </c>
      <c r="T2363" s="95">
        <f>IF($G2363&lt;nr_MStartP,$S2363,$T2351*(1+IF($G2363&lt;nr_MStartP1,$M$2344,$N$2344)))</f>
        <v/>
      </c>
      <c r="U2363" s="95">
        <f>IF($L$2344,$T2363,$N2363)</f>
        <v/>
      </c>
    </row>
    <row r="2364">
      <c r="A2364" s="90" t="n">
        <v>18</v>
      </c>
      <c r="B2364" s="91">
        <f>EDATE($B2363,1)</f>
        <v/>
      </c>
      <c r="C2364" s="92">
        <f>EOMONTH($B2364,0)</f>
        <v/>
      </c>
      <c r="D2364" s="87">
        <f>$C2364-$B2364+1</f>
        <v/>
      </c>
      <c r="E2364" s="87">
        <f>MONTH($B2364)</f>
        <v/>
      </c>
      <c r="F2364" s="93">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$N2364*IF($O$2344=1,$O2364/$F$2344,1)</f>
        <v/>
      </c>
      <c r="T2364" s="95">
        <f>IF($G2364&lt;nr_MStartP,$S2364,$T2352*(1+IF($G2364&lt;nr_MStartP1,$M$2344,$N$2344)))</f>
        <v/>
      </c>
      <c r="U2364" s="95">
        <f>IF($L$2344,$T2364,$N2364)</f>
        <v/>
      </c>
    </row>
    <row r="2365">
      <c r="A2365" s="90" t="n">
        <v>19</v>
      </c>
      <c r="B2365" s="91">
        <f>EDATE($B2364,1)</f>
        <v/>
      </c>
      <c r="C2365" s="92">
        <f>EOMONTH($B2365,0)</f>
        <v/>
      </c>
      <c r="D2365" s="87">
        <f>$C2365-$B2365+1</f>
        <v/>
      </c>
      <c r="E2365" s="87">
        <f>MONTH($B2365)</f>
        <v/>
      </c>
      <c r="F2365" s="93">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$N2365*IF($O$2344=1,$O2365/$F$2344,1)</f>
        <v/>
      </c>
      <c r="T2365" s="95">
        <f>IF($G2365&lt;nr_MStartP,$S2365,$T2353*(1+IF($G2365&lt;nr_MStartP1,$M$2344,$N$2344)))</f>
        <v/>
      </c>
      <c r="U2365" s="95">
        <f>IF($L$2344,$T2365,$N2365)</f>
        <v/>
      </c>
    </row>
    <row r="2366">
      <c r="A2366" s="90" t="n">
        <v>20</v>
      </c>
      <c r="B2366" s="91">
        <f>EDATE($B2365,1)</f>
        <v/>
      </c>
      <c r="C2366" s="92">
        <f>EOMONTH($B2366,0)</f>
        <v/>
      </c>
      <c r="D2366" s="87">
        <f>$C2366-$B2366+1</f>
        <v/>
      </c>
      <c r="E2366" s="87">
        <f>MONTH($B2366)</f>
        <v/>
      </c>
      <c r="F2366" s="93">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$N2366*IF($O$2344=1,$O2366/$F$2344,1)</f>
        <v/>
      </c>
      <c r="T2366" s="95">
        <f>IF($G2366&lt;nr_MStartP,$S2366,$T2354*(1+IF($G2366&lt;nr_MStartP1,$M$2344,$N$2344)))</f>
        <v/>
      </c>
      <c r="U2366" s="95">
        <f>IF($L$2344,$T2366,$N2366)</f>
        <v/>
      </c>
    </row>
    <row r="2367">
      <c r="A2367" s="90" t="n">
        <v>21</v>
      </c>
      <c r="B2367" s="91">
        <f>EDATE($B2366,1)</f>
        <v/>
      </c>
      <c r="C2367" s="92">
        <f>EOMONTH($B2367,0)</f>
        <v/>
      </c>
      <c r="D2367" s="87">
        <f>$C2367-$B2367+1</f>
        <v/>
      </c>
      <c r="E2367" s="87">
        <f>MONTH($B2367)</f>
        <v/>
      </c>
      <c r="F2367" s="93">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$N2367*IF($O$2344=1,$O2367/$F$2344,1)</f>
        <v/>
      </c>
      <c r="T2367" s="95">
        <f>IF($G2367&lt;nr_MStartP,$S2367,$T2355*(1+IF($G2367&lt;nr_MStartP1,$M$2344,$N$2344)))</f>
        <v/>
      </c>
      <c r="U2367" s="95">
        <f>IF($L$2344,$T2367,$N2367)</f>
        <v/>
      </c>
    </row>
    <row r="2368">
      <c r="A2368" s="90" t="n">
        <v>22</v>
      </c>
      <c r="B2368" s="91">
        <f>EDATE($B2367,1)</f>
        <v/>
      </c>
      <c r="C2368" s="92">
        <f>EOMONTH($B2368,0)</f>
        <v/>
      </c>
      <c r="D2368" s="87">
        <f>$C2368-$B2368+1</f>
        <v/>
      </c>
      <c r="E2368" s="87">
        <f>MONTH($B2368)</f>
        <v/>
      </c>
      <c r="F2368" s="93">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$N2368*IF($O$2344=1,$O2368/$F$2344,1)</f>
        <v/>
      </c>
      <c r="T2368" s="95">
        <f>IF($G2368&lt;nr_MStartP,$S2368,$T2356*(1+IF($G2368&lt;nr_MStartP1,$M$2344,$N$2344)))</f>
        <v/>
      </c>
      <c r="U2368" s="95">
        <f>IF($L$2344,$T2368,$N2368)</f>
        <v/>
      </c>
    </row>
    <row r="2369">
      <c r="A2369" s="90" t="n">
        <v>23</v>
      </c>
      <c r="B2369" s="91">
        <f>EDATE($B2368,1)</f>
        <v/>
      </c>
      <c r="C2369" s="92">
        <f>EOMONTH($B2369,0)</f>
        <v/>
      </c>
      <c r="D2369" s="87">
        <f>$C2369-$B2369+1</f>
        <v/>
      </c>
      <c r="E2369" s="87">
        <f>MONTH($B2369)</f>
        <v/>
      </c>
      <c r="F2369" s="93">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$N2369*IF($O$2344=1,$O2369/$F$2344,1)</f>
        <v/>
      </c>
      <c r="T2369" s="95">
        <f>IF($G2369&lt;nr_MStartP,$S2369,$T2357*(1+IF($G2369&lt;nr_MStartP1,$M$2344,$N$2344)))</f>
        <v/>
      </c>
      <c r="U2369" s="95">
        <f>IF($L$2344,$T2369,$N2369)</f>
        <v/>
      </c>
    </row>
    <row r="2370">
      <c r="A2370" s="90" t="n">
        <v>24</v>
      </c>
      <c r="B2370" s="91">
        <f>EDATE($B2369,1)</f>
        <v/>
      </c>
      <c r="C2370" s="92">
        <f>EOMONTH($B2370,0)</f>
        <v/>
      </c>
      <c r="D2370" s="87">
        <f>$C2370-$B2370+1</f>
        <v/>
      </c>
      <c r="E2370" s="87">
        <f>MONTH($B2370)</f>
        <v/>
      </c>
      <c r="F2370" s="93">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$N2370*IF($O$2344=1,$O2370/$F$2344,1)</f>
        <v/>
      </c>
      <c r="T2370" s="95">
        <f>IF($G2370&lt;nr_MStartP,$S2370,$T2358*(1+IF($G2370&lt;nr_MStartP1,$M$2344,$N$2344)))</f>
        <v/>
      </c>
      <c r="U2370" s="95">
        <f>IF($L$2344,$T2370,$N2370)</f>
        <v/>
      </c>
    </row>
    <row r="2371">
      <c r="A2371" s="90" t="n">
        <v>25</v>
      </c>
      <c r="B2371" s="91">
        <f>EDATE($B2370,1)</f>
        <v/>
      </c>
      <c r="C2371" s="92">
        <f>EOMONTH($B2371,0)</f>
        <v/>
      </c>
      <c r="D2371" s="87">
        <f>$C2371-$B2371+1</f>
        <v/>
      </c>
      <c r="E2371" s="87">
        <f>MONTH($B2371)</f>
        <v/>
      </c>
      <c r="F2371" s="93">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$N2371*IF($O$2344=1,$O2371/$F$2344,1)</f>
        <v/>
      </c>
      <c r="T2371" s="95">
        <f>IF($G2371&lt;nr_MStartP,$S2371,$T2359*(1+IF($G2371&lt;nr_MStartP1,$M$2344,$N$2344)))</f>
        <v/>
      </c>
      <c r="U2371" s="95">
        <f>IF($L$2344,$T2371,$N2371)</f>
        <v/>
      </c>
    </row>
    <row r="2372">
      <c r="A2372" s="90" t="n">
        <v>26</v>
      </c>
      <c r="B2372" s="91">
        <f>EDATE($B2371,1)</f>
        <v/>
      </c>
      <c r="C2372" s="92">
        <f>EOMONTH($B2372,0)</f>
        <v/>
      </c>
      <c r="D2372" s="87">
        <f>$C2372-$B2372+1</f>
        <v/>
      </c>
      <c r="E2372" s="87">
        <f>MONTH($B2372)</f>
        <v/>
      </c>
      <c r="F2372" s="93">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$N2372*IF($O$2344=1,$O2372/$F$2344,1)</f>
        <v/>
      </c>
      <c r="T2372" s="95">
        <f>IF($G2372&lt;nr_MStartP,$S2372,$T2360*(1+IF($G2372&lt;nr_MStartP1,$M$2344,$N$2344)))</f>
        <v/>
      </c>
      <c r="U2372" s="95">
        <f>IF($L$2344,$T2372,$N2372)</f>
        <v/>
      </c>
    </row>
    <row r="2373">
      <c r="A2373" s="90" t="n">
        <v>27</v>
      </c>
      <c r="B2373" s="91">
        <f>EDATE($B2372,1)</f>
        <v/>
      </c>
      <c r="C2373" s="92">
        <f>EOMONTH($B2373,0)</f>
        <v/>
      </c>
      <c r="D2373" s="87">
        <f>$C2373-$B2373+1</f>
        <v/>
      </c>
      <c r="E2373" s="87">
        <f>MONTH($B2373)</f>
        <v/>
      </c>
      <c r="F2373" s="93">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$N2373*IF($O$2344=1,$O2373/$F$2344,1)</f>
        <v/>
      </c>
      <c r="T2373" s="95">
        <f>IF($G2373&lt;nr_MStartP,$S2373,$T2361*(1+IF($G2373&lt;nr_MStartP1,$M$2344,$N$2344)))</f>
        <v/>
      </c>
      <c r="U2373" s="95">
        <f>IF($L$2344,$T2373,$N2373)</f>
        <v/>
      </c>
    </row>
    <row r="2374">
      <c r="A2374" s="90" t="n">
        <v>28</v>
      </c>
      <c r="B2374" s="91">
        <f>EDATE($B2373,1)</f>
        <v/>
      </c>
      <c r="C2374" s="92">
        <f>EOMONTH($B2374,0)</f>
        <v/>
      </c>
      <c r="D2374" s="87">
        <f>$C2374-$B2374+1</f>
        <v/>
      </c>
      <c r="E2374" s="87">
        <f>MONTH($B2374)</f>
        <v/>
      </c>
      <c r="F2374" s="93">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$N2374*IF($O$2344=1,$O2374/$F$2344,1)</f>
        <v/>
      </c>
      <c r="T2374" s="95">
        <f>IF($G2374&lt;nr_MStartP,$S2374,$T2362*(1+IF($G2374&lt;nr_MStartP1,$M$2344,$N$2344)))</f>
        <v/>
      </c>
      <c r="U2374" s="95">
        <f>IF($L$2344,$T2374,$N2374)</f>
        <v/>
      </c>
    </row>
    <row r="2375">
      <c r="A2375" s="90" t="n">
        <v>29</v>
      </c>
      <c r="B2375" s="91">
        <f>EDATE($B2374,1)</f>
        <v/>
      </c>
      <c r="C2375" s="92">
        <f>EOMONTH($B2375,0)</f>
        <v/>
      </c>
      <c r="D2375" s="87">
        <f>$C2375-$B2375+1</f>
        <v/>
      </c>
      <c r="E2375" s="87">
        <f>MONTH($B2375)</f>
        <v/>
      </c>
      <c r="F2375" s="93">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$N2375*IF($O$2344=1,$O2375/$F$2344,1)</f>
        <v/>
      </c>
      <c r="T2375" s="95">
        <f>IF($G2375&lt;nr_MStartP,$S2375,$T2363*(1+IF($G2375&lt;nr_MStartP1,$M$2344,$N$2344)))</f>
        <v/>
      </c>
      <c r="U2375" s="95">
        <f>IF($L$2344,$T2375,$N2375)</f>
        <v/>
      </c>
    </row>
    <row r="2376">
      <c r="A2376" s="90" t="n">
        <v>30</v>
      </c>
      <c r="B2376" s="91">
        <f>EDATE($B2375,1)</f>
        <v/>
      </c>
      <c r="C2376" s="92">
        <f>EOMONTH($B2376,0)</f>
        <v/>
      </c>
      <c r="D2376" s="87">
        <f>$C2376-$B2376+1</f>
        <v/>
      </c>
      <c r="E2376" s="87">
        <f>MONTH($B2376)</f>
        <v/>
      </c>
      <c r="F2376" s="93">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$N2376*IF($O$2344=1,$O2376/$F$2344,1)</f>
        <v/>
      </c>
      <c r="T2376" s="95">
        <f>IF($G2376&lt;nr_MStartP,$S2376,$T2364*(1+IF($G2376&lt;nr_MStartP1,$M$2344,$N$2344)))</f>
        <v/>
      </c>
      <c r="U2376" s="95">
        <f>IF($L$2344,$T2376,$N2376)</f>
        <v/>
      </c>
    </row>
    <row r="2377">
      <c r="A2377" s="90" t="n">
        <v>31</v>
      </c>
      <c r="B2377" s="91">
        <f>EDATE($B2376,1)</f>
        <v/>
      </c>
      <c r="C2377" s="92">
        <f>EOMONTH($B2377,0)</f>
        <v/>
      </c>
      <c r="D2377" s="87">
        <f>$C2377-$B2377+1</f>
        <v/>
      </c>
      <c r="E2377" s="87">
        <f>MONTH($B2377)</f>
        <v/>
      </c>
      <c r="F2377" s="93">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$N2377*IF($O$2344=1,$O2377/$F$2344,1)</f>
        <v/>
      </c>
      <c r="T2377" s="95">
        <f>IF($G2377&lt;nr_MStartP,$S2377,$T2365*(1+IF($G2377&lt;nr_MStartP1,$M$2344,$N$2344)))</f>
        <v/>
      </c>
      <c r="U2377" s="95">
        <f>IF($L$2344,$T2377,$N2377)</f>
        <v/>
      </c>
    </row>
    <row r="2378">
      <c r="A2378" s="90" t="n">
        <v>32</v>
      </c>
      <c r="B2378" s="91">
        <f>EDATE($B2377,1)</f>
        <v/>
      </c>
      <c r="C2378" s="92">
        <f>EOMONTH($B2378,0)</f>
        <v/>
      </c>
      <c r="D2378" s="87">
        <f>$C2378-$B2378+1</f>
        <v/>
      </c>
      <c r="E2378" s="87">
        <f>MONTH($B2378)</f>
        <v/>
      </c>
      <c r="F2378" s="93">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$N2378*IF($O$2344=1,$O2378/$F$2344,1)</f>
        <v/>
      </c>
      <c r="T2378" s="95">
        <f>IF($G2378&lt;nr_MStartP,$S2378,$T2366*(1+IF($G2378&lt;nr_MStartP1,$M$2344,$N$2344)))</f>
        <v/>
      </c>
      <c r="U2378" s="95">
        <f>IF($L$2344,$T2378,$N2378)</f>
        <v/>
      </c>
    </row>
    <row r="2379">
      <c r="A2379" s="90" t="n">
        <v>33</v>
      </c>
      <c r="B2379" s="91">
        <f>EDATE($B2378,1)</f>
        <v/>
      </c>
      <c r="C2379" s="92">
        <f>EOMONTH($B2379,0)</f>
        <v/>
      </c>
      <c r="D2379" s="87">
        <f>$C2379-$B2379+1</f>
        <v/>
      </c>
      <c r="E2379" s="87">
        <f>MONTH($B2379)</f>
        <v/>
      </c>
      <c r="F2379" s="93">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$N2379*IF($O$2344=1,$O2379/$F$2344,1)</f>
        <v/>
      </c>
      <c r="T2379" s="95">
        <f>IF($G2379&lt;nr_MStartP,$S2379,$T2367*(1+IF($G2379&lt;nr_MStartP1,$M$2344,$N$2344)))</f>
        <v/>
      </c>
      <c r="U2379" s="95">
        <f>IF($L$2344,$T2379,$N2379)</f>
        <v/>
      </c>
    </row>
    <row r="2380">
      <c r="A2380" s="90" t="n">
        <v>34</v>
      </c>
      <c r="B2380" s="91">
        <f>EDATE($B2379,1)</f>
        <v/>
      </c>
      <c r="C2380" s="92">
        <f>EOMONTH($B2380,0)</f>
        <v/>
      </c>
      <c r="D2380" s="87">
        <f>$C2380-$B2380+1</f>
        <v/>
      </c>
      <c r="E2380" s="87">
        <f>MONTH($B2380)</f>
        <v/>
      </c>
      <c r="F2380" s="93">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$N2380*IF($O$2344=1,$O2380/$F$2344,1)</f>
        <v/>
      </c>
      <c r="T2380" s="95">
        <f>IF($G2380&lt;nr_MStartP,$S2380,$T2368*(1+IF($G2380&lt;nr_MStartP1,$M$2344,$N$2344)))</f>
        <v/>
      </c>
      <c r="U2380" s="95">
        <f>IF($L$2344,$T2380,$N2380)</f>
        <v/>
      </c>
    </row>
    <row r="2381">
      <c r="A2381" s="90" t="n">
        <v>35</v>
      </c>
      <c r="B2381" s="91">
        <f>EDATE($B2380,1)</f>
        <v/>
      </c>
      <c r="C2381" s="92">
        <f>EOMONTH($B2381,0)</f>
        <v/>
      </c>
      <c r="D2381" s="87">
        <f>$C2381-$B2381+1</f>
        <v/>
      </c>
      <c r="E2381" s="87">
        <f>MONTH($B2381)</f>
        <v/>
      </c>
      <c r="F2381" s="93">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$N2381*IF($O$2344=1,$O2381/$F$2344,1)</f>
        <v/>
      </c>
      <c r="T2381" s="95">
        <f>IF($G2381&lt;nr_MStartP,$S2381,$T2369*(1+IF($G2381&lt;nr_MStartP1,$M$2344,$N$2344)))</f>
        <v/>
      </c>
      <c r="U2381" s="95">
        <f>IF($L$2344,$T2381,$N2381)</f>
        <v/>
      </c>
    </row>
    <row r="2382">
      <c r="A2382" s="90" t="n">
        <v>36</v>
      </c>
      <c r="B2382" s="91">
        <f>EDATE($B2381,1)</f>
        <v/>
      </c>
      <c r="C2382" s="92">
        <f>EOMONTH($B2382,0)</f>
        <v/>
      </c>
      <c r="D2382" s="87">
        <f>$C2382-$B2382+1</f>
        <v/>
      </c>
      <c r="E2382" s="87">
        <f>MONTH($B2382)</f>
        <v/>
      </c>
      <c r="F2382" s="93">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$N2382*IF($O$2344=1,$O2382/$F$2344,1)</f>
        <v/>
      </c>
      <c r="T2382" s="95">
        <f>IF($G2382&lt;nr_MStartP,$S2382,$T2370*(1+IF($G2382&lt;nr_MStartP1,$M$2344,$N$2344)))</f>
        <v/>
      </c>
      <c r="U2382" s="95">
        <f>IF($L$2344,$T2382,$N2382)</f>
        <v/>
      </c>
    </row>
    <row r="2383">
      <c r="A2383" s="90" t="n">
        <v>37</v>
      </c>
      <c r="B2383" s="91">
        <f>EDATE($B2382,1)</f>
        <v/>
      </c>
      <c r="C2383" s="92">
        <f>EOMONTH($B2383,0)</f>
        <v/>
      </c>
      <c r="D2383" s="87">
        <f>$C2383-$B2383+1</f>
        <v/>
      </c>
      <c r="E2383" s="87">
        <f>MONTH($B2383)</f>
        <v/>
      </c>
      <c r="F2383" s="93">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$N2383*IF($O$2344=1,$O2383/$F$2344,1)</f>
        <v/>
      </c>
      <c r="T2383" s="95">
        <f>IF($G2383&lt;nr_MStartP,$S2383,$T2371*(1+IF($G2383&lt;nr_MStartP1,$M$2344,$N$2344)))</f>
        <v/>
      </c>
      <c r="U2383" s="95">
        <f>IF($L$2344,$T2383,$N2383)</f>
        <v/>
      </c>
    </row>
    <row r="2384">
      <c r="A2384" s="90" t="n">
        <v>38</v>
      </c>
      <c r="B2384" s="91">
        <f>EDATE($B2383,1)</f>
        <v/>
      </c>
      <c r="C2384" s="92">
        <f>EOMONTH($B2384,0)</f>
        <v/>
      </c>
      <c r="D2384" s="87">
        <f>$C2384-$B2384+1</f>
        <v/>
      </c>
      <c r="E2384" s="87">
        <f>MONTH($B2384)</f>
        <v/>
      </c>
      <c r="F2384" s="93">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$N2384*IF($O$2344=1,$O2384/$F$2344,1)</f>
        <v/>
      </c>
      <c r="T2384" s="95">
        <f>IF($G2384&lt;nr_MStartP,$S2384,$T2372*(1+IF($G2384&lt;nr_MStartP1,$M$2344,$N$2344)))</f>
        <v/>
      </c>
      <c r="U2384" s="95">
        <f>IF($L$2344,$T2384,$N2384)</f>
        <v/>
      </c>
    </row>
    <row r="2385">
      <c r="A2385" s="90" t="n">
        <v>39</v>
      </c>
      <c r="B2385" s="91">
        <f>EDATE($B2384,1)</f>
        <v/>
      </c>
      <c r="C2385" s="92">
        <f>EOMONTH($B2385,0)</f>
        <v/>
      </c>
      <c r="D2385" s="87">
        <f>$C2385-$B2385+1</f>
        <v/>
      </c>
      <c r="E2385" s="87">
        <f>MONTH($B2385)</f>
        <v/>
      </c>
      <c r="F2385" s="93">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$N2385*IF($O$2344=1,$O2385/$F$2344,1)</f>
        <v/>
      </c>
      <c r="T2385" s="95">
        <f>IF($G2385&lt;nr_MStartP,$S2385,$T2373*(1+IF($G2385&lt;nr_MStartP1,$M$2344,$N$2344)))</f>
        <v/>
      </c>
      <c r="U2385" s="95">
        <f>IF($L$2344,$T2385,$N2385)</f>
        <v/>
      </c>
    </row>
    <row r="2386">
      <c r="A2386" s="90" t="n">
        <v>40</v>
      </c>
      <c r="B2386" s="91">
        <f>EDATE($B2385,1)</f>
        <v/>
      </c>
      <c r="C2386" s="92">
        <f>EOMONTH($B2386,0)</f>
        <v/>
      </c>
      <c r="D2386" s="87">
        <f>$C2386-$B2386+1</f>
        <v/>
      </c>
      <c r="E2386" s="87">
        <f>MONTH($B2386)</f>
        <v/>
      </c>
      <c r="F2386" s="93">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$N2386*IF($O$2344=1,$O2386/$F$2344,1)</f>
        <v/>
      </c>
      <c r="T2386" s="95">
        <f>IF($G2386&lt;nr_MStartP,$S2386,$T2374*(1+IF($G2386&lt;nr_MStartP1,$M$2344,$N$2344)))</f>
        <v/>
      </c>
      <c r="U2386" s="95">
        <f>IF($L$2344,$T2386,$N2386)</f>
        <v/>
      </c>
    </row>
    <row r="2387">
      <c r="A2387" s="90" t="n">
        <v>41</v>
      </c>
      <c r="B2387" s="91">
        <f>EDATE($B2386,1)</f>
        <v/>
      </c>
      <c r="C2387" s="92">
        <f>EOMONTH($B2387,0)</f>
        <v/>
      </c>
      <c r="D2387" s="87">
        <f>$C2387-$B2387+1</f>
        <v/>
      </c>
      <c r="E2387" s="87">
        <f>MONTH($B2387)</f>
        <v/>
      </c>
      <c r="F2387" s="93">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$N2387*IF($O$2344=1,$O2387/$F$2344,1)</f>
        <v/>
      </c>
      <c r="T2387" s="95">
        <f>IF($G2387&lt;nr_MStartP,$S2387,$T2375*(1+IF($G2387&lt;nr_MStartP1,$M$2344,$N$2344)))</f>
        <v/>
      </c>
      <c r="U2387" s="95">
        <f>IF($L$2344,$T2387,$N2387)</f>
        <v/>
      </c>
    </row>
    <row r="2388">
      <c r="A2388" s="90" t="n">
        <v>42</v>
      </c>
      <c r="B2388" s="91">
        <f>EDATE($B2387,1)</f>
        <v/>
      </c>
      <c r="C2388" s="92">
        <f>EOMONTH($B2388,0)</f>
        <v/>
      </c>
      <c r="D2388" s="87">
        <f>$C2388-$B2388+1</f>
        <v/>
      </c>
      <c r="E2388" s="87">
        <f>MONTH($B2388)</f>
        <v/>
      </c>
      <c r="F2388" s="93">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$N2388*IF($O$2344=1,$O2388/$F$2344,1)</f>
        <v/>
      </c>
      <c r="T2388" s="95">
        <f>IF($G2388&lt;nr_MStartP,$S2388,$T2376*(1+IF($G2388&lt;nr_MStartP1,$M$2344,$N$2344)))</f>
        <v/>
      </c>
      <c r="U2388" s="95">
        <f>IF($L$2344,$T2388,$N2388)</f>
        <v/>
      </c>
    </row>
    <row r="2389">
      <c r="A2389" s="90" t="n">
        <v>43</v>
      </c>
      <c r="B2389" s="91">
        <f>EDATE($B2388,1)</f>
        <v/>
      </c>
      <c r="C2389" s="92">
        <f>EOMONTH($B2389,0)</f>
        <v/>
      </c>
      <c r="D2389" s="87">
        <f>$C2389-$B2389+1</f>
        <v/>
      </c>
      <c r="E2389" s="87">
        <f>MONTH($B2389)</f>
        <v/>
      </c>
      <c r="F2389" s="93">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$N2389*IF($O$2344=1,$O2389/$F$2344,1)</f>
        <v/>
      </c>
      <c r="T2389" s="95">
        <f>IF($G2389&lt;nr_MStartP,$S2389,$T2377*(1+IF($G2389&lt;nr_MStartP1,$M$2344,$N$2344)))</f>
        <v/>
      </c>
      <c r="U2389" s="95">
        <f>IF($L$2344,$T2389,$N2389)</f>
        <v/>
      </c>
    </row>
    <row r="2390">
      <c r="A2390" s="90" t="n">
        <v>44</v>
      </c>
      <c r="B2390" s="91">
        <f>EDATE($B2389,1)</f>
        <v/>
      </c>
      <c r="C2390" s="92">
        <f>EOMONTH($B2390,0)</f>
        <v/>
      </c>
      <c r="D2390" s="87">
        <f>$C2390-$B2390+1</f>
        <v/>
      </c>
      <c r="E2390" s="87">
        <f>MONTH($B2390)</f>
        <v/>
      </c>
      <c r="F2390" s="93">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$N2390*IF($O$2344=1,$O2390/$F$2344,1)</f>
        <v/>
      </c>
      <c r="T2390" s="95">
        <f>IF($G2390&lt;nr_MStartP,$S2390,$T2378*(1+IF($G2390&lt;nr_MStartP1,$M$2344,$N$2344)))</f>
        <v/>
      </c>
      <c r="U2390" s="95">
        <f>IF($L$2344,$T2390,$N2390)</f>
        <v/>
      </c>
    </row>
    <row r="2391">
      <c r="A2391" s="90" t="n">
        <v>45</v>
      </c>
      <c r="B2391" s="91">
        <f>EDATE($B2390,1)</f>
        <v/>
      </c>
      <c r="C2391" s="92">
        <f>EOMONTH($B2391,0)</f>
        <v/>
      </c>
      <c r="D2391" s="87">
        <f>$C2391-$B2391+1</f>
        <v/>
      </c>
      <c r="E2391" s="87">
        <f>MONTH($B2391)</f>
        <v/>
      </c>
      <c r="F2391" s="93">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$N2391*IF($O$2344=1,$O2391/$F$2344,1)</f>
        <v/>
      </c>
      <c r="T2391" s="95">
        <f>IF($G2391&lt;nr_MStartP,$S2391,$T2379*(1+IF($G2391&lt;nr_MStartP1,$M$2344,$N$2344)))</f>
        <v/>
      </c>
      <c r="U2391" s="95">
        <f>IF($L$2344,$T2391,$N2391)</f>
        <v/>
      </c>
    </row>
    <row r="2392">
      <c r="A2392" s="90" t="n">
        <v>46</v>
      </c>
      <c r="B2392" s="91">
        <f>EDATE($B2391,1)</f>
        <v/>
      </c>
      <c r="C2392" s="92">
        <f>EOMONTH($B2392,0)</f>
        <v/>
      </c>
      <c r="D2392" s="87">
        <f>$C2392-$B2392+1</f>
        <v/>
      </c>
      <c r="E2392" s="87">
        <f>MONTH($B2392)</f>
        <v/>
      </c>
      <c r="F2392" s="93">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$N2392*IF($O$2344=1,$O2392/$F$2344,1)</f>
        <v/>
      </c>
      <c r="T2392" s="95">
        <f>IF($G2392&lt;nr_MStartP,$S2392,$T2380*(1+IF($G2392&lt;nr_MStartP1,$M$2344,$N$2344)))</f>
        <v/>
      </c>
      <c r="U2392" s="95">
        <f>IF($L$2344,$T2392,$N2392)</f>
        <v/>
      </c>
    </row>
    <row r="2393">
      <c r="A2393" s="90" t="n">
        <v>47</v>
      </c>
      <c r="B2393" s="91">
        <f>EDATE($B2392,1)</f>
        <v/>
      </c>
      <c r="C2393" s="92">
        <f>EOMONTH($B2393,0)</f>
        <v/>
      </c>
      <c r="D2393" s="87">
        <f>$C2393-$B2393+1</f>
        <v/>
      </c>
      <c r="E2393" s="87">
        <f>MONTH($B2393)</f>
        <v/>
      </c>
      <c r="F2393" s="93">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$N2393*IF($O$2344=1,$O2393/$F$2344,1)</f>
        <v/>
      </c>
      <c r="T2393" s="95">
        <f>IF($G2393&lt;nr_MStartP,$S2393,$T2381*(1+IF($G2393&lt;nr_MStartP1,$M$2344,$N$2344)))</f>
        <v/>
      </c>
      <c r="U2393" s="95">
        <f>IF($L$2344,$T2393,$N2393)</f>
        <v/>
      </c>
    </row>
    <row r="2394">
      <c r="A2394" s="90" t="n">
        <v>48</v>
      </c>
      <c r="B2394" s="91">
        <f>EDATE($B2393,1)</f>
        <v/>
      </c>
      <c r="C2394" s="92">
        <f>EOMONTH($B2394,0)</f>
        <v/>
      </c>
      <c r="D2394" s="87">
        <f>$C2394-$B2394+1</f>
        <v/>
      </c>
      <c r="E2394" s="87">
        <f>MONTH($B2394)</f>
        <v/>
      </c>
      <c r="F2394" s="93">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$N2394*IF($O$2344=1,$O2394/$F$2344,1)</f>
        <v/>
      </c>
      <c r="T2394" s="95">
        <f>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04">
        <f>SUMPRODUCT($H$2347:$H$2394,$Q$2347:$Q$2394,$O$2347:$O$2394)/SUMPRODUCT($H$2347:$H$2394,$Q$2347:$Q$2394)</f>
        <v/>
      </c>
      <c r="G2395" s="20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04">
        <f>IF(N(INDEX(lr_mind,44))=0,1,INDEX(lr_mind,44))</f>
        <v/>
      </c>
      <c r="G2398" s="204">
        <f>IF(N(INDEX(lr_m0,44))=0,1,INDEX(lr_m0,44))</f>
        <v/>
      </c>
      <c r="H2398" s="73">
        <f>IF(N(INDEX(lr_m0asof,44))=0,DATE(nr_PlanYear-1,10,1),INDEX(lr_m0asof,44))</f>
        <v/>
      </c>
      <c r="I2398" s="204">
        <f>IF(N(INDEX(lr_m1,44))=0,1,INDEX(lr_m1,44))</f>
        <v/>
      </c>
      <c r="J2398" s="204">
        <f>INDEX(lr_mprior,44)</f>
        <v/>
      </c>
      <c r="K2398" s="20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93">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$N2401*IF($O$2398=1,$O2401/$F$2398,1)</f>
        <v/>
      </c>
      <c r="T2401" s="95">
        <f>IF($G2401&lt;nr_MStartP,$S2401,$T2389*(1+IF($G2401&lt;nr_MStartP1,$M$2398,$N$2398)))</f>
        <v/>
      </c>
      <c r="U2401" s="95">
        <f>IF($L$2398,$T2401,$N2401)</f>
        <v/>
      </c>
    </row>
    <row r="2402">
      <c r="A2402" s="90" t="n">
        <v>2</v>
      </c>
      <c r="B2402" s="91">
        <f>EDATE($B2401,1)</f>
        <v/>
      </c>
      <c r="C2402" s="92">
        <f>EOMONTH($B2402,0)</f>
        <v/>
      </c>
      <c r="D2402" s="87">
        <f>$C2402-$B2402+1</f>
        <v/>
      </c>
      <c r="E2402" s="87">
        <f>MONTH($B2402)</f>
        <v/>
      </c>
      <c r="F2402" s="93">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$N2402*IF($O$2398=1,$O2402/$F$2398,1)</f>
        <v/>
      </c>
      <c r="T2402" s="95">
        <f>IF($G2402&lt;nr_MStartP,$S2402,$T2390*(1+IF($G2402&lt;nr_MStartP1,$M$2398,$N$2398)))</f>
        <v/>
      </c>
      <c r="U2402" s="95">
        <f>IF($L$2398,$T2402,$N2402)</f>
        <v/>
      </c>
    </row>
    <row r="2403">
      <c r="A2403" s="90" t="n">
        <v>3</v>
      </c>
      <c r="B2403" s="91">
        <f>EDATE($B2402,1)</f>
        <v/>
      </c>
      <c r="C2403" s="92">
        <f>EOMONTH($B2403,0)</f>
        <v/>
      </c>
      <c r="D2403" s="87">
        <f>$C2403-$B2403+1</f>
        <v/>
      </c>
      <c r="E2403" s="87">
        <f>MONTH($B2403)</f>
        <v/>
      </c>
      <c r="F2403" s="93">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$N2403*IF($O$2398=1,$O2403/$F$2398,1)</f>
        <v/>
      </c>
      <c r="T2403" s="95">
        <f>IF($G2403&lt;nr_MStartP,$S2403,$T2391*(1+IF($G2403&lt;nr_MStartP1,$M$2398,$N$2398)))</f>
        <v/>
      </c>
      <c r="U2403" s="95">
        <f>IF($L$2398,$T2403,$N2403)</f>
        <v/>
      </c>
    </row>
    <row r="2404">
      <c r="A2404" s="90" t="n">
        <v>4</v>
      </c>
      <c r="B2404" s="91">
        <f>EDATE($B2403,1)</f>
        <v/>
      </c>
      <c r="C2404" s="92">
        <f>EOMONTH($B2404,0)</f>
        <v/>
      </c>
      <c r="D2404" s="87">
        <f>$C2404-$B2404+1</f>
        <v/>
      </c>
      <c r="E2404" s="87">
        <f>MONTH($B2404)</f>
        <v/>
      </c>
      <c r="F2404" s="93">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$N2404*IF($O$2398=1,$O2404/$F$2398,1)</f>
        <v/>
      </c>
      <c r="T2404" s="95">
        <f>IF($G2404&lt;nr_MStartP,$S2404,$T2392*(1+IF($G2404&lt;nr_MStartP1,$M$2398,$N$2398)))</f>
        <v/>
      </c>
      <c r="U2404" s="95">
        <f>IF($L$2398,$T2404,$N2404)</f>
        <v/>
      </c>
    </row>
    <row r="2405">
      <c r="A2405" s="90" t="n">
        <v>5</v>
      </c>
      <c r="B2405" s="91">
        <f>EDATE($B2404,1)</f>
        <v/>
      </c>
      <c r="C2405" s="92">
        <f>EOMONTH($B2405,0)</f>
        <v/>
      </c>
      <c r="D2405" s="87">
        <f>$C2405-$B2405+1</f>
        <v/>
      </c>
      <c r="E2405" s="87">
        <f>MONTH($B2405)</f>
        <v/>
      </c>
      <c r="F2405" s="93">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$N2405*IF($O$2398=1,$O2405/$F$2398,1)</f>
        <v/>
      </c>
      <c r="T2405" s="95">
        <f>IF($G2405&lt;nr_MStartP,$S2405,$T2393*(1+IF($G2405&lt;nr_MStartP1,$M$2398,$N$2398)))</f>
        <v/>
      </c>
      <c r="U2405" s="95">
        <f>IF($L$2398,$T2405,$N2405)</f>
        <v/>
      </c>
    </row>
    <row r="2406">
      <c r="A2406" s="90" t="n">
        <v>6</v>
      </c>
      <c r="B2406" s="91">
        <f>EDATE($B2405,1)</f>
        <v/>
      </c>
      <c r="C2406" s="92">
        <f>EOMONTH($B2406,0)</f>
        <v/>
      </c>
      <c r="D2406" s="87">
        <f>$C2406-$B2406+1</f>
        <v/>
      </c>
      <c r="E2406" s="87">
        <f>MONTH($B2406)</f>
        <v/>
      </c>
      <c r="F2406" s="93">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$N2406*IF($O$2398=1,$O2406/$F$2398,1)</f>
        <v/>
      </c>
      <c r="T2406" s="95">
        <f>IF($G2406&lt;nr_MStartP,$S2406,$T2394*(1+IF($G2406&lt;nr_MStartP1,$M$2398,$N$2398)))</f>
        <v/>
      </c>
      <c r="U2406" s="95">
        <f>IF($L$2398,$T2406,$N2406)</f>
        <v/>
      </c>
    </row>
    <row r="2407">
      <c r="A2407" s="90" t="n">
        <v>7</v>
      </c>
      <c r="B2407" s="91">
        <f>EDATE($B2406,1)</f>
        <v/>
      </c>
      <c r="C2407" s="92">
        <f>EOMONTH($B2407,0)</f>
        <v/>
      </c>
      <c r="D2407" s="87">
        <f>$C2407-$B2407+1</f>
        <v/>
      </c>
      <c r="E2407" s="87">
        <f>MONTH($B2407)</f>
        <v/>
      </c>
      <c r="F2407" s="93">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$N2407*IF($O$2398=1,$O2407/$F$2398,1)</f>
        <v/>
      </c>
      <c r="T2407" s="95">
        <f>IF($G2407&lt;nr_MStartP,$S2407,$T2395*(1+IF($G2407&lt;nr_MStartP1,$M$2398,$N$2398)))</f>
        <v/>
      </c>
      <c r="U2407" s="95">
        <f>IF($L$2398,$T2407,$N2407)</f>
        <v/>
      </c>
    </row>
    <row r="2408">
      <c r="A2408" s="90" t="n">
        <v>8</v>
      </c>
      <c r="B2408" s="91">
        <f>EDATE($B2407,1)</f>
        <v/>
      </c>
      <c r="C2408" s="92">
        <f>EOMONTH($B2408,0)</f>
        <v/>
      </c>
      <c r="D2408" s="87">
        <f>$C2408-$B2408+1</f>
        <v/>
      </c>
      <c r="E2408" s="87">
        <f>MONTH($B2408)</f>
        <v/>
      </c>
      <c r="F2408" s="93">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$N2408*IF($O$2398=1,$O2408/$F$2398,1)</f>
        <v/>
      </c>
      <c r="T2408" s="95">
        <f>IF($G2408&lt;nr_MStartP,$S2408,$T2396*(1+IF($G2408&lt;nr_MStartP1,$M$2398,$N$2398)))</f>
        <v/>
      </c>
      <c r="U2408" s="95">
        <f>IF($L$2398,$T2408,$N2408)</f>
        <v/>
      </c>
    </row>
    <row r="2409">
      <c r="A2409" s="90" t="n">
        <v>9</v>
      </c>
      <c r="B2409" s="91">
        <f>EDATE($B2408,1)</f>
        <v/>
      </c>
      <c r="C2409" s="92">
        <f>EOMONTH($B2409,0)</f>
        <v/>
      </c>
      <c r="D2409" s="87">
        <f>$C2409-$B2409+1</f>
        <v/>
      </c>
      <c r="E2409" s="87">
        <f>MONTH($B2409)</f>
        <v/>
      </c>
      <c r="F2409" s="93">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$N2409*IF($O$2398=1,$O2409/$F$2398,1)</f>
        <v/>
      </c>
      <c r="T2409" s="95">
        <f>IF($G2409&lt;nr_MStartP,$S2409,$T2397*(1+IF($G2409&lt;nr_MStartP1,$M$2398,$N$2398)))</f>
        <v/>
      </c>
      <c r="U2409" s="95">
        <f>IF($L$2398,$T2409,$N2409)</f>
        <v/>
      </c>
    </row>
    <row r="2410">
      <c r="A2410" s="90" t="n">
        <v>10</v>
      </c>
      <c r="B2410" s="91">
        <f>EDATE($B2409,1)</f>
        <v/>
      </c>
      <c r="C2410" s="92">
        <f>EOMONTH($B2410,0)</f>
        <v/>
      </c>
      <c r="D2410" s="87">
        <f>$C2410-$B2410+1</f>
        <v/>
      </c>
      <c r="E2410" s="87">
        <f>MONTH($B2410)</f>
        <v/>
      </c>
      <c r="F2410" s="93">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$N2410*IF($O$2398=1,$O2410/$F$2398,1)</f>
        <v/>
      </c>
      <c r="T2410" s="95">
        <f>IF($G2410&lt;nr_MStartP,$S2410,$T2398*(1+IF($G2410&lt;nr_MStartP1,$M$2398,$N$2398)))</f>
        <v/>
      </c>
      <c r="U2410" s="95">
        <f>IF($L$2398,$T2410,$N2410)</f>
        <v/>
      </c>
    </row>
    <row r="2411">
      <c r="A2411" s="90" t="n">
        <v>11</v>
      </c>
      <c r="B2411" s="91">
        <f>EDATE($B2410,1)</f>
        <v/>
      </c>
      <c r="C2411" s="92">
        <f>EOMONTH($B2411,0)</f>
        <v/>
      </c>
      <c r="D2411" s="87">
        <f>$C2411-$B2411+1</f>
        <v/>
      </c>
      <c r="E2411" s="87">
        <f>MONTH($B2411)</f>
        <v/>
      </c>
      <c r="F2411" s="93">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$N2411*IF($O$2398=1,$O2411/$F$2398,1)</f>
        <v/>
      </c>
      <c r="T2411" s="95">
        <f>IF($G2411&lt;nr_MStartP,$S2411,$T2399*(1+IF($G2411&lt;nr_MStartP1,$M$2398,$N$2398)))</f>
        <v/>
      </c>
      <c r="U2411" s="95">
        <f>IF($L$2398,$T2411,$N2411)</f>
        <v/>
      </c>
    </row>
    <row r="2412">
      <c r="A2412" s="90" t="n">
        <v>12</v>
      </c>
      <c r="B2412" s="91">
        <f>EDATE($B2411,1)</f>
        <v/>
      </c>
      <c r="C2412" s="92">
        <f>EOMONTH($B2412,0)</f>
        <v/>
      </c>
      <c r="D2412" s="87">
        <f>$C2412-$B2412+1</f>
        <v/>
      </c>
      <c r="E2412" s="87">
        <f>MONTH($B2412)</f>
        <v/>
      </c>
      <c r="F2412" s="93">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$N2412*IF($O$2398=1,$O2412/$F$2398,1)</f>
        <v/>
      </c>
      <c r="T2412" s="95">
        <f>IF($G2412&lt;nr_MStartP,$S2412,$T2400*(1+IF($G2412&lt;nr_MStartP1,$M$2398,$N$2398)))</f>
        <v/>
      </c>
      <c r="U2412" s="95">
        <f>IF($L$2398,$T2412,$N2412)</f>
        <v/>
      </c>
    </row>
    <row r="2413">
      <c r="A2413" s="90" t="n">
        <v>13</v>
      </c>
      <c r="B2413" s="91">
        <f>EDATE($B2412,1)</f>
        <v/>
      </c>
      <c r="C2413" s="92">
        <f>EOMONTH($B2413,0)</f>
        <v/>
      </c>
      <c r="D2413" s="87">
        <f>$C2413-$B2413+1</f>
        <v/>
      </c>
      <c r="E2413" s="87">
        <f>MONTH($B2413)</f>
        <v/>
      </c>
      <c r="F2413" s="93">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$N2413*IF($O$2398=1,$O2413/$F$2398,1)</f>
        <v/>
      </c>
      <c r="T2413" s="95">
        <f>IF($G2413&lt;nr_MStartP,$S2413,$T2401*(1+IF($G2413&lt;nr_MStartP1,$M$2398,$N$2398)))</f>
        <v/>
      </c>
      <c r="U2413" s="95">
        <f>IF($L$2398,$T2413,$N2413)</f>
        <v/>
      </c>
    </row>
    <row r="2414">
      <c r="A2414" s="90" t="n">
        <v>14</v>
      </c>
      <c r="B2414" s="91">
        <f>EDATE($B2413,1)</f>
        <v/>
      </c>
      <c r="C2414" s="92">
        <f>EOMONTH($B2414,0)</f>
        <v/>
      </c>
      <c r="D2414" s="87">
        <f>$C2414-$B2414+1</f>
        <v/>
      </c>
      <c r="E2414" s="87">
        <f>MONTH($B2414)</f>
        <v/>
      </c>
      <c r="F2414" s="93">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$N2414*IF($O$2398=1,$O2414/$F$2398,1)</f>
        <v/>
      </c>
      <c r="T2414" s="95">
        <f>IF($G2414&lt;nr_MStartP,$S2414,$T2402*(1+IF($G2414&lt;nr_MStartP1,$M$2398,$N$2398)))</f>
        <v/>
      </c>
      <c r="U2414" s="95">
        <f>IF($L$2398,$T2414,$N2414)</f>
        <v/>
      </c>
    </row>
    <row r="2415">
      <c r="A2415" s="90" t="n">
        <v>15</v>
      </c>
      <c r="B2415" s="91">
        <f>EDATE($B2414,1)</f>
        <v/>
      </c>
      <c r="C2415" s="92">
        <f>EOMONTH($B2415,0)</f>
        <v/>
      </c>
      <c r="D2415" s="87">
        <f>$C2415-$B2415+1</f>
        <v/>
      </c>
      <c r="E2415" s="87">
        <f>MONTH($B2415)</f>
        <v/>
      </c>
      <c r="F2415" s="93">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$N2415*IF($O$2398=1,$O2415/$F$2398,1)</f>
        <v/>
      </c>
      <c r="T2415" s="95">
        <f>IF($G2415&lt;nr_MStartP,$S2415,$T2403*(1+IF($G2415&lt;nr_MStartP1,$M$2398,$N$2398)))</f>
        <v/>
      </c>
      <c r="U2415" s="95">
        <f>IF($L$2398,$T2415,$N2415)</f>
        <v/>
      </c>
    </row>
    <row r="2416">
      <c r="A2416" s="90" t="n">
        <v>16</v>
      </c>
      <c r="B2416" s="91">
        <f>EDATE($B2415,1)</f>
        <v/>
      </c>
      <c r="C2416" s="92">
        <f>EOMONTH($B2416,0)</f>
        <v/>
      </c>
      <c r="D2416" s="87">
        <f>$C2416-$B2416+1</f>
        <v/>
      </c>
      <c r="E2416" s="87">
        <f>MONTH($B2416)</f>
        <v/>
      </c>
      <c r="F2416" s="93">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$N2416*IF($O$2398=1,$O2416/$F$2398,1)</f>
        <v/>
      </c>
      <c r="T2416" s="95">
        <f>IF($G2416&lt;nr_MStartP,$S2416,$T2404*(1+IF($G2416&lt;nr_MStartP1,$M$2398,$N$2398)))</f>
        <v/>
      </c>
      <c r="U2416" s="95">
        <f>IF($L$2398,$T2416,$N2416)</f>
        <v/>
      </c>
    </row>
    <row r="2417">
      <c r="A2417" s="90" t="n">
        <v>17</v>
      </c>
      <c r="B2417" s="91">
        <f>EDATE($B2416,1)</f>
        <v/>
      </c>
      <c r="C2417" s="92">
        <f>EOMONTH($B2417,0)</f>
        <v/>
      </c>
      <c r="D2417" s="87">
        <f>$C2417-$B2417+1</f>
        <v/>
      </c>
      <c r="E2417" s="87">
        <f>MONTH($B2417)</f>
        <v/>
      </c>
      <c r="F2417" s="93">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$N2417*IF($O$2398=1,$O2417/$F$2398,1)</f>
        <v/>
      </c>
      <c r="T2417" s="95">
        <f>IF($G2417&lt;nr_MStartP,$S2417,$T2405*(1+IF($G2417&lt;nr_MStartP1,$M$2398,$N$2398)))</f>
        <v/>
      </c>
      <c r="U2417" s="95">
        <f>IF($L$2398,$T2417,$N2417)</f>
        <v/>
      </c>
    </row>
    <row r="2418">
      <c r="A2418" s="90" t="n">
        <v>18</v>
      </c>
      <c r="B2418" s="91">
        <f>EDATE($B2417,1)</f>
        <v/>
      </c>
      <c r="C2418" s="92">
        <f>EOMONTH($B2418,0)</f>
        <v/>
      </c>
      <c r="D2418" s="87">
        <f>$C2418-$B2418+1</f>
        <v/>
      </c>
      <c r="E2418" s="87">
        <f>MONTH($B2418)</f>
        <v/>
      </c>
      <c r="F2418" s="93">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$N2418*IF($O$2398=1,$O2418/$F$2398,1)</f>
        <v/>
      </c>
      <c r="T2418" s="95">
        <f>IF($G2418&lt;nr_MStartP,$S2418,$T2406*(1+IF($G2418&lt;nr_MStartP1,$M$2398,$N$2398)))</f>
        <v/>
      </c>
      <c r="U2418" s="95">
        <f>IF($L$2398,$T2418,$N2418)</f>
        <v/>
      </c>
    </row>
    <row r="2419">
      <c r="A2419" s="90" t="n">
        <v>19</v>
      </c>
      <c r="B2419" s="91">
        <f>EDATE($B2418,1)</f>
        <v/>
      </c>
      <c r="C2419" s="92">
        <f>EOMONTH($B2419,0)</f>
        <v/>
      </c>
      <c r="D2419" s="87">
        <f>$C2419-$B2419+1</f>
        <v/>
      </c>
      <c r="E2419" s="87">
        <f>MONTH($B2419)</f>
        <v/>
      </c>
      <c r="F2419" s="93">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$N2419*IF($O$2398=1,$O2419/$F$2398,1)</f>
        <v/>
      </c>
      <c r="T2419" s="95">
        <f>IF($G2419&lt;nr_MStartP,$S2419,$T2407*(1+IF($G2419&lt;nr_MStartP1,$M$2398,$N$2398)))</f>
        <v/>
      </c>
      <c r="U2419" s="95">
        <f>IF($L$2398,$T2419,$N2419)</f>
        <v/>
      </c>
    </row>
    <row r="2420">
      <c r="A2420" s="90" t="n">
        <v>20</v>
      </c>
      <c r="B2420" s="91">
        <f>EDATE($B2419,1)</f>
        <v/>
      </c>
      <c r="C2420" s="92">
        <f>EOMONTH($B2420,0)</f>
        <v/>
      </c>
      <c r="D2420" s="87">
        <f>$C2420-$B2420+1</f>
        <v/>
      </c>
      <c r="E2420" s="87">
        <f>MONTH($B2420)</f>
        <v/>
      </c>
      <c r="F2420" s="93">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$N2420*IF($O$2398=1,$O2420/$F$2398,1)</f>
        <v/>
      </c>
      <c r="T2420" s="95">
        <f>IF($G2420&lt;nr_MStartP,$S2420,$T2408*(1+IF($G2420&lt;nr_MStartP1,$M$2398,$N$2398)))</f>
        <v/>
      </c>
      <c r="U2420" s="95">
        <f>IF($L$2398,$T2420,$N2420)</f>
        <v/>
      </c>
    </row>
    <row r="2421">
      <c r="A2421" s="90" t="n">
        <v>21</v>
      </c>
      <c r="B2421" s="91">
        <f>EDATE($B2420,1)</f>
        <v/>
      </c>
      <c r="C2421" s="92">
        <f>EOMONTH($B2421,0)</f>
        <v/>
      </c>
      <c r="D2421" s="87">
        <f>$C2421-$B2421+1</f>
        <v/>
      </c>
      <c r="E2421" s="87">
        <f>MONTH($B2421)</f>
        <v/>
      </c>
      <c r="F2421" s="93">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$N2421*IF($O$2398=1,$O2421/$F$2398,1)</f>
        <v/>
      </c>
      <c r="T2421" s="95">
        <f>IF($G2421&lt;nr_MStartP,$S2421,$T2409*(1+IF($G2421&lt;nr_MStartP1,$M$2398,$N$2398)))</f>
        <v/>
      </c>
      <c r="U2421" s="95">
        <f>IF($L$2398,$T2421,$N2421)</f>
        <v/>
      </c>
    </row>
    <row r="2422">
      <c r="A2422" s="90" t="n">
        <v>22</v>
      </c>
      <c r="B2422" s="91">
        <f>EDATE($B2421,1)</f>
        <v/>
      </c>
      <c r="C2422" s="92">
        <f>EOMONTH($B2422,0)</f>
        <v/>
      </c>
      <c r="D2422" s="87">
        <f>$C2422-$B2422+1</f>
        <v/>
      </c>
      <c r="E2422" s="87">
        <f>MONTH($B2422)</f>
        <v/>
      </c>
      <c r="F2422" s="93">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$N2422*IF($O$2398=1,$O2422/$F$2398,1)</f>
        <v/>
      </c>
      <c r="T2422" s="95">
        <f>IF($G2422&lt;nr_MStartP,$S2422,$T2410*(1+IF($G2422&lt;nr_MStartP1,$M$2398,$N$2398)))</f>
        <v/>
      </c>
      <c r="U2422" s="95">
        <f>IF($L$2398,$T2422,$N2422)</f>
        <v/>
      </c>
    </row>
    <row r="2423">
      <c r="A2423" s="90" t="n">
        <v>23</v>
      </c>
      <c r="B2423" s="91">
        <f>EDATE($B2422,1)</f>
        <v/>
      </c>
      <c r="C2423" s="92">
        <f>EOMONTH($B2423,0)</f>
        <v/>
      </c>
      <c r="D2423" s="87">
        <f>$C2423-$B2423+1</f>
        <v/>
      </c>
      <c r="E2423" s="87">
        <f>MONTH($B2423)</f>
        <v/>
      </c>
      <c r="F2423" s="93">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$N2423*IF($O$2398=1,$O2423/$F$2398,1)</f>
        <v/>
      </c>
      <c r="T2423" s="95">
        <f>IF($G2423&lt;nr_MStartP,$S2423,$T2411*(1+IF($G2423&lt;nr_MStartP1,$M$2398,$N$2398)))</f>
        <v/>
      </c>
      <c r="U2423" s="95">
        <f>IF($L$2398,$T2423,$N2423)</f>
        <v/>
      </c>
    </row>
    <row r="2424">
      <c r="A2424" s="90" t="n">
        <v>24</v>
      </c>
      <c r="B2424" s="91">
        <f>EDATE($B2423,1)</f>
        <v/>
      </c>
      <c r="C2424" s="92">
        <f>EOMONTH($B2424,0)</f>
        <v/>
      </c>
      <c r="D2424" s="87">
        <f>$C2424-$B2424+1</f>
        <v/>
      </c>
      <c r="E2424" s="87">
        <f>MONTH($B2424)</f>
        <v/>
      </c>
      <c r="F2424" s="93">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$N2424*IF($O$2398=1,$O2424/$F$2398,1)</f>
        <v/>
      </c>
      <c r="T2424" s="95">
        <f>IF($G2424&lt;nr_MStartP,$S2424,$T2412*(1+IF($G2424&lt;nr_MStartP1,$M$2398,$N$2398)))</f>
        <v/>
      </c>
      <c r="U2424" s="95">
        <f>IF($L$2398,$T2424,$N2424)</f>
        <v/>
      </c>
    </row>
    <row r="2425">
      <c r="A2425" s="90" t="n">
        <v>25</v>
      </c>
      <c r="B2425" s="91">
        <f>EDATE($B2424,1)</f>
        <v/>
      </c>
      <c r="C2425" s="92">
        <f>EOMONTH($B2425,0)</f>
        <v/>
      </c>
      <c r="D2425" s="87">
        <f>$C2425-$B2425+1</f>
        <v/>
      </c>
      <c r="E2425" s="87">
        <f>MONTH($B2425)</f>
        <v/>
      </c>
      <c r="F2425" s="93">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$N2425*IF($O$2398=1,$O2425/$F$2398,1)</f>
        <v/>
      </c>
      <c r="T2425" s="95">
        <f>IF($G2425&lt;nr_MStartP,$S2425,$T2413*(1+IF($G2425&lt;nr_MStartP1,$M$2398,$N$2398)))</f>
        <v/>
      </c>
      <c r="U2425" s="95">
        <f>IF($L$2398,$T2425,$N2425)</f>
        <v/>
      </c>
    </row>
    <row r="2426">
      <c r="A2426" s="90" t="n">
        <v>26</v>
      </c>
      <c r="B2426" s="91">
        <f>EDATE($B2425,1)</f>
        <v/>
      </c>
      <c r="C2426" s="92">
        <f>EOMONTH($B2426,0)</f>
        <v/>
      </c>
      <c r="D2426" s="87">
        <f>$C2426-$B2426+1</f>
        <v/>
      </c>
      <c r="E2426" s="87">
        <f>MONTH($B2426)</f>
        <v/>
      </c>
      <c r="F2426" s="93">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$N2426*IF($O$2398=1,$O2426/$F$2398,1)</f>
        <v/>
      </c>
      <c r="T2426" s="95">
        <f>IF($G2426&lt;nr_MStartP,$S2426,$T2414*(1+IF($G2426&lt;nr_MStartP1,$M$2398,$N$2398)))</f>
        <v/>
      </c>
      <c r="U2426" s="95">
        <f>IF($L$2398,$T2426,$N2426)</f>
        <v/>
      </c>
    </row>
    <row r="2427">
      <c r="A2427" s="90" t="n">
        <v>27</v>
      </c>
      <c r="B2427" s="91">
        <f>EDATE($B2426,1)</f>
        <v/>
      </c>
      <c r="C2427" s="92">
        <f>EOMONTH($B2427,0)</f>
        <v/>
      </c>
      <c r="D2427" s="87">
        <f>$C2427-$B2427+1</f>
        <v/>
      </c>
      <c r="E2427" s="87">
        <f>MONTH($B2427)</f>
        <v/>
      </c>
      <c r="F2427" s="93">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$N2427*IF($O$2398=1,$O2427/$F$2398,1)</f>
        <v/>
      </c>
      <c r="T2427" s="95">
        <f>IF($G2427&lt;nr_MStartP,$S2427,$T2415*(1+IF($G2427&lt;nr_MStartP1,$M$2398,$N$2398)))</f>
        <v/>
      </c>
      <c r="U2427" s="95">
        <f>IF($L$2398,$T2427,$N2427)</f>
        <v/>
      </c>
    </row>
    <row r="2428">
      <c r="A2428" s="90" t="n">
        <v>28</v>
      </c>
      <c r="B2428" s="91">
        <f>EDATE($B2427,1)</f>
        <v/>
      </c>
      <c r="C2428" s="92">
        <f>EOMONTH($B2428,0)</f>
        <v/>
      </c>
      <c r="D2428" s="87">
        <f>$C2428-$B2428+1</f>
        <v/>
      </c>
      <c r="E2428" s="87">
        <f>MONTH($B2428)</f>
        <v/>
      </c>
      <c r="F2428" s="93">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$N2428*IF($O$2398=1,$O2428/$F$2398,1)</f>
        <v/>
      </c>
      <c r="T2428" s="95">
        <f>IF($G2428&lt;nr_MStartP,$S2428,$T2416*(1+IF($G2428&lt;nr_MStartP1,$M$2398,$N$2398)))</f>
        <v/>
      </c>
      <c r="U2428" s="95">
        <f>IF($L$2398,$T2428,$N2428)</f>
        <v/>
      </c>
    </row>
    <row r="2429">
      <c r="A2429" s="90" t="n">
        <v>29</v>
      </c>
      <c r="B2429" s="91">
        <f>EDATE($B2428,1)</f>
        <v/>
      </c>
      <c r="C2429" s="92">
        <f>EOMONTH($B2429,0)</f>
        <v/>
      </c>
      <c r="D2429" s="87">
        <f>$C2429-$B2429+1</f>
        <v/>
      </c>
      <c r="E2429" s="87">
        <f>MONTH($B2429)</f>
        <v/>
      </c>
      <c r="F2429" s="93">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$N2429*IF($O$2398=1,$O2429/$F$2398,1)</f>
        <v/>
      </c>
      <c r="T2429" s="95">
        <f>IF($G2429&lt;nr_MStartP,$S2429,$T2417*(1+IF($G2429&lt;nr_MStartP1,$M$2398,$N$2398)))</f>
        <v/>
      </c>
      <c r="U2429" s="95">
        <f>IF($L$2398,$T2429,$N2429)</f>
        <v/>
      </c>
    </row>
    <row r="2430">
      <c r="A2430" s="90" t="n">
        <v>30</v>
      </c>
      <c r="B2430" s="91">
        <f>EDATE($B2429,1)</f>
        <v/>
      </c>
      <c r="C2430" s="92">
        <f>EOMONTH($B2430,0)</f>
        <v/>
      </c>
      <c r="D2430" s="87">
        <f>$C2430-$B2430+1</f>
        <v/>
      </c>
      <c r="E2430" s="87">
        <f>MONTH($B2430)</f>
        <v/>
      </c>
      <c r="F2430" s="93">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$N2430*IF($O$2398=1,$O2430/$F$2398,1)</f>
        <v/>
      </c>
      <c r="T2430" s="95">
        <f>IF($G2430&lt;nr_MStartP,$S2430,$T2418*(1+IF($G2430&lt;nr_MStartP1,$M$2398,$N$2398)))</f>
        <v/>
      </c>
      <c r="U2430" s="95">
        <f>IF($L$2398,$T2430,$N2430)</f>
        <v/>
      </c>
    </row>
    <row r="2431">
      <c r="A2431" s="90" t="n">
        <v>31</v>
      </c>
      <c r="B2431" s="91">
        <f>EDATE($B2430,1)</f>
        <v/>
      </c>
      <c r="C2431" s="92">
        <f>EOMONTH($B2431,0)</f>
        <v/>
      </c>
      <c r="D2431" s="87">
        <f>$C2431-$B2431+1</f>
        <v/>
      </c>
      <c r="E2431" s="87">
        <f>MONTH($B2431)</f>
        <v/>
      </c>
      <c r="F2431" s="93">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$N2431*IF($O$2398=1,$O2431/$F$2398,1)</f>
        <v/>
      </c>
      <c r="T2431" s="95">
        <f>IF($G2431&lt;nr_MStartP,$S2431,$T2419*(1+IF($G2431&lt;nr_MStartP1,$M$2398,$N$2398)))</f>
        <v/>
      </c>
      <c r="U2431" s="95">
        <f>IF($L$2398,$T2431,$N2431)</f>
        <v/>
      </c>
    </row>
    <row r="2432">
      <c r="A2432" s="90" t="n">
        <v>32</v>
      </c>
      <c r="B2432" s="91">
        <f>EDATE($B2431,1)</f>
        <v/>
      </c>
      <c r="C2432" s="92">
        <f>EOMONTH($B2432,0)</f>
        <v/>
      </c>
      <c r="D2432" s="87">
        <f>$C2432-$B2432+1</f>
        <v/>
      </c>
      <c r="E2432" s="87">
        <f>MONTH($B2432)</f>
        <v/>
      </c>
      <c r="F2432" s="93">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$N2432*IF($O$2398=1,$O2432/$F$2398,1)</f>
        <v/>
      </c>
      <c r="T2432" s="95">
        <f>IF($G2432&lt;nr_MStartP,$S2432,$T2420*(1+IF($G2432&lt;nr_MStartP1,$M$2398,$N$2398)))</f>
        <v/>
      </c>
      <c r="U2432" s="95">
        <f>IF($L$2398,$T2432,$N2432)</f>
        <v/>
      </c>
    </row>
    <row r="2433">
      <c r="A2433" s="90" t="n">
        <v>33</v>
      </c>
      <c r="B2433" s="91">
        <f>EDATE($B2432,1)</f>
        <v/>
      </c>
      <c r="C2433" s="92">
        <f>EOMONTH($B2433,0)</f>
        <v/>
      </c>
      <c r="D2433" s="87">
        <f>$C2433-$B2433+1</f>
        <v/>
      </c>
      <c r="E2433" s="87">
        <f>MONTH($B2433)</f>
        <v/>
      </c>
      <c r="F2433" s="93">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$N2433*IF($O$2398=1,$O2433/$F$2398,1)</f>
        <v/>
      </c>
      <c r="T2433" s="95">
        <f>IF($G2433&lt;nr_MStartP,$S2433,$T2421*(1+IF($G2433&lt;nr_MStartP1,$M$2398,$N$2398)))</f>
        <v/>
      </c>
      <c r="U2433" s="95">
        <f>IF($L$2398,$T2433,$N2433)</f>
        <v/>
      </c>
    </row>
    <row r="2434">
      <c r="A2434" s="90" t="n">
        <v>34</v>
      </c>
      <c r="B2434" s="91">
        <f>EDATE($B2433,1)</f>
        <v/>
      </c>
      <c r="C2434" s="92">
        <f>EOMONTH($B2434,0)</f>
        <v/>
      </c>
      <c r="D2434" s="87">
        <f>$C2434-$B2434+1</f>
        <v/>
      </c>
      <c r="E2434" s="87">
        <f>MONTH($B2434)</f>
        <v/>
      </c>
      <c r="F2434" s="93">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$N2434*IF($O$2398=1,$O2434/$F$2398,1)</f>
        <v/>
      </c>
      <c r="T2434" s="95">
        <f>IF($G2434&lt;nr_MStartP,$S2434,$T2422*(1+IF($G2434&lt;nr_MStartP1,$M$2398,$N$2398)))</f>
        <v/>
      </c>
      <c r="U2434" s="95">
        <f>IF($L$2398,$T2434,$N2434)</f>
        <v/>
      </c>
    </row>
    <row r="2435">
      <c r="A2435" s="90" t="n">
        <v>35</v>
      </c>
      <c r="B2435" s="91">
        <f>EDATE($B2434,1)</f>
        <v/>
      </c>
      <c r="C2435" s="92">
        <f>EOMONTH($B2435,0)</f>
        <v/>
      </c>
      <c r="D2435" s="87">
        <f>$C2435-$B2435+1</f>
        <v/>
      </c>
      <c r="E2435" s="87">
        <f>MONTH($B2435)</f>
        <v/>
      </c>
      <c r="F2435" s="93">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$N2435*IF($O$2398=1,$O2435/$F$2398,1)</f>
        <v/>
      </c>
      <c r="T2435" s="95">
        <f>IF($G2435&lt;nr_MStartP,$S2435,$T2423*(1+IF($G2435&lt;nr_MStartP1,$M$2398,$N$2398)))</f>
        <v/>
      </c>
      <c r="U2435" s="95">
        <f>IF($L$2398,$T2435,$N2435)</f>
        <v/>
      </c>
    </row>
    <row r="2436">
      <c r="A2436" s="90" t="n">
        <v>36</v>
      </c>
      <c r="B2436" s="91">
        <f>EDATE($B2435,1)</f>
        <v/>
      </c>
      <c r="C2436" s="92">
        <f>EOMONTH($B2436,0)</f>
        <v/>
      </c>
      <c r="D2436" s="87">
        <f>$C2436-$B2436+1</f>
        <v/>
      </c>
      <c r="E2436" s="87">
        <f>MONTH($B2436)</f>
        <v/>
      </c>
      <c r="F2436" s="93">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$N2436*IF($O$2398=1,$O2436/$F$2398,1)</f>
        <v/>
      </c>
      <c r="T2436" s="95">
        <f>IF($G2436&lt;nr_MStartP,$S2436,$T2424*(1+IF($G2436&lt;nr_MStartP1,$M$2398,$N$2398)))</f>
        <v/>
      </c>
      <c r="U2436" s="95">
        <f>IF($L$2398,$T2436,$N2436)</f>
        <v/>
      </c>
    </row>
    <row r="2437">
      <c r="A2437" s="90" t="n">
        <v>37</v>
      </c>
      <c r="B2437" s="91">
        <f>EDATE($B2436,1)</f>
        <v/>
      </c>
      <c r="C2437" s="92">
        <f>EOMONTH($B2437,0)</f>
        <v/>
      </c>
      <c r="D2437" s="87">
        <f>$C2437-$B2437+1</f>
        <v/>
      </c>
      <c r="E2437" s="87">
        <f>MONTH($B2437)</f>
        <v/>
      </c>
      <c r="F2437" s="93">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$N2437*IF($O$2398=1,$O2437/$F$2398,1)</f>
        <v/>
      </c>
      <c r="T2437" s="95">
        <f>IF($G2437&lt;nr_MStartP,$S2437,$T2425*(1+IF($G2437&lt;nr_MStartP1,$M$2398,$N$2398)))</f>
        <v/>
      </c>
      <c r="U2437" s="95">
        <f>IF($L$2398,$T2437,$N2437)</f>
        <v/>
      </c>
    </row>
    <row r="2438">
      <c r="A2438" s="90" t="n">
        <v>38</v>
      </c>
      <c r="B2438" s="91">
        <f>EDATE($B2437,1)</f>
        <v/>
      </c>
      <c r="C2438" s="92">
        <f>EOMONTH($B2438,0)</f>
        <v/>
      </c>
      <c r="D2438" s="87">
        <f>$C2438-$B2438+1</f>
        <v/>
      </c>
      <c r="E2438" s="87">
        <f>MONTH($B2438)</f>
        <v/>
      </c>
      <c r="F2438" s="93">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$N2438*IF($O$2398=1,$O2438/$F$2398,1)</f>
        <v/>
      </c>
      <c r="T2438" s="95">
        <f>IF($G2438&lt;nr_MStartP,$S2438,$T2426*(1+IF($G2438&lt;nr_MStartP1,$M$2398,$N$2398)))</f>
        <v/>
      </c>
      <c r="U2438" s="95">
        <f>IF($L$2398,$T2438,$N2438)</f>
        <v/>
      </c>
    </row>
    <row r="2439">
      <c r="A2439" s="90" t="n">
        <v>39</v>
      </c>
      <c r="B2439" s="91">
        <f>EDATE($B2438,1)</f>
        <v/>
      </c>
      <c r="C2439" s="92">
        <f>EOMONTH($B2439,0)</f>
        <v/>
      </c>
      <c r="D2439" s="87">
        <f>$C2439-$B2439+1</f>
        <v/>
      </c>
      <c r="E2439" s="87">
        <f>MONTH($B2439)</f>
        <v/>
      </c>
      <c r="F2439" s="93">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$N2439*IF($O$2398=1,$O2439/$F$2398,1)</f>
        <v/>
      </c>
      <c r="T2439" s="95">
        <f>IF($G2439&lt;nr_MStartP,$S2439,$T2427*(1+IF($G2439&lt;nr_MStartP1,$M$2398,$N$2398)))</f>
        <v/>
      </c>
      <c r="U2439" s="95">
        <f>IF($L$2398,$T2439,$N2439)</f>
        <v/>
      </c>
    </row>
    <row r="2440">
      <c r="A2440" s="90" t="n">
        <v>40</v>
      </c>
      <c r="B2440" s="91">
        <f>EDATE($B2439,1)</f>
        <v/>
      </c>
      <c r="C2440" s="92">
        <f>EOMONTH($B2440,0)</f>
        <v/>
      </c>
      <c r="D2440" s="87">
        <f>$C2440-$B2440+1</f>
        <v/>
      </c>
      <c r="E2440" s="87">
        <f>MONTH($B2440)</f>
        <v/>
      </c>
      <c r="F2440" s="93">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$N2440*IF($O$2398=1,$O2440/$F$2398,1)</f>
        <v/>
      </c>
      <c r="T2440" s="95">
        <f>IF($G2440&lt;nr_MStartP,$S2440,$T2428*(1+IF($G2440&lt;nr_MStartP1,$M$2398,$N$2398)))</f>
        <v/>
      </c>
      <c r="U2440" s="95">
        <f>IF($L$2398,$T2440,$N2440)</f>
        <v/>
      </c>
    </row>
    <row r="2441">
      <c r="A2441" s="90" t="n">
        <v>41</v>
      </c>
      <c r="B2441" s="91">
        <f>EDATE($B2440,1)</f>
        <v/>
      </c>
      <c r="C2441" s="92">
        <f>EOMONTH($B2441,0)</f>
        <v/>
      </c>
      <c r="D2441" s="87">
        <f>$C2441-$B2441+1</f>
        <v/>
      </c>
      <c r="E2441" s="87">
        <f>MONTH($B2441)</f>
        <v/>
      </c>
      <c r="F2441" s="93">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$N2441*IF($O$2398=1,$O2441/$F$2398,1)</f>
        <v/>
      </c>
      <c r="T2441" s="95">
        <f>IF($G2441&lt;nr_MStartP,$S2441,$T2429*(1+IF($G2441&lt;nr_MStartP1,$M$2398,$N$2398)))</f>
        <v/>
      </c>
      <c r="U2441" s="95">
        <f>IF($L$2398,$T2441,$N2441)</f>
        <v/>
      </c>
    </row>
    <row r="2442">
      <c r="A2442" s="90" t="n">
        <v>42</v>
      </c>
      <c r="B2442" s="91">
        <f>EDATE($B2441,1)</f>
        <v/>
      </c>
      <c r="C2442" s="92">
        <f>EOMONTH($B2442,0)</f>
        <v/>
      </c>
      <c r="D2442" s="87">
        <f>$C2442-$B2442+1</f>
        <v/>
      </c>
      <c r="E2442" s="87">
        <f>MONTH($B2442)</f>
        <v/>
      </c>
      <c r="F2442" s="93">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$N2442*IF($O$2398=1,$O2442/$F$2398,1)</f>
        <v/>
      </c>
      <c r="T2442" s="95">
        <f>IF($G2442&lt;nr_MStartP,$S2442,$T2430*(1+IF($G2442&lt;nr_MStartP1,$M$2398,$N$2398)))</f>
        <v/>
      </c>
      <c r="U2442" s="95">
        <f>IF($L$2398,$T2442,$N2442)</f>
        <v/>
      </c>
    </row>
    <row r="2443">
      <c r="A2443" s="90" t="n">
        <v>43</v>
      </c>
      <c r="B2443" s="91">
        <f>EDATE($B2442,1)</f>
        <v/>
      </c>
      <c r="C2443" s="92">
        <f>EOMONTH($B2443,0)</f>
        <v/>
      </c>
      <c r="D2443" s="87">
        <f>$C2443-$B2443+1</f>
        <v/>
      </c>
      <c r="E2443" s="87">
        <f>MONTH($B2443)</f>
        <v/>
      </c>
      <c r="F2443" s="93">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$N2443*IF($O$2398=1,$O2443/$F$2398,1)</f>
        <v/>
      </c>
      <c r="T2443" s="95">
        <f>IF($G2443&lt;nr_MStartP,$S2443,$T2431*(1+IF($G2443&lt;nr_MStartP1,$M$2398,$N$2398)))</f>
        <v/>
      </c>
      <c r="U2443" s="95">
        <f>IF($L$2398,$T2443,$N2443)</f>
        <v/>
      </c>
    </row>
    <row r="2444">
      <c r="A2444" s="90" t="n">
        <v>44</v>
      </c>
      <c r="B2444" s="91">
        <f>EDATE($B2443,1)</f>
        <v/>
      </c>
      <c r="C2444" s="92">
        <f>EOMONTH($B2444,0)</f>
        <v/>
      </c>
      <c r="D2444" s="87">
        <f>$C2444-$B2444+1</f>
        <v/>
      </c>
      <c r="E2444" s="87">
        <f>MONTH($B2444)</f>
        <v/>
      </c>
      <c r="F2444" s="93">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$N2444*IF($O$2398=1,$O2444/$F$2398,1)</f>
        <v/>
      </c>
      <c r="T2444" s="95">
        <f>IF($G2444&lt;nr_MStartP,$S2444,$T2432*(1+IF($G2444&lt;nr_MStartP1,$M$2398,$N$2398)))</f>
        <v/>
      </c>
      <c r="U2444" s="95">
        <f>IF($L$2398,$T2444,$N2444)</f>
        <v/>
      </c>
    </row>
    <row r="2445">
      <c r="A2445" s="90" t="n">
        <v>45</v>
      </c>
      <c r="B2445" s="91">
        <f>EDATE($B2444,1)</f>
        <v/>
      </c>
      <c r="C2445" s="92">
        <f>EOMONTH($B2445,0)</f>
        <v/>
      </c>
      <c r="D2445" s="87">
        <f>$C2445-$B2445+1</f>
        <v/>
      </c>
      <c r="E2445" s="87">
        <f>MONTH($B2445)</f>
        <v/>
      </c>
      <c r="F2445" s="93">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$N2445*IF($O$2398=1,$O2445/$F$2398,1)</f>
        <v/>
      </c>
      <c r="T2445" s="95">
        <f>IF($G2445&lt;nr_MStartP,$S2445,$T2433*(1+IF($G2445&lt;nr_MStartP1,$M$2398,$N$2398)))</f>
        <v/>
      </c>
      <c r="U2445" s="95">
        <f>IF($L$2398,$T2445,$N2445)</f>
        <v/>
      </c>
    </row>
    <row r="2446">
      <c r="A2446" s="90" t="n">
        <v>46</v>
      </c>
      <c r="B2446" s="91">
        <f>EDATE($B2445,1)</f>
        <v/>
      </c>
      <c r="C2446" s="92">
        <f>EOMONTH($B2446,0)</f>
        <v/>
      </c>
      <c r="D2446" s="87">
        <f>$C2446-$B2446+1</f>
        <v/>
      </c>
      <c r="E2446" s="87">
        <f>MONTH($B2446)</f>
        <v/>
      </c>
      <c r="F2446" s="93">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$N2446*IF($O$2398=1,$O2446/$F$2398,1)</f>
        <v/>
      </c>
      <c r="T2446" s="95">
        <f>IF($G2446&lt;nr_MStartP,$S2446,$T2434*(1+IF($G2446&lt;nr_MStartP1,$M$2398,$N$2398)))</f>
        <v/>
      </c>
      <c r="U2446" s="95">
        <f>IF($L$2398,$T2446,$N2446)</f>
        <v/>
      </c>
    </row>
    <row r="2447">
      <c r="A2447" s="90" t="n">
        <v>47</v>
      </c>
      <c r="B2447" s="91">
        <f>EDATE($B2446,1)</f>
        <v/>
      </c>
      <c r="C2447" s="92">
        <f>EOMONTH($B2447,0)</f>
        <v/>
      </c>
      <c r="D2447" s="87">
        <f>$C2447-$B2447+1</f>
        <v/>
      </c>
      <c r="E2447" s="87">
        <f>MONTH($B2447)</f>
        <v/>
      </c>
      <c r="F2447" s="93">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$N2447*IF($O$2398=1,$O2447/$F$2398,1)</f>
        <v/>
      </c>
      <c r="T2447" s="95">
        <f>IF($G2447&lt;nr_MStartP,$S2447,$T2435*(1+IF($G2447&lt;nr_MStartP1,$M$2398,$N$2398)))</f>
        <v/>
      </c>
      <c r="U2447" s="95">
        <f>IF($L$2398,$T2447,$N2447)</f>
        <v/>
      </c>
    </row>
    <row r="2448">
      <c r="A2448" s="90" t="n">
        <v>48</v>
      </c>
      <c r="B2448" s="91">
        <f>EDATE($B2447,1)</f>
        <v/>
      </c>
      <c r="C2448" s="92">
        <f>EOMONTH($B2448,0)</f>
        <v/>
      </c>
      <c r="D2448" s="87">
        <f>$C2448-$B2448+1</f>
        <v/>
      </c>
      <c r="E2448" s="87">
        <f>MONTH($B2448)</f>
        <v/>
      </c>
      <c r="F2448" s="93">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$N2448*IF($O$2398=1,$O2448/$F$2398,1)</f>
        <v/>
      </c>
      <c r="T2448" s="95">
        <f>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04">
        <f>SUMPRODUCT($H$2401:$H$2448,$Q$2401:$Q$2448,$O$2401:$O$2448)/SUMPRODUCT($H$2401:$H$2448,$Q$2401:$Q$2448)</f>
        <v/>
      </c>
      <c r="G2449" s="20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04">
        <f>IF(N(INDEX(lr_mind,45))=0,1,INDEX(lr_mind,45))</f>
        <v/>
      </c>
      <c r="G2452" s="204">
        <f>IF(N(INDEX(lr_m0,45))=0,1,INDEX(lr_m0,45))</f>
        <v/>
      </c>
      <c r="H2452" s="73">
        <f>IF(N(INDEX(lr_m0asof,45))=0,DATE(nr_PlanYear-1,10,1),INDEX(lr_m0asof,45))</f>
        <v/>
      </c>
      <c r="I2452" s="204">
        <f>IF(N(INDEX(lr_m1,45))=0,1,INDEX(lr_m1,45))</f>
        <v/>
      </c>
      <c r="J2452" s="204">
        <f>INDEX(lr_mprior,45)</f>
        <v/>
      </c>
      <c r="K2452" s="20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93">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$N2455*IF($O$2452=1,$O2455/$F$2452,1)</f>
        <v/>
      </c>
      <c r="T2455" s="95">
        <f>IF($G2455&lt;nr_MStartP,$S2455,$T2443*(1+IF($G2455&lt;nr_MStartP1,$M$2452,$N$2452)))</f>
        <v/>
      </c>
      <c r="U2455" s="95">
        <f>IF($L$2452,$T2455,$N2455)</f>
        <v/>
      </c>
    </row>
    <row r="2456">
      <c r="A2456" s="90" t="n">
        <v>2</v>
      </c>
      <c r="B2456" s="91">
        <f>EDATE($B2455,1)</f>
        <v/>
      </c>
      <c r="C2456" s="92">
        <f>EOMONTH($B2456,0)</f>
        <v/>
      </c>
      <c r="D2456" s="87">
        <f>$C2456-$B2456+1</f>
        <v/>
      </c>
      <c r="E2456" s="87">
        <f>MONTH($B2456)</f>
        <v/>
      </c>
      <c r="F2456" s="93">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$N2456*IF($O$2452=1,$O2456/$F$2452,1)</f>
        <v/>
      </c>
      <c r="T2456" s="95">
        <f>IF($G2456&lt;nr_MStartP,$S2456,$T2444*(1+IF($G2456&lt;nr_MStartP1,$M$2452,$N$2452)))</f>
        <v/>
      </c>
      <c r="U2456" s="95">
        <f>IF($L$2452,$T2456,$N2456)</f>
        <v/>
      </c>
    </row>
    <row r="2457">
      <c r="A2457" s="90" t="n">
        <v>3</v>
      </c>
      <c r="B2457" s="91">
        <f>EDATE($B2456,1)</f>
        <v/>
      </c>
      <c r="C2457" s="92">
        <f>EOMONTH($B2457,0)</f>
        <v/>
      </c>
      <c r="D2457" s="87">
        <f>$C2457-$B2457+1</f>
        <v/>
      </c>
      <c r="E2457" s="87">
        <f>MONTH($B2457)</f>
        <v/>
      </c>
      <c r="F2457" s="93">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$N2457*IF($O$2452=1,$O2457/$F$2452,1)</f>
        <v/>
      </c>
      <c r="T2457" s="95">
        <f>IF($G2457&lt;nr_MStartP,$S2457,$T2445*(1+IF($G2457&lt;nr_MStartP1,$M$2452,$N$2452)))</f>
        <v/>
      </c>
      <c r="U2457" s="95">
        <f>IF($L$2452,$T2457,$N2457)</f>
        <v/>
      </c>
    </row>
    <row r="2458">
      <c r="A2458" s="90" t="n">
        <v>4</v>
      </c>
      <c r="B2458" s="91">
        <f>EDATE($B2457,1)</f>
        <v/>
      </c>
      <c r="C2458" s="92">
        <f>EOMONTH($B2458,0)</f>
        <v/>
      </c>
      <c r="D2458" s="87">
        <f>$C2458-$B2458+1</f>
        <v/>
      </c>
      <c r="E2458" s="87">
        <f>MONTH($B2458)</f>
        <v/>
      </c>
      <c r="F2458" s="93">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$N2458*IF($O$2452=1,$O2458/$F$2452,1)</f>
        <v/>
      </c>
      <c r="T2458" s="95">
        <f>IF($G2458&lt;nr_MStartP,$S2458,$T2446*(1+IF($G2458&lt;nr_MStartP1,$M$2452,$N$2452)))</f>
        <v/>
      </c>
      <c r="U2458" s="95">
        <f>IF($L$2452,$T2458,$N2458)</f>
        <v/>
      </c>
    </row>
    <row r="2459">
      <c r="A2459" s="90" t="n">
        <v>5</v>
      </c>
      <c r="B2459" s="91">
        <f>EDATE($B2458,1)</f>
        <v/>
      </c>
      <c r="C2459" s="92">
        <f>EOMONTH($B2459,0)</f>
        <v/>
      </c>
      <c r="D2459" s="87">
        <f>$C2459-$B2459+1</f>
        <v/>
      </c>
      <c r="E2459" s="87">
        <f>MONTH($B2459)</f>
        <v/>
      </c>
      <c r="F2459" s="93">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$N2459*IF($O$2452=1,$O2459/$F$2452,1)</f>
        <v/>
      </c>
      <c r="T2459" s="95">
        <f>IF($G2459&lt;nr_MStartP,$S2459,$T2447*(1+IF($G2459&lt;nr_MStartP1,$M$2452,$N$2452)))</f>
        <v/>
      </c>
      <c r="U2459" s="95">
        <f>IF($L$2452,$T2459,$N2459)</f>
        <v/>
      </c>
    </row>
    <row r="2460">
      <c r="A2460" s="90" t="n">
        <v>6</v>
      </c>
      <c r="B2460" s="91">
        <f>EDATE($B2459,1)</f>
        <v/>
      </c>
      <c r="C2460" s="92">
        <f>EOMONTH($B2460,0)</f>
        <v/>
      </c>
      <c r="D2460" s="87">
        <f>$C2460-$B2460+1</f>
        <v/>
      </c>
      <c r="E2460" s="87">
        <f>MONTH($B2460)</f>
        <v/>
      </c>
      <c r="F2460" s="93">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$N2460*IF($O$2452=1,$O2460/$F$2452,1)</f>
        <v/>
      </c>
      <c r="T2460" s="95">
        <f>IF($G2460&lt;nr_MStartP,$S2460,$T2448*(1+IF($G2460&lt;nr_MStartP1,$M$2452,$N$2452)))</f>
        <v/>
      </c>
      <c r="U2460" s="95">
        <f>IF($L$2452,$T2460,$N2460)</f>
        <v/>
      </c>
    </row>
    <row r="2461">
      <c r="A2461" s="90" t="n">
        <v>7</v>
      </c>
      <c r="B2461" s="91">
        <f>EDATE($B2460,1)</f>
        <v/>
      </c>
      <c r="C2461" s="92">
        <f>EOMONTH($B2461,0)</f>
        <v/>
      </c>
      <c r="D2461" s="87">
        <f>$C2461-$B2461+1</f>
        <v/>
      </c>
      <c r="E2461" s="87">
        <f>MONTH($B2461)</f>
        <v/>
      </c>
      <c r="F2461" s="93">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$N2461*IF($O$2452=1,$O2461/$F$2452,1)</f>
        <v/>
      </c>
      <c r="T2461" s="95">
        <f>IF($G2461&lt;nr_MStartP,$S2461,$T2449*(1+IF($G2461&lt;nr_MStartP1,$M$2452,$N$2452)))</f>
        <v/>
      </c>
      <c r="U2461" s="95">
        <f>IF($L$2452,$T2461,$N2461)</f>
        <v/>
      </c>
    </row>
    <row r="2462">
      <c r="A2462" s="90" t="n">
        <v>8</v>
      </c>
      <c r="B2462" s="91">
        <f>EDATE($B2461,1)</f>
        <v/>
      </c>
      <c r="C2462" s="92">
        <f>EOMONTH($B2462,0)</f>
        <v/>
      </c>
      <c r="D2462" s="87">
        <f>$C2462-$B2462+1</f>
        <v/>
      </c>
      <c r="E2462" s="87">
        <f>MONTH($B2462)</f>
        <v/>
      </c>
      <c r="F2462" s="93">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$N2462*IF($O$2452=1,$O2462/$F$2452,1)</f>
        <v/>
      </c>
      <c r="T2462" s="95">
        <f>IF($G2462&lt;nr_MStartP,$S2462,$T2450*(1+IF($G2462&lt;nr_MStartP1,$M$2452,$N$2452)))</f>
        <v/>
      </c>
      <c r="U2462" s="95">
        <f>IF($L$2452,$T2462,$N2462)</f>
        <v/>
      </c>
    </row>
    <row r="2463">
      <c r="A2463" s="90" t="n">
        <v>9</v>
      </c>
      <c r="B2463" s="91">
        <f>EDATE($B2462,1)</f>
        <v/>
      </c>
      <c r="C2463" s="92">
        <f>EOMONTH($B2463,0)</f>
        <v/>
      </c>
      <c r="D2463" s="87">
        <f>$C2463-$B2463+1</f>
        <v/>
      </c>
      <c r="E2463" s="87">
        <f>MONTH($B2463)</f>
        <v/>
      </c>
      <c r="F2463" s="93">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$N2463*IF($O$2452=1,$O2463/$F$2452,1)</f>
        <v/>
      </c>
      <c r="T2463" s="95">
        <f>IF($G2463&lt;nr_MStartP,$S2463,$T2451*(1+IF($G2463&lt;nr_MStartP1,$M$2452,$N$2452)))</f>
        <v/>
      </c>
      <c r="U2463" s="95">
        <f>IF($L$2452,$T2463,$N2463)</f>
        <v/>
      </c>
    </row>
    <row r="2464">
      <c r="A2464" s="90" t="n">
        <v>10</v>
      </c>
      <c r="B2464" s="91">
        <f>EDATE($B2463,1)</f>
        <v/>
      </c>
      <c r="C2464" s="92">
        <f>EOMONTH($B2464,0)</f>
        <v/>
      </c>
      <c r="D2464" s="87">
        <f>$C2464-$B2464+1</f>
        <v/>
      </c>
      <c r="E2464" s="87">
        <f>MONTH($B2464)</f>
        <v/>
      </c>
      <c r="F2464" s="93">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$N2464*IF($O$2452=1,$O2464/$F$2452,1)</f>
        <v/>
      </c>
      <c r="T2464" s="95">
        <f>IF($G2464&lt;nr_MStartP,$S2464,$T2452*(1+IF($G2464&lt;nr_MStartP1,$M$2452,$N$2452)))</f>
        <v/>
      </c>
      <c r="U2464" s="95">
        <f>IF($L$2452,$T2464,$N2464)</f>
        <v/>
      </c>
    </row>
    <row r="2465">
      <c r="A2465" s="90" t="n">
        <v>11</v>
      </c>
      <c r="B2465" s="91">
        <f>EDATE($B2464,1)</f>
        <v/>
      </c>
      <c r="C2465" s="92">
        <f>EOMONTH($B2465,0)</f>
        <v/>
      </c>
      <c r="D2465" s="87">
        <f>$C2465-$B2465+1</f>
        <v/>
      </c>
      <c r="E2465" s="87">
        <f>MONTH($B2465)</f>
        <v/>
      </c>
      <c r="F2465" s="93">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$N2465*IF($O$2452=1,$O2465/$F$2452,1)</f>
        <v/>
      </c>
      <c r="T2465" s="95">
        <f>IF($G2465&lt;nr_MStartP,$S2465,$T2453*(1+IF($G2465&lt;nr_MStartP1,$M$2452,$N$2452)))</f>
        <v/>
      </c>
      <c r="U2465" s="95">
        <f>IF($L$2452,$T2465,$N2465)</f>
        <v/>
      </c>
    </row>
    <row r="2466">
      <c r="A2466" s="90" t="n">
        <v>12</v>
      </c>
      <c r="B2466" s="91">
        <f>EDATE($B2465,1)</f>
        <v/>
      </c>
      <c r="C2466" s="92">
        <f>EOMONTH($B2466,0)</f>
        <v/>
      </c>
      <c r="D2466" s="87">
        <f>$C2466-$B2466+1</f>
        <v/>
      </c>
      <c r="E2466" s="87">
        <f>MONTH($B2466)</f>
        <v/>
      </c>
      <c r="F2466" s="93">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$N2466*IF($O$2452=1,$O2466/$F$2452,1)</f>
        <v/>
      </c>
      <c r="T2466" s="95">
        <f>IF($G2466&lt;nr_MStartP,$S2466,$T2454*(1+IF($G2466&lt;nr_MStartP1,$M$2452,$N$2452)))</f>
        <v/>
      </c>
      <c r="U2466" s="95">
        <f>IF($L$2452,$T2466,$N2466)</f>
        <v/>
      </c>
    </row>
    <row r="2467">
      <c r="A2467" s="90" t="n">
        <v>13</v>
      </c>
      <c r="B2467" s="91">
        <f>EDATE($B2466,1)</f>
        <v/>
      </c>
      <c r="C2467" s="92">
        <f>EOMONTH($B2467,0)</f>
        <v/>
      </c>
      <c r="D2467" s="87">
        <f>$C2467-$B2467+1</f>
        <v/>
      </c>
      <c r="E2467" s="87">
        <f>MONTH($B2467)</f>
        <v/>
      </c>
      <c r="F2467" s="93">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$N2467*IF($O$2452=1,$O2467/$F$2452,1)</f>
        <v/>
      </c>
      <c r="T2467" s="95">
        <f>IF($G2467&lt;nr_MStartP,$S2467,$T2455*(1+IF($G2467&lt;nr_MStartP1,$M$2452,$N$2452)))</f>
        <v/>
      </c>
      <c r="U2467" s="95">
        <f>IF($L$2452,$T2467,$N2467)</f>
        <v/>
      </c>
    </row>
    <row r="2468">
      <c r="A2468" s="90" t="n">
        <v>14</v>
      </c>
      <c r="B2468" s="91">
        <f>EDATE($B2467,1)</f>
        <v/>
      </c>
      <c r="C2468" s="92">
        <f>EOMONTH($B2468,0)</f>
        <v/>
      </c>
      <c r="D2468" s="87">
        <f>$C2468-$B2468+1</f>
        <v/>
      </c>
      <c r="E2468" s="87">
        <f>MONTH($B2468)</f>
        <v/>
      </c>
      <c r="F2468" s="93">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$N2468*IF($O$2452=1,$O2468/$F$2452,1)</f>
        <v/>
      </c>
      <c r="T2468" s="95">
        <f>IF($G2468&lt;nr_MStartP,$S2468,$T2456*(1+IF($G2468&lt;nr_MStartP1,$M$2452,$N$2452)))</f>
        <v/>
      </c>
      <c r="U2468" s="95">
        <f>IF($L$2452,$T2468,$N2468)</f>
        <v/>
      </c>
    </row>
    <row r="2469">
      <c r="A2469" s="90" t="n">
        <v>15</v>
      </c>
      <c r="B2469" s="91">
        <f>EDATE($B2468,1)</f>
        <v/>
      </c>
      <c r="C2469" s="92">
        <f>EOMONTH($B2469,0)</f>
        <v/>
      </c>
      <c r="D2469" s="87">
        <f>$C2469-$B2469+1</f>
        <v/>
      </c>
      <c r="E2469" s="87">
        <f>MONTH($B2469)</f>
        <v/>
      </c>
      <c r="F2469" s="93">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$N2469*IF($O$2452=1,$O2469/$F$2452,1)</f>
        <v/>
      </c>
      <c r="T2469" s="95">
        <f>IF($G2469&lt;nr_MStartP,$S2469,$T2457*(1+IF($G2469&lt;nr_MStartP1,$M$2452,$N$2452)))</f>
        <v/>
      </c>
      <c r="U2469" s="95">
        <f>IF($L$2452,$T2469,$N2469)</f>
        <v/>
      </c>
    </row>
    <row r="2470">
      <c r="A2470" s="90" t="n">
        <v>16</v>
      </c>
      <c r="B2470" s="91">
        <f>EDATE($B2469,1)</f>
        <v/>
      </c>
      <c r="C2470" s="92">
        <f>EOMONTH($B2470,0)</f>
        <v/>
      </c>
      <c r="D2470" s="87">
        <f>$C2470-$B2470+1</f>
        <v/>
      </c>
      <c r="E2470" s="87">
        <f>MONTH($B2470)</f>
        <v/>
      </c>
      <c r="F2470" s="93">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$N2470*IF($O$2452=1,$O2470/$F$2452,1)</f>
        <v/>
      </c>
      <c r="T2470" s="95">
        <f>IF($G2470&lt;nr_MStartP,$S2470,$T2458*(1+IF($G2470&lt;nr_MStartP1,$M$2452,$N$2452)))</f>
        <v/>
      </c>
      <c r="U2470" s="95">
        <f>IF($L$2452,$T2470,$N2470)</f>
        <v/>
      </c>
    </row>
    <row r="2471">
      <c r="A2471" s="90" t="n">
        <v>17</v>
      </c>
      <c r="B2471" s="91">
        <f>EDATE($B2470,1)</f>
        <v/>
      </c>
      <c r="C2471" s="92">
        <f>EOMONTH($B2471,0)</f>
        <v/>
      </c>
      <c r="D2471" s="87">
        <f>$C2471-$B2471+1</f>
        <v/>
      </c>
      <c r="E2471" s="87">
        <f>MONTH($B2471)</f>
        <v/>
      </c>
      <c r="F2471" s="93">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$N2471*IF($O$2452=1,$O2471/$F$2452,1)</f>
        <v/>
      </c>
      <c r="T2471" s="95">
        <f>IF($G2471&lt;nr_MStartP,$S2471,$T2459*(1+IF($G2471&lt;nr_MStartP1,$M$2452,$N$2452)))</f>
        <v/>
      </c>
      <c r="U2471" s="95">
        <f>IF($L$2452,$T2471,$N2471)</f>
        <v/>
      </c>
    </row>
    <row r="2472">
      <c r="A2472" s="90" t="n">
        <v>18</v>
      </c>
      <c r="B2472" s="91">
        <f>EDATE($B2471,1)</f>
        <v/>
      </c>
      <c r="C2472" s="92">
        <f>EOMONTH($B2472,0)</f>
        <v/>
      </c>
      <c r="D2472" s="87">
        <f>$C2472-$B2472+1</f>
        <v/>
      </c>
      <c r="E2472" s="87">
        <f>MONTH($B2472)</f>
        <v/>
      </c>
      <c r="F2472" s="93">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$N2472*IF($O$2452=1,$O2472/$F$2452,1)</f>
        <v/>
      </c>
      <c r="T2472" s="95">
        <f>IF($G2472&lt;nr_MStartP,$S2472,$T2460*(1+IF($G2472&lt;nr_MStartP1,$M$2452,$N$2452)))</f>
        <v/>
      </c>
      <c r="U2472" s="95">
        <f>IF($L$2452,$T2472,$N2472)</f>
        <v/>
      </c>
    </row>
    <row r="2473">
      <c r="A2473" s="90" t="n">
        <v>19</v>
      </c>
      <c r="B2473" s="91">
        <f>EDATE($B2472,1)</f>
        <v/>
      </c>
      <c r="C2473" s="92">
        <f>EOMONTH($B2473,0)</f>
        <v/>
      </c>
      <c r="D2473" s="87">
        <f>$C2473-$B2473+1</f>
        <v/>
      </c>
      <c r="E2473" s="87">
        <f>MONTH($B2473)</f>
        <v/>
      </c>
      <c r="F2473" s="93">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$N2473*IF($O$2452=1,$O2473/$F$2452,1)</f>
        <v/>
      </c>
      <c r="T2473" s="95">
        <f>IF($G2473&lt;nr_MStartP,$S2473,$T2461*(1+IF($G2473&lt;nr_MStartP1,$M$2452,$N$2452)))</f>
        <v/>
      </c>
      <c r="U2473" s="95">
        <f>IF($L$2452,$T2473,$N2473)</f>
        <v/>
      </c>
    </row>
    <row r="2474">
      <c r="A2474" s="90" t="n">
        <v>20</v>
      </c>
      <c r="B2474" s="91">
        <f>EDATE($B2473,1)</f>
        <v/>
      </c>
      <c r="C2474" s="92">
        <f>EOMONTH($B2474,0)</f>
        <v/>
      </c>
      <c r="D2474" s="87">
        <f>$C2474-$B2474+1</f>
        <v/>
      </c>
      <c r="E2474" s="87">
        <f>MONTH($B2474)</f>
        <v/>
      </c>
      <c r="F2474" s="93">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$N2474*IF($O$2452=1,$O2474/$F$2452,1)</f>
        <v/>
      </c>
      <c r="T2474" s="95">
        <f>IF($G2474&lt;nr_MStartP,$S2474,$T2462*(1+IF($G2474&lt;nr_MStartP1,$M$2452,$N$2452)))</f>
        <v/>
      </c>
      <c r="U2474" s="95">
        <f>IF($L$2452,$T2474,$N2474)</f>
        <v/>
      </c>
    </row>
    <row r="2475">
      <c r="A2475" s="90" t="n">
        <v>21</v>
      </c>
      <c r="B2475" s="91">
        <f>EDATE($B2474,1)</f>
        <v/>
      </c>
      <c r="C2475" s="92">
        <f>EOMONTH($B2475,0)</f>
        <v/>
      </c>
      <c r="D2475" s="87">
        <f>$C2475-$B2475+1</f>
        <v/>
      </c>
      <c r="E2475" s="87">
        <f>MONTH($B2475)</f>
        <v/>
      </c>
      <c r="F2475" s="93">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$N2475*IF($O$2452=1,$O2475/$F$2452,1)</f>
        <v/>
      </c>
      <c r="T2475" s="95">
        <f>IF($G2475&lt;nr_MStartP,$S2475,$T2463*(1+IF($G2475&lt;nr_MStartP1,$M$2452,$N$2452)))</f>
        <v/>
      </c>
      <c r="U2475" s="95">
        <f>IF($L$2452,$T2475,$N2475)</f>
        <v/>
      </c>
    </row>
    <row r="2476">
      <c r="A2476" s="90" t="n">
        <v>22</v>
      </c>
      <c r="B2476" s="91">
        <f>EDATE($B2475,1)</f>
        <v/>
      </c>
      <c r="C2476" s="92">
        <f>EOMONTH($B2476,0)</f>
        <v/>
      </c>
      <c r="D2476" s="87">
        <f>$C2476-$B2476+1</f>
        <v/>
      </c>
      <c r="E2476" s="87">
        <f>MONTH($B2476)</f>
        <v/>
      </c>
      <c r="F2476" s="93">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$N2476*IF($O$2452=1,$O2476/$F$2452,1)</f>
        <v/>
      </c>
      <c r="T2476" s="95">
        <f>IF($G2476&lt;nr_MStartP,$S2476,$T2464*(1+IF($G2476&lt;nr_MStartP1,$M$2452,$N$2452)))</f>
        <v/>
      </c>
      <c r="U2476" s="95">
        <f>IF($L$2452,$T2476,$N2476)</f>
        <v/>
      </c>
    </row>
    <row r="2477">
      <c r="A2477" s="90" t="n">
        <v>23</v>
      </c>
      <c r="B2477" s="91">
        <f>EDATE($B2476,1)</f>
        <v/>
      </c>
      <c r="C2477" s="92">
        <f>EOMONTH($B2477,0)</f>
        <v/>
      </c>
      <c r="D2477" s="87">
        <f>$C2477-$B2477+1</f>
        <v/>
      </c>
      <c r="E2477" s="87">
        <f>MONTH($B2477)</f>
        <v/>
      </c>
      <c r="F2477" s="93">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$N2477*IF($O$2452=1,$O2477/$F$2452,1)</f>
        <v/>
      </c>
      <c r="T2477" s="95">
        <f>IF($G2477&lt;nr_MStartP,$S2477,$T2465*(1+IF($G2477&lt;nr_MStartP1,$M$2452,$N$2452)))</f>
        <v/>
      </c>
      <c r="U2477" s="95">
        <f>IF($L$2452,$T2477,$N2477)</f>
        <v/>
      </c>
    </row>
    <row r="2478">
      <c r="A2478" s="90" t="n">
        <v>24</v>
      </c>
      <c r="B2478" s="91">
        <f>EDATE($B2477,1)</f>
        <v/>
      </c>
      <c r="C2478" s="92">
        <f>EOMONTH($B2478,0)</f>
        <v/>
      </c>
      <c r="D2478" s="87">
        <f>$C2478-$B2478+1</f>
        <v/>
      </c>
      <c r="E2478" s="87">
        <f>MONTH($B2478)</f>
        <v/>
      </c>
      <c r="F2478" s="93">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$N2478*IF($O$2452=1,$O2478/$F$2452,1)</f>
        <v/>
      </c>
      <c r="T2478" s="95">
        <f>IF($G2478&lt;nr_MStartP,$S2478,$T2466*(1+IF($G2478&lt;nr_MStartP1,$M$2452,$N$2452)))</f>
        <v/>
      </c>
      <c r="U2478" s="95">
        <f>IF($L$2452,$T2478,$N2478)</f>
        <v/>
      </c>
    </row>
    <row r="2479">
      <c r="A2479" s="90" t="n">
        <v>25</v>
      </c>
      <c r="B2479" s="91">
        <f>EDATE($B2478,1)</f>
        <v/>
      </c>
      <c r="C2479" s="92">
        <f>EOMONTH($B2479,0)</f>
        <v/>
      </c>
      <c r="D2479" s="87">
        <f>$C2479-$B2479+1</f>
        <v/>
      </c>
      <c r="E2479" s="87">
        <f>MONTH($B2479)</f>
        <v/>
      </c>
      <c r="F2479" s="93">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$N2479*IF($O$2452=1,$O2479/$F$2452,1)</f>
        <v/>
      </c>
      <c r="T2479" s="95">
        <f>IF($G2479&lt;nr_MStartP,$S2479,$T2467*(1+IF($G2479&lt;nr_MStartP1,$M$2452,$N$2452)))</f>
        <v/>
      </c>
      <c r="U2479" s="95">
        <f>IF($L$2452,$T2479,$N2479)</f>
        <v/>
      </c>
    </row>
    <row r="2480">
      <c r="A2480" s="90" t="n">
        <v>26</v>
      </c>
      <c r="B2480" s="91">
        <f>EDATE($B2479,1)</f>
        <v/>
      </c>
      <c r="C2480" s="92">
        <f>EOMONTH($B2480,0)</f>
        <v/>
      </c>
      <c r="D2480" s="87">
        <f>$C2480-$B2480+1</f>
        <v/>
      </c>
      <c r="E2480" s="87">
        <f>MONTH($B2480)</f>
        <v/>
      </c>
      <c r="F2480" s="93">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$N2480*IF($O$2452=1,$O2480/$F$2452,1)</f>
        <v/>
      </c>
      <c r="T2480" s="95">
        <f>IF($G2480&lt;nr_MStartP,$S2480,$T2468*(1+IF($G2480&lt;nr_MStartP1,$M$2452,$N$2452)))</f>
        <v/>
      </c>
      <c r="U2480" s="95">
        <f>IF($L$2452,$T2480,$N2480)</f>
        <v/>
      </c>
    </row>
    <row r="2481">
      <c r="A2481" s="90" t="n">
        <v>27</v>
      </c>
      <c r="B2481" s="91">
        <f>EDATE($B2480,1)</f>
        <v/>
      </c>
      <c r="C2481" s="92">
        <f>EOMONTH($B2481,0)</f>
        <v/>
      </c>
      <c r="D2481" s="87">
        <f>$C2481-$B2481+1</f>
        <v/>
      </c>
      <c r="E2481" s="87">
        <f>MONTH($B2481)</f>
        <v/>
      </c>
      <c r="F2481" s="93">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$N2481*IF($O$2452=1,$O2481/$F$2452,1)</f>
        <v/>
      </c>
      <c r="T2481" s="95">
        <f>IF($G2481&lt;nr_MStartP,$S2481,$T2469*(1+IF($G2481&lt;nr_MStartP1,$M$2452,$N$2452)))</f>
        <v/>
      </c>
      <c r="U2481" s="95">
        <f>IF($L$2452,$T2481,$N2481)</f>
        <v/>
      </c>
    </row>
    <row r="2482">
      <c r="A2482" s="90" t="n">
        <v>28</v>
      </c>
      <c r="B2482" s="91">
        <f>EDATE($B2481,1)</f>
        <v/>
      </c>
      <c r="C2482" s="92">
        <f>EOMONTH($B2482,0)</f>
        <v/>
      </c>
      <c r="D2482" s="87">
        <f>$C2482-$B2482+1</f>
        <v/>
      </c>
      <c r="E2482" s="87">
        <f>MONTH($B2482)</f>
        <v/>
      </c>
      <c r="F2482" s="93">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$N2482*IF($O$2452=1,$O2482/$F$2452,1)</f>
        <v/>
      </c>
      <c r="T2482" s="95">
        <f>IF($G2482&lt;nr_MStartP,$S2482,$T2470*(1+IF($G2482&lt;nr_MStartP1,$M$2452,$N$2452)))</f>
        <v/>
      </c>
      <c r="U2482" s="95">
        <f>IF($L$2452,$T2482,$N2482)</f>
        <v/>
      </c>
    </row>
    <row r="2483">
      <c r="A2483" s="90" t="n">
        <v>29</v>
      </c>
      <c r="B2483" s="91">
        <f>EDATE($B2482,1)</f>
        <v/>
      </c>
      <c r="C2483" s="92">
        <f>EOMONTH($B2483,0)</f>
        <v/>
      </c>
      <c r="D2483" s="87">
        <f>$C2483-$B2483+1</f>
        <v/>
      </c>
      <c r="E2483" s="87">
        <f>MONTH($B2483)</f>
        <v/>
      </c>
      <c r="F2483" s="93">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$N2483*IF($O$2452=1,$O2483/$F$2452,1)</f>
        <v/>
      </c>
      <c r="T2483" s="95">
        <f>IF($G2483&lt;nr_MStartP,$S2483,$T2471*(1+IF($G2483&lt;nr_MStartP1,$M$2452,$N$2452)))</f>
        <v/>
      </c>
      <c r="U2483" s="95">
        <f>IF($L$2452,$T2483,$N2483)</f>
        <v/>
      </c>
    </row>
    <row r="2484">
      <c r="A2484" s="90" t="n">
        <v>30</v>
      </c>
      <c r="B2484" s="91">
        <f>EDATE($B2483,1)</f>
        <v/>
      </c>
      <c r="C2484" s="92">
        <f>EOMONTH($B2484,0)</f>
        <v/>
      </c>
      <c r="D2484" s="87">
        <f>$C2484-$B2484+1</f>
        <v/>
      </c>
      <c r="E2484" s="87">
        <f>MONTH($B2484)</f>
        <v/>
      </c>
      <c r="F2484" s="93">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$N2484*IF($O$2452=1,$O2484/$F$2452,1)</f>
        <v/>
      </c>
      <c r="T2484" s="95">
        <f>IF($G2484&lt;nr_MStartP,$S2484,$T2472*(1+IF($G2484&lt;nr_MStartP1,$M$2452,$N$2452)))</f>
        <v/>
      </c>
      <c r="U2484" s="95">
        <f>IF($L$2452,$T2484,$N2484)</f>
        <v/>
      </c>
    </row>
    <row r="2485">
      <c r="A2485" s="90" t="n">
        <v>31</v>
      </c>
      <c r="B2485" s="91">
        <f>EDATE($B2484,1)</f>
        <v/>
      </c>
      <c r="C2485" s="92">
        <f>EOMONTH($B2485,0)</f>
        <v/>
      </c>
      <c r="D2485" s="87">
        <f>$C2485-$B2485+1</f>
        <v/>
      </c>
      <c r="E2485" s="87">
        <f>MONTH($B2485)</f>
        <v/>
      </c>
      <c r="F2485" s="93">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$N2485*IF($O$2452=1,$O2485/$F$2452,1)</f>
        <v/>
      </c>
      <c r="T2485" s="95">
        <f>IF($G2485&lt;nr_MStartP,$S2485,$T2473*(1+IF($G2485&lt;nr_MStartP1,$M$2452,$N$2452)))</f>
        <v/>
      </c>
      <c r="U2485" s="95">
        <f>IF($L$2452,$T2485,$N2485)</f>
        <v/>
      </c>
    </row>
    <row r="2486">
      <c r="A2486" s="90" t="n">
        <v>32</v>
      </c>
      <c r="B2486" s="91">
        <f>EDATE($B2485,1)</f>
        <v/>
      </c>
      <c r="C2486" s="92">
        <f>EOMONTH($B2486,0)</f>
        <v/>
      </c>
      <c r="D2486" s="87">
        <f>$C2486-$B2486+1</f>
        <v/>
      </c>
      <c r="E2486" s="87">
        <f>MONTH($B2486)</f>
        <v/>
      </c>
      <c r="F2486" s="93">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$N2486*IF($O$2452=1,$O2486/$F$2452,1)</f>
        <v/>
      </c>
      <c r="T2486" s="95">
        <f>IF($G2486&lt;nr_MStartP,$S2486,$T2474*(1+IF($G2486&lt;nr_MStartP1,$M$2452,$N$2452)))</f>
        <v/>
      </c>
      <c r="U2486" s="95">
        <f>IF($L$2452,$T2486,$N2486)</f>
        <v/>
      </c>
    </row>
    <row r="2487">
      <c r="A2487" s="90" t="n">
        <v>33</v>
      </c>
      <c r="B2487" s="91">
        <f>EDATE($B2486,1)</f>
        <v/>
      </c>
      <c r="C2487" s="92">
        <f>EOMONTH($B2487,0)</f>
        <v/>
      </c>
      <c r="D2487" s="87">
        <f>$C2487-$B2487+1</f>
        <v/>
      </c>
      <c r="E2487" s="87">
        <f>MONTH($B2487)</f>
        <v/>
      </c>
      <c r="F2487" s="93">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$N2487*IF($O$2452=1,$O2487/$F$2452,1)</f>
        <v/>
      </c>
      <c r="T2487" s="95">
        <f>IF($G2487&lt;nr_MStartP,$S2487,$T2475*(1+IF($G2487&lt;nr_MStartP1,$M$2452,$N$2452)))</f>
        <v/>
      </c>
      <c r="U2487" s="95">
        <f>IF($L$2452,$T2487,$N2487)</f>
        <v/>
      </c>
    </row>
    <row r="2488">
      <c r="A2488" s="90" t="n">
        <v>34</v>
      </c>
      <c r="B2488" s="91">
        <f>EDATE($B2487,1)</f>
        <v/>
      </c>
      <c r="C2488" s="92">
        <f>EOMONTH($B2488,0)</f>
        <v/>
      </c>
      <c r="D2488" s="87">
        <f>$C2488-$B2488+1</f>
        <v/>
      </c>
      <c r="E2488" s="87">
        <f>MONTH($B2488)</f>
        <v/>
      </c>
      <c r="F2488" s="93">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$N2488*IF($O$2452=1,$O2488/$F$2452,1)</f>
        <v/>
      </c>
      <c r="T2488" s="95">
        <f>IF($G2488&lt;nr_MStartP,$S2488,$T2476*(1+IF($G2488&lt;nr_MStartP1,$M$2452,$N$2452)))</f>
        <v/>
      </c>
      <c r="U2488" s="95">
        <f>IF($L$2452,$T2488,$N2488)</f>
        <v/>
      </c>
    </row>
    <row r="2489">
      <c r="A2489" s="90" t="n">
        <v>35</v>
      </c>
      <c r="B2489" s="91">
        <f>EDATE($B2488,1)</f>
        <v/>
      </c>
      <c r="C2489" s="92">
        <f>EOMONTH($B2489,0)</f>
        <v/>
      </c>
      <c r="D2489" s="87">
        <f>$C2489-$B2489+1</f>
        <v/>
      </c>
      <c r="E2489" s="87">
        <f>MONTH($B2489)</f>
        <v/>
      </c>
      <c r="F2489" s="93">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$N2489*IF($O$2452=1,$O2489/$F$2452,1)</f>
        <v/>
      </c>
      <c r="T2489" s="95">
        <f>IF($G2489&lt;nr_MStartP,$S2489,$T2477*(1+IF($G2489&lt;nr_MStartP1,$M$2452,$N$2452)))</f>
        <v/>
      </c>
      <c r="U2489" s="95">
        <f>IF($L$2452,$T2489,$N2489)</f>
        <v/>
      </c>
    </row>
    <row r="2490">
      <c r="A2490" s="90" t="n">
        <v>36</v>
      </c>
      <c r="B2490" s="91">
        <f>EDATE($B2489,1)</f>
        <v/>
      </c>
      <c r="C2490" s="92">
        <f>EOMONTH($B2490,0)</f>
        <v/>
      </c>
      <c r="D2490" s="87">
        <f>$C2490-$B2490+1</f>
        <v/>
      </c>
      <c r="E2490" s="87">
        <f>MONTH($B2490)</f>
        <v/>
      </c>
      <c r="F2490" s="93">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$N2490*IF($O$2452=1,$O2490/$F$2452,1)</f>
        <v/>
      </c>
      <c r="T2490" s="95">
        <f>IF($G2490&lt;nr_MStartP,$S2490,$T2478*(1+IF($G2490&lt;nr_MStartP1,$M$2452,$N$2452)))</f>
        <v/>
      </c>
      <c r="U2490" s="95">
        <f>IF($L$2452,$T2490,$N2490)</f>
        <v/>
      </c>
    </row>
    <row r="2491">
      <c r="A2491" s="90" t="n">
        <v>37</v>
      </c>
      <c r="B2491" s="91">
        <f>EDATE($B2490,1)</f>
        <v/>
      </c>
      <c r="C2491" s="92">
        <f>EOMONTH($B2491,0)</f>
        <v/>
      </c>
      <c r="D2491" s="87">
        <f>$C2491-$B2491+1</f>
        <v/>
      </c>
      <c r="E2491" s="87">
        <f>MONTH($B2491)</f>
        <v/>
      </c>
      <c r="F2491" s="93">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$N2491*IF($O$2452=1,$O2491/$F$2452,1)</f>
        <v/>
      </c>
      <c r="T2491" s="95">
        <f>IF($G2491&lt;nr_MStartP,$S2491,$T2479*(1+IF($G2491&lt;nr_MStartP1,$M$2452,$N$2452)))</f>
        <v/>
      </c>
      <c r="U2491" s="95">
        <f>IF($L$2452,$T2491,$N2491)</f>
        <v/>
      </c>
    </row>
    <row r="2492">
      <c r="A2492" s="90" t="n">
        <v>38</v>
      </c>
      <c r="B2492" s="91">
        <f>EDATE($B2491,1)</f>
        <v/>
      </c>
      <c r="C2492" s="92">
        <f>EOMONTH($B2492,0)</f>
        <v/>
      </c>
      <c r="D2492" s="87">
        <f>$C2492-$B2492+1</f>
        <v/>
      </c>
      <c r="E2492" s="87">
        <f>MONTH($B2492)</f>
        <v/>
      </c>
      <c r="F2492" s="93">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$N2492*IF($O$2452=1,$O2492/$F$2452,1)</f>
        <v/>
      </c>
      <c r="T2492" s="95">
        <f>IF($G2492&lt;nr_MStartP,$S2492,$T2480*(1+IF($G2492&lt;nr_MStartP1,$M$2452,$N$2452)))</f>
        <v/>
      </c>
      <c r="U2492" s="95">
        <f>IF($L$2452,$T2492,$N2492)</f>
        <v/>
      </c>
    </row>
    <row r="2493">
      <c r="A2493" s="90" t="n">
        <v>39</v>
      </c>
      <c r="B2493" s="91">
        <f>EDATE($B2492,1)</f>
        <v/>
      </c>
      <c r="C2493" s="92">
        <f>EOMONTH($B2493,0)</f>
        <v/>
      </c>
      <c r="D2493" s="87">
        <f>$C2493-$B2493+1</f>
        <v/>
      </c>
      <c r="E2493" s="87">
        <f>MONTH($B2493)</f>
        <v/>
      </c>
      <c r="F2493" s="93">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$N2493*IF($O$2452=1,$O2493/$F$2452,1)</f>
        <v/>
      </c>
      <c r="T2493" s="95">
        <f>IF($G2493&lt;nr_MStartP,$S2493,$T2481*(1+IF($G2493&lt;nr_MStartP1,$M$2452,$N$2452)))</f>
        <v/>
      </c>
      <c r="U2493" s="95">
        <f>IF($L$2452,$T2493,$N2493)</f>
        <v/>
      </c>
    </row>
    <row r="2494">
      <c r="A2494" s="90" t="n">
        <v>40</v>
      </c>
      <c r="B2494" s="91">
        <f>EDATE($B2493,1)</f>
        <v/>
      </c>
      <c r="C2494" s="92">
        <f>EOMONTH($B2494,0)</f>
        <v/>
      </c>
      <c r="D2494" s="87">
        <f>$C2494-$B2494+1</f>
        <v/>
      </c>
      <c r="E2494" s="87">
        <f>MONTH($B2494)</f>
        <v/>
      </c>
      <c r="F2494" s="93">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$N2494*IF($O$2452=1,$O2494/$F$2452,1)</f>
        <v/>
      </c>
      <c r="T2494" s="95">
        <f>IF($G2494&lt;nr_MStartP,$S2494,$T2482*(1+IF($G2494&lt;nr_MStartP1,$M$2452,$N$2452)))</f>
        <v/>
      </c>
      <c r="U2494" s="95">
        <f>IF($L$2452,$T2494,$N2494)</f>
        <v/>
      </c>
    </row>
    <row r="2495">
      <c r="A2495" s="90" t="n">
        <v>41</v>
      </c>
      <c r="B2495" s="91">
        <f>EDATE($B2494,1)</f>
        <v/>
      </c>
      <c r="C2495" s="92">
        <f>EOMONTH($B2495,0)</f>
        <v/>
      </c>
      <c r="D2495" s="87">
        <f>$C2495-$B2495+1</f>
        <v/>
      </c>
      <c r="E2495" s="87">
        <f>MONTH($B2495)</f>
        <v/>
      </c>
      <c r="F2495" s="93">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$N2495*IF($O$2452=1,$O2495/$F$2452,1)</f>
        <v/>
      </c>
      <c r="T2495" s="95">
        <f>IF($G2495&lt;nr_MStartP,$S2495,$T2483*(1+IF($G2495&lt;nr_MStartP1,$M$2452,$N$2452)))</f>
        <v/>
      </c>
      <c r="U2495" s="95">
        <f>IF($L$2452,$T2495,$N2495)</f>
        <v/>
      </c>
    </row>
    <row r="2496">
      <c r="A2496" s="90" t="n">
        <v>42</v>
      </c>
      <c r="B2496" s="91">
        <f>EDATE($B2495,1)</f>
        <v/>
      </c>
      <c r="C2496" s="92">
        <f>EOMONTH($B2496,0)</f>
        <v/>
      </c>
      <c r="D2496" s="87">
        <f>$C2496-$B2496+1</f>
        <v/>
      </c>
      <c r="E2496" s="87">
        <f>MONTH($B2496)</f>
        <v/>
      </c>
      <c r="F2496" s="93">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$N2496*IF($O$2452=1,$O2496/$F$2452,1)</f>
        <v/>
      </c>
      <c r="T2496" s="95">
        <f>IF($G2496&lt;nr_MStartP,$S2496,$T2484*(1+IF($G2496&lt;nr_MStartP1,$M$2452,$N$2452)))</f>
        <v/>
      </c>
      <c r="U2496" s="95">
        <f>IF($L$2452,$T2496,$N2496)</f>
        <v/>
      </c>
    </row>
    <row r="2497">
      <c r="A2497" s="90" t="n">
        <v>43</v>
      </c>
      <c r="B2497" s="91">
        <f>EDATE($B2496,1)</f>
        <v/>
      </c>
      <c r="C2497" s="92">
        <f>EOMONTH($B2497,0)</f>
        <v/>
      </c>
      <c r="D2497" s="87">
        <f>$C2497-$B2497+1</f>
        <v/>
      </c>
      <c r="E2497" s="87">
        <f>MONTH($B2497)</f>
        <v/>
      </c>
      <c r="F2497" s="93">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$N2497*IF($O$2452=1,$O2497/$F$2452,1)</f>
        <v/>
      </c>
      <c r="T2497" s="95">
        <f>IF($G2497&lt;nr_MStartP,$S2497,$T2485*(1+IF($G2497&lt;nr_MStartP1,$M$2452,$N$2452)))</f>
        <v/>
      </c>
      <c r="U2497" s="95">
        <f>IF($L$2452,$T2497,$N2497)</f>
        <v/>
      </c>
    </row>
    <row r="2498">
      <c r="A2498" s="90" t="n">
        <v>44</v>
      </c>
      <c r="B2498" s="91">
        <f>EDATE($B2497,1)</f>
        <v/>
      </c>
      <c r="C2498" s="92">
        <f>EOMONTH($B2498,0)</f>
        <v/>
      </c>
      <c r="D2498" s="87">
        <f>$C2498-$B2498+1</f>
        <v/>
      </c>
      <c r="E2498" s="87">
        <f>MONTH($B2498)</f>
        <v/>
      </c>
      <c r="F2498" s="93">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$N2498*IF($O$2452=1,$O2498/$F$2452,1)</f>
        <v/>
      </c>
      <c r="T2498" s="95">
        <f>IF($G2498&lt;nr_MStartP,$S2498,$T2486*(1+IF($G2498&lt;nr_MStartP1,$M$2452,$N$2452)))</f>
        <v/>
      </c>
      <c r="U2498" s="95">
        <f>IF($L$2452,$T2498,$N2498)</f>
        <v/>
      </c>
    </row>
    <row r="2499">
      <c r="A2499" s="90" t="n">
        <v>45</v>
      </c>
      <c r="B2499" s="91">
        <f>EDATE($B2498,1)</f>
        <v/>
      </c>
      <c r="C2499" s="92">
        <f>EOMONTH($B2499,0)</f>
        <v/>
      </c>
      <c r="D2499" s="87">
        <f>$C2499-$B2499+1</f>
        <v/>
      </c>
      <c r="E2499" s="87">
        <f>MONTH($B2499)</f>
        <v/>
      </c>
      <c r="F2499" s="93">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$N2499*IF($O$2452=1,$O2499/$F$2452,1)</f>
        <v/>
      </c>
      <c r="T2499" s="95">
        <f>IF($G2499&lt;nr_MStartP,$S2499,$T2487*(1+IF($G2499&lt;nr_MStartP1,$M$2452,$N$2452)))</f>
        <v/>
      </c>
      <c r="U2499" s="95">
        <f>IF($L$2452,$T2499,$N2499)</f>
        <v/>
      </c>
    </row>
    <row r="2500">
      <c r="A2500" s="90" t="n">
        <v>46</v>
      </c>
      <c r="B2500" s="91">
        <f>EDATE($B2499,1)</f>
        <v/>
      </c>
      <c r="C2500" s="92">
        <f>EOMONTH($B2500,0)</f>
        <v/>
      </c>
      <c r="D2500" s="87">
        <f>$C2500-$B2500+1</f>
        <v/>
      </c>
      <c r="E2500" s="87">
        <f>MONTH($B2500)</f>
        <v/>
      </c>
      <c r="F2500" s="93">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$N2500*IF($O$2452=1,$O2500/$F$2452,1)</f>
        <v/>
      </c>
      <c r="T2500" s="95">
        <f>IF($G2500&lt;nr_MStartP,$S2500,$T2488*(1+IF($G2500&lt;nr_MStartP1,$M$2452,$N$2452)))</f>
        <v/>
      </c>
      <c r="U2500" s="95">
        <f>IF($L$2452,$T2500,$N2500)</f>
        <v/>
      </c>
    </row>
    <row r="2501">
      <c r="A2501" s="90" t="n">
        <v>47</v>
      </c>
      <c r="B2501" s="91">
        <f>EDATE($B2500,1)</f>
        <v/>
      </c>
      <c r="C2501" s="92">
        <f>EOMONTH($B2501,0)</f>
        <v/>
      </c>
      <c r="D2501" s="87">
        <f>$C2501-$B2501+1</f>
        <v/>
      </c>
      <c r="E2501" s="87">
        <f>MONTH($B2501)</f>
        <v/>
      </c>
      <c r="F2501" s="93">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$N2501*IF($O$2452=1,$O2501/$F$2452,1)</f>
        <v/>
      </c>
      <c r="T2501" s="95">
        <f>IF($G2501&lt;nr_MStartP,$S2501,$T2489*(1+IF($G2501&lt;nr_MStartP1,$M$2452,$N$2452)))</f>
        <v/>
      </c>
      <c r="U2501" s="95">
        <f>IF($L$2452,$T2501,$N2501)</f>
        <v/>
      </c>
    </row>
    <row r="2502">
      <c r="A2502" s="90" t="n">
        <v>48</v>
      </c>
      <c r="B2502" s="91">
        <f>EDATE($B2501,1)</f>
        <v/>
      </c>
      <c r="C2502" s="92">
        <f>EOMONTH($B2502,0)</f>
        <v/>
      </c>
      <c r="D2502" s="87">
        <f>$C2502-$B2502+1</f>
        <v/>
      </c>
      <c r="E2502" s="87">
        <f>MONTH($B2502)</f>
        <v/>
      </c>
      <c r="F2502" s="93">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$N2502*IF($O$2452=1,$O2502/$F$2452,1)</f>
        <v/>
      </c>
      <c r="T2502" s="95">
        <f>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04">
        <f>SUMPRODUCT($H$2455:$H$2502,$Q$2455:$Q$2502,$O$2455:$O$2502)/SUMPRODUCT($H$2455:$H$2502,$Q$2455:$Q$2502)</f>
        <v/>
      </c>
      <c r="G2503" s="20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04">
        <f>IF(N(INDEX(lr_mind,46))=0,1,INDEX(lr_mind,46))</f>
        <v/>
      </c>
      <c r="G2506" s="204">
        <f>IF(N(INDEX(lr_m0,46))=0,1,INDEX(lr_m0,46))</f>
        <v/>
      </c>
      <c r="H2506" s="73">
        <f>IF(N(INDEX(lr_m0asof,46))=0,DATE(nr_PlanYear-1,10,1),INDEX(lr_m0asof,46))</f>
        <v/>
      </c>
      <c r="I2506" s="204">
        <f>IF(N(INDEX(lr_m1,46))=0,1,INDEX(lr_m1,46))</f>
        <v/>
      </c>
      <c r="J2506" s="204">
        <f>INDEX(lr_mprior,46)</f>
        <v/>
      </c>
      <c r="K2506" s="20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93">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$N2509*IF($O$2506=1,$O2509/$F$2506,1)</f>
        <v/>
      </c>
      <c r="T2509" s="95">
        <f>IF($G2509&lt;nr_MStartP,$S2509,$T2497*(1+IF($G2509&lt;nr_MStartP1,$M$2506,$N$2506)))</f>
        <v/>
      </c>
      <c r="U2509" s="95">
        <f>IF($L$2506,$T2509,$N2509)</f>
        <v/>
      </c>
    </row>
    <row r="2510">
      <c r="A2510" s="90" t="n">
        <v>2</v>
      </c>
      <c r="B2510" s="91">
        <f>EDATE($B2509,1)</f>
        <v/>
      </c>
      <c r="C2510" s="92">
        <f>EOMONTH($B2510,0)</f>
        <v/>
      </c>
      <c r="D2510" s="87">
        <f>$C2510-$B2510+1</f>
        <v/>
      </c>
      <c r="E2510" s="87">
        <f>MONTH($B2510)</f>
        <v/>
      </c>
      <c r="F2510" s="93">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$N2510*IF($O$2506=1,$O2510/$F$2506,1)</f>
        <v/>
      </c>
      <c r="T2510" s="95">
        <f>IF($G2510&lt;nr_MStartP,$S2510,$T2498*(1+IF($G2510&lt;nr_MStartP1,$M$2506,$N$2506)))</f>
        <v/>
      </c>
      <c r="U2510" s="95">
        <f>IF($L$2506,$T2510,$N2510)</f>
        <v/>
      </c>
    </row>
    <row r="2511">
      <c r="A2511" s="90" t="n">
        <v>3</v>
      </c>
      <c r="B2511" s="91">
        <f>EDATE($B2510,1)</f>
        <v/>
      </c>
      <c r="C2511" s="92">
        <f>EOMONTH($B2511,0)</f>
        <v/>
      </c>
      <c r="D2511" s="87">
        <f>$C2511-$B2511+1</f>
        <v/>
      </c>
      <c r="E2511" s="87">
        <f>MONTH($B2511)</f>
        <v/>
      </c>
      <c r="F2511" s="93">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$N2511*IF($O$2506=1,$O2511/$F$2506,1)</f>
        <v/>
      </c>
      <c r="T2511" s="95">
        <f>IF($G2511&lt;nr_MStartP,$S2511,$T2499*(1+IF($G2511&lt;nr_MStartP1,$M$2506,$N$2506)))</f>
        <v/>
      </c>
      <c r="U2511" s="95">
        <f>IF($L$2506,$T2511,$N2511)</f>
        <v/>
      </c>
    </row>
    <row r="2512">
      <c r="A2512" s="90" t="n">
        <v>4</v>
      </c>
      <c r="B2512" s="91">
        <f>EDATE($B2511,1)</f>
        <v/>
      </c>
      <c r="C2512" s="92">
        <f>EOMONTH($B2512,0)</f>
        <v/>
      </c>
      <c r="D2512" s="87">
        <f>$C2512-$B2512+1</f>
        <v/>
      </c>
      <c r="E2512" s="87">
        <f>MONTH($B2512)</f>
        <v/>
      </c>
      <c r="F2512" s="93">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$N2512*IF($O$2506=1,$O2512/$F$2506,1)</f>
        <v/>
      </c>
      <c r="T2512" s="95">
        <f>IF($G2512&lt;nr_MStartP,$S2512,$T2500*(1+IF($G2512&lt;nr_MStartP1,$M$2506,$N$2506)))</f>
        <v/>
      </c>
      <c r="U2512" s="95">
        <f>IF($L$2506,$T2512,$N2512)</f>
        <v/>
      </c>
    </row>
    <row r="2513">
      <c r="A2513" s="90" t="n">
        <v>5</v>
      </c>
      <c r="B2513" s="91">
        <f>EDATE($B2512,1)</f>
        <v/>
      </c>
      <c r="C2513" s="92">
        <f>EOMONTH($B2513,0)</f>
        <v/>
      </c>
      <c r="D2513" s="87">
        <f>$C2513-$B2513+1</f>
        <v/>
      </c>
      <c r="E2513" s="87">
        <f>MONTH($B2513)</f>
        <v/>
      </c>
      <c r="F2513" s="93">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$N2513*IF($O$2506=1,$O2513/$F$2506,1)</f>
        <v/>
      </c>
      <c r="T2513" s="95">
        <f>IF($G2513&lt;nr_MStartP,$S2513,$T2501*(1+IF($G2513&lt;nr_MStartP1,$M$2506,$N$2506)))</f>
        <v/>
      </c>
      <c r="U2513" s="95">
        <f>IF($L$2506,$T2513,$N2513)</f>
        <v/>
      </c>
    </row>
    <row r="2514">
      <c r="A2514" s="90" t="n">
        <v>6</v>
      </c>
      <c r="B2514" s="91">
        <f>EDATE($B2513,1)</f>
        <v/>
      </c>
      <c r="C2514" s="92">
        <f>EOMONTH($B2514,0)</f>
        <v/>
      </c>
      <c r="D2514" s="87">
        <f>$C2514-$B2514+1</f>
        <v/>
      </c>
      <c r="E2514" s="87">
        <f>MONTH($B2514)</f>
        <v/>
      </c>
      <c r="F2514" s="93">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$N2514*IF($O$2506=1,$O2514/$F$2506,1)</f>
        <v/>
      </c>
      <c r="T2514" s="95">
        <f>IF($G2514&lt;nr_MStartP,$S2514,$T2502*(1+IF($G2514&lt;nr_MStartP1,$M$2506,$N$2506)))</f>
        <v/>
      </c>
      <c r="U2514" s="95">
        <f>IF($L$2506,$T2514,$N2514)</f>
        <v/>
      </c>
    </row>
    <row r="2515">
      <c r="A2515" s="90" t="n">
        <v>7</v>
      </c>
      <c r="B2515" s="91">
        <f>EDATE($B2514,1)</f>
        <v/>
      </c>
      <c r="C2515" s="92">
        <f>EOMONTH($B2515,0)</f>
        <v/>
      </c>
      <c r="D2515" s="87">
        <f>$C2515-$B2515+1</f>
        <v/>
      </c>
      <c r="E2515" s="87">
        <f>MONTH($B2515)</f>
        <v/>
      </c>
      <c r="F2515" s="93">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$N2515*IF($O$2506=1,$O2515/$F$2506,1)</f>
        <v/>
      </c>
      <c r="T2515" s="95">
        <f>IF($G2515&lt;nr_MStartP,$S2515,$T2503*(1+IF($G2515&lt;nr_MStartP1,$M$2506,$N$2506)))</f>
        <v/>
      </c>
      <c r="U2515" s="95">
        <f>IF($L$2506,$T2515,$N2515)</f>
        <v/>
      </c>
    </row>
    <row r="2516">
      <c r="A2516" s="90" t="n">
        <v>8</v>
      </c>
      <c r="B2516" s="91">
        <f>EDATE($B2515,1)</f>
        <v/>
      </c>
      <c r="C2516" s="92">
        <f>EOMONTH($B2516,0)</f>
        <v/>
      </c>
      <c r="D2516" s="87">
        <f>$C2516-$B2516+1</f>
        <v/>
      </c>
      <c r="E2516" s="87">
        <f>MONTH($B2516)</f>
        <v/>
      </c>
      <c r="F2516" s="93">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$N2516*IF($O$2506=1,$O2516/$F$2506,1)</f>
        <v/>
      </c>
      <c r="T2516" s="95">
        <f>IF($G2516&lt;nr_MStartP,$S2516,$T2504*(1+IF($G2516&lt;nr_MStartP1,$M$2506,$N$2506)))</f>
        <v/>
      </c>
      <c r="U2516" s="95">
        <f>IF($L$2506,$T2516,$N2516)</f>
        <v/>
      </c>
    </row>
    <row r="2517">
      <c r="A2517" s="90" t="n">
        <v>9</v>
      </c>
      <c r="B2517" s="91">
        <f>EDATE($B2516,1)</f>
        <v/>
      </c>
      <c r="C2517" s="92">
        <f>EOMONTH($B2517,0)</f>
        <v/>
      </c>
      <c r="D2517" s="87">
        <f>$C2517-$B2517+1</f>
        <v/>
      </c>
      <c r="E2517" s="87">
        <f>MONTH($B2517)</f>
        <v/>
      </c>
      <c r="F2517" s="93">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$N2517*IF($O$2506=1,$O2517/$F$2506,1)</f>
        <v/>
      </c>
      <c r="T2517" s="95">
        <f>IF($G2517&lt;nr_MStartP,$S2517,$T2505*(1+IF($G2517&lt;nr_MStartP1,$M$2506,$N$2506)))</f>
        <v/>
      </c>
      <c r="U2517" s="95">
        <f>IF($L$2506,$T2517,$N2517)</f>
        <v/>
      </c>
    </row>
    <row r="2518">
      <c r="A2518" s="90" t="n">
        <v>10</v>
      </c>
      <c r="B2518" s="91">
        <f>EDATE($B2517,1)</f>
        <v/>
      </c>
      <c r="C2518" s="92">
        <f>EOMONTH($B2518,0)</f>
        <v/>
      </c>
      <c r="D2518" s="87">
        <f>$C2518-$B2518+1</f>
        <v/>
      </c>
      <c r="E2518" s="87">
        <f>MONTH($B2518)</f>
        <v/>
      </c>
      <c r="F2518" s="93">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$N2518*IF($O$2506=1,$O2518/$F$2506,1)</f>
        <v/>
      </c>
      <c r="T2518" s="95">
        <f>IF($G2518&lt;nr_MStartP,$S2518,$T2506*(1+IF($G2518&lt;nr_MStartP1,$M$2506,$N$2506)))</f>
        <v/>
      </c>
      <c r="U2518" s="95">
        <f>IF($L$2506,$T2518,$N2518)</f>
        <v/>
      </c>
    </row>
    <row r="2519">
      <c r="A2519" s="90" t="n">
        <v>11</v>
      </c>
      <c r="B2519" s="91">
        <f>EDATE($B2518,1)</f>
        <v/>
      </c>
      <c r="C2519" s="92">
        <f>EOMONTH($B2519,0)</f>
        <v/>
      </c>
      <c r="D2519" s="87">
        <f>$C2519-$B2519+1</f>
        <v/>
      </c>
      <c r="E2519" s="87">
        <f>MONTH($B2519)</f>
        <v/>
      </c>
      <c r="F2519" s="93">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$N2519*IF($O$2506=1,$O2519/$F$2506,1)</f>
        <v/>
      </c>
      <c r="T2519" s="95">
        <f>IF($G2519&lt;nr_MStartP,$S2519,$T2507*(1+IF($G2519&lt;nr_MStartP1,$M$2506,$N$2506)))</f>
        <v/>
      </c>
      <c r="U2519" s="95">
        <f>IF($L$2506,$T2519,$N2519)</f>
        <v/>
      </c>
    </row>
    <row r="2520">
      <c r="A2520" s="90" t="n">
        <v>12</v>
      </c>
      <c r="B2520" s="91">
        <f>EDATE($B2519,1)</f>
        <v/>
      </c>
      <c r="C2520" s="92">
        <f>EOMONTH($B2520,0)</f>
        <v/>
      </c>
      <c r="D2520" s="87">
        <f>$C2520-$B2520+1</f>
        <v/>
      </c>
      <c r="E2520" s="87">
        <f>MONTH($B2520)</f>
        <v/>
      </c>
      <c r="F2520" s="93">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$N2520*IF($O$2506=1,$O2520/$F$2506,1)</f>
        <v/>
      </c>
      <c r="T2520" s="95">
        <f>IF($G2520&lt;nr_MStartP,$S2520,$T2508*(1+IF($G2520&lt;nr_MStartP1,$M$2506,$N$2506)))</f>
        <v/>
      </c>
      <c r="U2520" s="95">
        <f>IF($L$2506,$T2520,$N2520)</f>
        <v/>
      </c>
    </row>
    <row r="2521">
      <c r="A2521" s="90" t="n">
        <v>13</v>
      </c>
      <c r="B2521" s="91">
        <f>EDATE($B2520,1)</f>
        <v/>
      </c>
      <c r="C2521" s="92">
        <f>EOMONTH($B2521,0)</f>
        <v/>
      </c>
      <c r="D2521" s="87">
        <f>$C2521-$B2521+1</f>
        <v/>
      </c>
      <c r="E2521" s="87">
        <f>MONTH($B2521)</f>
        <v/>
      </c>
      <c r="F2521" s="93">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$N2521*IF($O$2506=1,$O2521/$F$2506,1)</f>
        <v/>
      </c>
      <c r="T2521" s="95">
        <f>IF($G2521&lt;nr_MStartP,$S2521,$T2509*(1+IF($G2521&lt;nr_MStartP1,$M$2506,$N$2506)))</f>
        <v/>
      </c>
      <c r="U2521" s="95">
        <f>IF($L$2506,$T2521,$N2521)</f>
        <v/>
      </c>
    </row>
    <row r="2522">
      <c r="A2522" s="90" t="n">
        <v>14</v>
      </c>
      <c r="B2522" s="91">
        <f>EDATE($B2521,1)</f>
        <v/>
      </c>
      <c r="C2522" s="92">
        <f>EOMONTH($B2522,0)</f>
        <v/>
      </c>
      <c r="D2522" s="87">
        <f>$C2522-$B2522+1</f>
        <v/>
      </c>
      <c r="E2522" s="87">
        <f>MONTH($B2522)</f>
        <v/>
      </c>
      <c r="F2522" s="93">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$N2522*IF($O$2506=1,$O2522/$F$2506,1)</f>
        <v/>
      </c>
      <c r="T2522" s="95">
        <f>IF($G2522&lt;nr_MStartP,$S2522,$T2510*(1+IF($G2522&lt;nr_MStartP1,$M$2506,$N$2506)))</f>
        <v/>
      </c>
      <c r="U2522" s="95">
        <f>IF($L$2506,$T2522,$N2522)</f>
        <v/>
      </c>
    </row>
    <row r="2523">
      <c r="A2523" s="90" t="n">
        <v>15</v>
      </c>
      <c r="B2523" s="91">
        <f>EDATE($B2522,1)</f>
        <v/>
      </c>
      <c r="C2523" s="92">
        <f>EOMONTH($B2523,0)</f>
        <v/>
      </c>
      <c r="D2523" s="87">
        <f>$C2523-$B2523+1</f>
        <v/>
      </c>
      <c r="E2523" s="87">
        <f>MONTH($B2523)</f>
        <v/>
      </c>
      <c r="F2523" s="93">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$N2523*IF($O$2506=1,$O2523/$F$2506,1)</f>
        <v/>
      </c>
      <c r="T2523" s="95">
        <f>IF($G2523&lt;nr_MStartP,$S2523,$T2511*(1+IF($G2523&lt;nr_MStartP1,$M$2506,$N$2506)))</f>
        <v/>
      </c>
      <c r="U2523" s="95">
        <f>IF($L$2506,$T2523,$N2523)</f>
        <v/>
      </c>
    </row>
    <row r="2524">
      <c r="A2524" s="90" t="n">
        <v>16</v>
      </c>
      <c r="B2524" s="91">
        <f>EDATE($B2523,1)</f>
        <v/>
      </c>
      <c r="C2524" s="92">
        <f>EOMONTH($B2524,0)</f>
        <v/>
      </c>
      <c r="D2524" s="87">
        <f>$C2524-$B2524+1</f>
        <v/>
      </c>
      <c r="E2524" s="87">
        <f>MONTH($B2524)</f>
        <v/>
      </c>
      <c r="F2524" s="93">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$N2524*IF($O$2506=1,$O2524/$F$2506,1)</f>
        <v/>
      </c>
      <c r="T2524" s="95">
        <f>IF($G2524&lt;nr_MStartP,$S2524,$T2512*(1+IF($G2524&lt;nr_MStartP1,$M$2506,$N$2506)))</f>
        <v/>
      </c>
      <c r="U2524" s="95">
        <f>IF($L$2506,$T2524,$N2524)</f>
        <v/>
      </c>
    </row>
    <row r="2525">
      <c r="A2525" s="90" t="n">
        <v>17</v>
      </c>
      <c r="B2525" s="91">
        <f>EDATE($B2524,1)</f>
        <v/>
      </c>
      <c r="C2525" s="92">
        <f>EOMONTH($B2525,0)</f>
        <v/>
      </c>
      <c r="D2525" s="87">
        <f>$C2525-$B2525+1</f>
        <v/>
      </c>
      <c r="E2525" s="87">
        <f>MONTH($B2525)</f>
        <v/>
      </c>
      <c r="F2525" s="93">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$N2525*IF($O$2506=1,$O2525/$F$2506,1)</f>
        <v/>
      </c>
      <c r="T2525" s="95">
        <f>IF($G2525&lt;nr_MStartP,$S2525,$T2513*(1+IF($G2525&lt;nr_MStartP1,$M$2506,$N$2506)))</f>
        <v/>
      </c>
      <c r="U2525" s="95">
        <f>IF($L$2506,$T2525,$N2525)</f>
        <v/>
      </c>
    </row>
    <row r="2526">
      <c r="A2526" s="90" t="n">
        <v>18</v>
      </c>
      <c r="B2526" s="91">
        <f>EDATE($B2525,1)</f>
        <v/>
      </c>
      <c r="C2526" s="92">
        <f>EOMONTH($B2526,0)</f>
        <v/>
      </c>
      <c r="D2526" s="87">
        <f>$C2526-$B2526+1</f>
        <v/>
      </c>
      <c r="E2526" s="87">
        <f>MONTH($B2526)</f>
        <v/>
      </c>
      <c r="F2526" s="93">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$N2526*IF($O$2506=1,$O2526/$F$2506,1)</f>
        <v/>
      </c>
      <c r="T2526" s="95">
        <f>IF($G2526&lt;nr_MStartP,$S2526,$T2514*(1+IF($G2526&lt;nr_MStartP1,$M$2506,$N$2506)))</f>
        <v/>
      </c>
      <c r="U2526" s="95">
        <f>IF($L$2506,$T2526,$N2526)</f>
        <v/>
      </c>
    </row>
    <row r="2527">
      <c r="A2527" s="90" t="n">
        <v>19</v>
      </c>
      <c r="B2527" s="91">
        <f>EDATE($B2526,1)</f>
        <v/>
      </c>
      <c r="C2527" s="92">
        <f>EOMONTH($B2527,0)</f>
        <v/>
      </c>
      <c r="D2527" s="87">
        <f>$C2527-$B2527+1</f>
        <v/>
      </c>
      <c r="E2527" s="87">
        <f>MONTH($B2527)</f>
        <v/>
      </c>
      <c r="F2527" s="93">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$N2527*IF($O$2506=1,$O2527/$F$2506,1)</f>
        <v/>
      </c>
      <c r="T2527" s="95">
        <f>IF($G2527&lt;nr_MStartP,$S2527,$T2515*(1+IF($G2527&lt;nr_MStartP1,$M$2506,$N$2506)))</f>
        <v/>
      </c>
      <c r="U2527" s="95">
        <f>IF($L$2506,$T2527,$N2527)</f>
        <v/>
      </c>
    </row>
    <row r="2528">
      <c r="A2528" s="90" t="n">
        <v>20</v>
      </c>
      <c r="B2528" s="91">
        <f>EDATE($B2527,1)</f>
        <v/>
      </c>
      <c r="C2528" s="92">
        <f>EOMONTH($B2528,0)</f>
        <v/>
      </c>
      <c r="D2528" s="87">
        <f>$C2528-$B2528+1</f>
        <v/>
      </c>
      <c r="E2528" s="87">
        <f>MONTH($B2528)</f>
        <v/>
      </c>
      <c r="F2528" s="93">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$N2528*IF($O$2506=1,$O2528/$F$2506,1)</f>
        <v/>
      </c>
      <c r="T2528" s="95">
        <f>IF($G2528&lt;nr_MStartP,$S2528,$T2516*(1+IF($G2528&lt;nr_MStartP1,$M$2506,$N$2506)))</f>
        <v/>
      </c>
      <c r="U2528" s="95">
        <f>IF($L$2506,$T2528,$N2528)</f>
        <v/>
      </c>
    </row>
    <row r="2529">
      <c r="A2529" s="90" t="n">
        <v>21</v>
      </c>
      <c r="B2529" s="91">
        <f>EDATE($B2528,1)</f>
        <v/>
      </c>
      <c r="C2529" s="92">
        <f>EOMONTH($B2529,0)</f>
        <v/>
      </c>
      <c r="D2529" s="87">
        <f>$C2529-$B2529+1</f>
        <v/>
      </c>
      <c r="E2529" s="87">
        <f>MONTH($B2529)</f>
        <v/>
      </c>
      <c r="F2529" s="93">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$N2529*IF($O$2506=1,$O2529/$F$2506,1)</f>
        <v/>
      </c>
      <c r="T2529" s="95">
        <f>IF($G2529&lt;nr_MStartP,$S2529,$T2517*(1+IF($G2529&lt;nr_MStartP1,$M$2506,$N$2506)))</f>
        <v/>
      </c>
      <c r="U2529" s="95">
        <f>IF($L$2506,$T2529,$N2529)</f>
        <v/>
      </c>
    </row>
    <row r="2530">
      <c r="A2530" s="90" t="n">
        <v>22</v>
      </c>
      <c r="B2530" s="91">
        <f>EDATE($B2529,1)</f>
        <v/>
      </c>
      <c r="C2530" s="92">
        <f>EOMONTH($B2530,0)</f>
        <v/>
      </c>
      <c r="D2530" s="87">
        <f>$C2530-$B2530+1</f>
        <v/>
      </c>
      <c r="E2530" s="87">
        <f>MONTH($B2530)</f>
        <v/>
      </c>
      <c r="F2530" s="93">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$N2530*IF($O$2506=1,$O2530/$F$2506,1)</f>
        <v/>
      </c>
      <c r="T2530" s="95">
        <f>IF($G2530&lt;nr_MStartP,$S2530,$T2518*(1+IF($G2530&lt;nr_MStartP1,$M$2506,$N$2506)))</f>
        <v/>
      </c>
      <c r="U2530" s="95">
        <f>IF($L$2506,$T2530,$N2530)</f>
        <v/>
      </c>
    </row>
    <row r="2531">
      <c r="A2531" s="90" t="n">
        <v>23</v>
      </c>
      <c r="B2531" s="91">
        <f>EDATE($B2530,1)</f>
        <v/>
      </c>
      <c r="C2531" s="92">
        <f>EOMONTH($B2531,0)</f>
        <v/>
      </c>
      <c r="D2531" s="87">
        <f>$C2531-$B2531+1</f>
        <v/>
      </c>
      <c r="E2531" s="87">
        <f>MONTH($B2531)</f>
        <v/>
      </c>
      <c r="F2531" s="93">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$N2531*IF($O$2506=1,$O2531/$F$2506,1)</f>
        <v/>
      </c>
      <c r="T2531" s="95">
        <f>IF($G2531&lt;nr_MStartP,$S2531,$T2519*(1+IF($G2531&lt;nr_MStartP1,$M$2506,$N$2506)))</f>
        <v/>
      </c>
      <c r="U2531" s="95">
        <f>IF($L$2506,$T2531,$N2531)</f>
        <v/>
      </c>
    </row>
    <row r="2532">
      <c r="A2532" s="90" t="n">
        <v>24</v>
      </c>
      <c r="B2532" s="91">
        <f>EDATE($B2531,1)</f>
        <v/>
      </c>
      <c r="C2532" s="92">
        <f>EOMONTH($B2532,0)</f>
        <v/>
      </c>
      <c r="D2532" s="87">
        <f>$C2532-$B2532+1</f>
        <v/>
      </c>
      <c r="E2532" s="87">
        <f>MONTH($B2532)</f>
        <v/>
      </c>
      <c r="F2532" s="93">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$N2532*IF($O$2506=1,$O2532/$F$2506,1)</f>
        <v/>
      </c>
      <c r="T2532" s="95">
        <f>IF($G2532&lt;nr_MStartP,$S2532,$T2520*(1+IF($G2532&lt;nr_MStartP1,$M$2506,$N$2506)))</f>
        <v/>
      </c>
      <c r="U2532" s="95">
        <f>IF($L$2506,$T2532,$N2532)</f>
        <v/>
      </c>
    </row>
    <row r="2533">
      <c r="A2533" s="90" t="n">
        <v>25</v>
      </c>
      <c r="B2533" s="91">
        <f>EDATE($B2532,1)</f>
        <v/>
      </c>
      <c r="C2533" s="92">
        <f>EOMONTH($B2533,0)</f>
        <v/>
      </c>
      <c r="D2533" s="87">
        <f>$C2533-$B2533+1</f>
        <v/>
      </c>
      <c r="E2533" s="87">
        <f>MONTH($B2533)</f>
        <v/>
      </c>
      <c r="F2533" s="93">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$N2533*IF($O$2506=1,$O2533/$F$2506,1)</f>
        <v/>
      </c>
      <c r="T2533" s="95">
        <f>IF($G2533&lt;nr_MStartP,$S2533,$T2521*(1+IF($G2533&lt;nr_MStartP1,$M$2506,$N$2506)))</f>
        <v/>
      </c>
      <c r="U2533" s="95">
        <f>IF($L$2506,$T2533,$N2533)</f>
        <v/>
      </c>
    </row>
    <row r="2534">
      <c r="A2534" s="90" t="n">
        <v>26</v>
      </c>
      <c r="B2534" s="91">
        <f>EDATE($B2533,1)</f>
        <v/>
      </c>
      <c r="C2534" s="92">
        <f>EOMONTH($B2534,0)</f>
        <v/>
      </c>
      <c r="D2534" s="87">
        <f>$C2534-$B2534+1</f>
        <v/>
      </c>
      <c r="E2534" s="87">
        <f>MONTH($B2534)</f>
        <v/>
      </c>
      <c r="F2534" s="93">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$N2534*IF($O$2506=1,$O2534/$F$2506,1)</f>
        <v/>
      </c>
      <c r="T2534" s="95">
        <f>IF($G2534&lt;nr_MStartP,$S2534,$T2522*(1+IF($G2534&lt;nr_MStartP1,$M$2506,$N$2506)))</f>
        <v/>
      </c>
      <c r="U2534" s="95">
        <f>IF($L$2506,$T2534,$N2534)</f>
        <v/>
      </c>
    </row>
    <row r="2535">
      <c r="A2535" s="90" t="n">
        <v>27</v>
      </c>
      <c r="B2535" s="91">
        <f>EDATE($B2534,1)</f>
        <v/>
      </c>
      <c r="C2535" s="92">
        <f>EOMONTH($B2535,0)</f>
        <v/>
      </c>
      <c r="D2535" s="87">
        <f>$C2535-$B2535+1</f>
        <v/>
      </c>
      <c r="E2535" s="87">
        <f>MONTH($B2535)</f>
        <v/>
      </c>
      <c r="F2535" s="93">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$N2535*IF($O$2506=1,$O2535/$F$2506,1)</f>
        <v/>
      </c>
      <c r="T2535" s="95">
        <f>IF($G2535&lt;nr_MStartP,$S2535,$T2523*(1+IF($G2535&lt;nr_MStartP1,$M$2506,$N$2506)))</f>
        <v/>
      </c>
      <c r="U2535" s="95">
        <f>IF($L$2506,$T2535,$N2535)</f>
        <v/>
      </c>
    </row>
    <row r="2536">
      <c r="A2536" s="90" t="n">
        <v>28</v>
      </c>
      <c r="B2536" s="91">
        <f>EDATE($B2535,1)</f>
        <v/>
      </c>
      <c r="C2536" s="92">
        <f>EOMONTH($B2536,0)</f>
        <v/>
      </c>
      <c r="D2536" s="87">
        <f>$C2536-$B2536+1</f>
        <v/>
      </c>
      <c r="E2536" s="87">
        <f>MONTH($B2536)</f>
        <v/>
      </c>
      <c r="F2536" s="93">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$N2536*IF($O$2506=1,$O2536/$F$2506,1)</f>
        <v/>
      </c>
      <c r="T2536" s="95">
        <f>IF($G2536&lt;nr_MStartP,$S2536,$T2524*(1+IF($G2536&lt;nr_MStartP1,$M$2506,$N$2506)))</f>
        <v/>
      </c>
      <c r="U2536" s="95">
        <f>IF($L$2506,$T2536,$N2536)</f>
        <v/>
      </c>
    </row>
    <row r="2537">
      <c r="A2537" s="90" t="n">
        <v>29</v>
      </c>
      <c r="B2537" s="91">
        <f>EDATE($B2536,1)</f>
        <v/>
      </c>
      <c r="C2537" s="92">
        <f>EOMONTH($B2537,0)</f>
        <v/>
      </c>
      <c r="D2537" s="87">
        <f>$C2537-$B2537+1</f>
        <v/>
      </c>
      <c r="E2537" s="87">
        <f>MONTH($B2537)</f>
        <v/>
      </c>
      <c r="F2537" s="93">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$N2537*IF($O$2506=1,$O2537/$F$2506,1)</f>
        <v/>
      </c>
      <c r="T2537" s="95">
        <f>IF($G2537&lt;nr_MStartP,$S2537,$T2525*(1+IF($G2537&lt;nr_MStartP1,$M$2506,$N$2506)))</f>
        <v/>
      </c>
      <c r="U2537" s="95">
        <f>IF($L$2506,$T2537,$N2537)</f>
        <v/>
      </c>
    </row>
    <row r="2538">
      <c r="A2538" s="90" t="n">
        <v>30</v>
      </c>
      <c r="B2538" s="91">
        <f>EDATE($B2537,1)</f>
        <v/>
      </c>
      <c r="C2538" s="92">
        <f>EOMONTH($B2538,0)</f>
        <v/>
      </c>
      <c r="D2538" s="87">
        <f>$C2538-$B2538+1</f>
        <v/>
      </c>
      <c r="E2538" s="87">
        <f>MONTH($B2538)</f>
        <v/>
      </c>
      <c r="F2538" s="93">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$N2538*IF($O$2506=1,$O2538/$F$2506,1)</f>
        <v/>
      </c>
      <c r="T2538" s="95">
        <f>IF($G2538&lt;nr_MStartP,$S2538,$T2526*(1+IF($G2538&lt;nr_MStartP1,$M$2506,$N$2506)))</f>
        <v/>
      </c>
      <c r="U2538" s="95">
        <f>IF($L$2506,$T2538,$N2538)</f>
        <v/>
      </c>
    </row>
    <row r="2539">
      <c r="A2539" s="90" t="n">
        <v>31</v>
      </c>
      <c r="B2539" s="91">
        <f>EDATE($B2538,1)</f>
        <v/>
      </c>
      <c r="C2539" s="92">
        <f>EOMONTH($B2539,0)</f>
        <v/>
      </c>
      <c r="D2539" s="87">
        <f>$C2539-$B2539+1</f>
        <v/>
      </c>
      <c r="E2539" s="87">
        <f>MONTH($B2539)</f>
        <v/>
      </c>
      <c r="F2539" s="93">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$N2539*IF($O$2506=1,$O2539/$F$2506,1)</f>
        <v/>
      </c>
      <c r="T2539" s="95">
        <f>IF($G2539&lt;nr_MStartP,$S2539,$T2527*(1+IF($G2539&lt;nr_MStartP1,$M$2506,$N$2506)))</f>
        <v/>
      </c>
      <c r="U2539" s="95">
        <f>IF($L$2506,$T2539,$N2539)</f>
        <v/>
      </c>
    </row>
    <row r="2540">
      <c r="A2540" s="90" t="n">
        <v>32</v>
      </c>
      <c r="B2540" s="91">
        <f>EDATE($B2539,1)</f>
        <v/>
      </c>
      <c r="C2540" s="92">
        <f>EOMONTH($B2540,0)</f>
        <v/>
      </c>
      <c r="D2540" s="87">
        <f>$C2540-$B2540+1</f>
        <v/>
      </c>
      <c r="E2540" s="87">
        <f>MONTH($B2540)</f>
        <v/>
      </c>
      <c r="F2540" s="93">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$N2540*IF($O$2506=1,$O2540/$F$2506,1)</f>
        <v/>
      </c>
      <c r="T2540" s="95">
        <f>IF($G2540&lt;nr_MStartP,$S2540,$T2528*(1+IF($G2540&lt;nr_MStartP1,$M$2506,$N$2506)))</f>
        <v/>
      </c>
      <c r="U2540" s="95">
        <f>IF($L$2506,$T2540,$N2540)</f>
        <v/>
      </c>
    </row>
    <row r="2541">
      <c r="A2541" s="90" t="n">
        <v>33</v>
      </c>
      <c r="B2541" s="91">
        <f>EDATE($B2540,1)</f>
        <v/>
      </c>
      <c r="C2541" s="92">
        <f>EOMONTH($B2541,0)</f>
        <v/>
      </c>
      <c r="D2541" s="87">
        <f>$C2541-$B2541+1</f>
        <v/>
      </c>
      <c r="E2541" s="87">
        <f>MONTH($B2541)</f>
        <v/>
      </c>
      <c r="F2541" s="93">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$N2541*IF($O$2506=1,$O2541/$F$2506,1)</f>
        <v/>
      </c>
      <c r="T2541" s="95">
        <f>IF($G2541&lt;nr_MStartP,$S2541,$T2529*(1+IF($G2541&lt;nr_MStartP1,$M$2506,$N$2506)))</f>
        <v/>
      </c>
      <c r="U2541" s="95">
        <f>IF($L$2506,$T2541,$N2541)</f>
        <v/>
      </c>
    </row>
    <row r="2542">
      <c r="A2542" s="90" t="n">
        <v>34</v>
      </c>
      <c r="B2542" s="91">
        <f>EDATE($B2541,1)</f>
        <v/>
      </c>
      <c r="C2542" s="92">
        <f>EOMONTH($B2542,0)</f>
        <v/>
      </c>
      <c r="D2542" s="87">
        <f>$C2542-$B2542+1</f>
        <v/>
      </c>
      <c r="E2542" s="87">
        <f>MONTH($B2542)</f>
        <v/>
      </c>
      <c r="F2542" s="93">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$N2542*IF($O$2506=1,$O2542/$F$2506,1)</f>
        <v/>
      </c>
      <c r="T2542" s="95">
        <f>IF($G2542&lt;nr_MStartP,$S2542,$T2530*(1+IF($G2542&lt;nr_MStartP1,$M$2506,$N$2506)))</f>
        <v/>
      </c>
      <c r="U2542" s="95">
        <f>IF($L$2506,$T2542,$N2542)</f>
        <v/>
      </c>
    </row>
    <row r="2543">
      <c r="A2543" s="90" t="n">
        <v>35</v>
      </c>
      <c r="B2543" s="91">
        <f>EDATE($B2542,1)</f>
        <v/>
      </c>
      <c r="C2543" s="92">
        <f>EOMONTH($B2543,0)</f>
        <v/>
      </c>
      <c r="D2543" s="87">
        <f>$C2543-$B2543+1</f>
        <v/>
      </c>
      <c r="E2543" s="87">
        <f>MONTH($B2543)</f>
        <v/>
      </c>
      <c r="F2543" s="93">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$N2543*IF($O$2506=1,$O2543/$F$2506,1)</f>
        <v/>
      </c>
      <c r="T2543" s="95">
        <f>IF($G2543&lt;nr_MStartP,$S2543,$T2531*(1+IF($G2543&lt;nr_MStartP1,$M$2506,$N$2506)))</f>
        <v/>
      </c>
      <c r="U2543" s="95">
        <f>IF($L$2506,$T2543,$N2543)</f>
        <v/>
      </c>
    </row>
    <row r="2544">
      <c r="A2544" s="90" t="n">
        <v>36</v>
      </c>
      <c r="B2544" s="91">
        <f>EDATE($B2543,1)</f>
        <v/>
      </c>
      <c r="C2544" s="92">
        <f>EOMONTH($B2544,0)</f>
        <v/>
      </c>
      <c r="D2544" s="87">
        <f>$C2544-$B2544+1</f>
        <v/>
      </c>
      <c r="E2544" s="87">
        <f>MONTH($B2544)</f>
        <v/>
      </c>
      <c r="F2544" s="93">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$N2544*IF($O$2506=1,$O2544/$F$2506,1)</f>
        <v/>
      </c>
      <c r="T2544" s="95">
        <f>IF($G2544&lt;nr_MStartP,$S2544,$T2532*(1+IF($G2544&lt;nr_MStartP1,$M$2506,$N$2506)))</f>
        <v/>
      </c>
      <c r="U2544" s="95">
        <f>IF($L$2506,$T2544,$N2544)</f>
        <v/>
      </c>
    </row>
    <row r="2545">
      <c r="A2545" s="90" t="n">
        <v>37</v>
      </c>
      <c r="B2545" s="91">
        <f>EDATE($B2544,1)</f>
        <v/>
      </c>
      <c r="C2545" s="92">
        <f>EOMONTH($B2545,0)</f>
        <v/>
      </c>
      <c r="D2545" s="87">
        <f>$C2545-$B2545+1</f>
        <v/>
      </c>
      <c r="E2545" s="87">
        <f>MONTH($B2545)</f>
        <v/>
      </c>
      <c r="F2545" s="93">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$N2545*IF($O$2506=1,$O2545/$F$2506,1)</f>
        <v/>
      </c>
      <c r="T2545" s="95">
        <f>IF($G2545&lt;nr_MStartP,$S2545,$T2533*(1+IF($G2545&lt;nr_MStartP1,$M$2506,$N$2506)))</f>
        <v/>
      </c>
      <c r="U2545" s="95">
        <f>IF($L$2506,$T2545,$N2545)</f>
        <v/>
      </c>
    </row>
    <row r="2546">
      <c r="A2546" s="90" t="n">
        <v>38</v>
      </c>
      <c r="B2546" s="91">
        <f>EDATE($B2545,1)</f>
        <v/>
      </c>
      <c r="C2546" s="92">
        <f>EOMONTH($B2546,0)</f>
        <v/>
      </c>
      <c r="D2546" s="87">
        <f>$C2546-$B2546+1</f>
        <v/>
      </c>
      <c r="E2546" s="87">
        <f>MONTH($B2546)</f>
        <v/>
      </c>
      <c r="F2546" s="93">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$N2546*IF($O$2506=1,$O2546/$F$2506,1)</f>
        <v/>
      </c>
      <c r="T2546" s="95">
        <f>IF($G2546&lt;nr_MStartP,$S2546,$T2534*(1+IF($G2546&lt;nr_MStartP1,$M$2506,$N$2506)))</f>
        <v/>
      </c>
      <c r="U2546" s="95">
        <f>IF($L$2506,$T2546,$N2546)</f>
        <v/>
      </c>
    </row>
    <row r="2547">
      <c r="A2547" s="90" t="n">
        <v>39</v>
      </c>
      <c r="B2547" s="91">
        <f>EDATE($B2546,1)</f>
        <v/>
      </c>
      <c r="C2547" s="92">
        <f>EOMONTH($B2547,0)</f>
        <v/>
      </c>
      <c r="D2547" s="87">
        <f>$C2547-$B2547+1</f>
        <v/>
      </c>
      <c r="E2547" s="87">
        <f>MONTH($B2547)</f>
        <v/>
      </c>
      <c r="F2547" s="93">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$N2547*IF($O$2506=1,$O2547/$F$2506,1)</f>
        <v/>
      </c>
      <c r="T2547" s="95">
        <f>IF($G2547&lt;nr_MStartP,$S2547,$T2535*(1+IF($G2547&lt;nr_MStartP1,$M$2506,$N$2506)))</f>
        <v/>
      </c>
      <c r="U2547" s="95">
        <f>IF($L$2506,$T2547,$N2547)</f>
        <v/>
      </c>
    </row>
    <row r="2548">
      <c r="A2548" s="90" t="n">
        <v>40</v>
      </c>
      <c r="B2548" s="91">
        <f>EDATE($B2547,1)</f>
        <v/>
      </c>
      <c r="C2548" s="92">
        <f>EOMONTH($B2548,0)</f>
        <v/>
      </c>
      <c r="D2548" s="87">
        <f>$C2548-$B2548+1</f>
        <v/>
      </c>
      <c r="E2548" s="87">
        <f>MONTH($B2548)</f>
        <v/>
      </c>
      <c r="F2548" s="93">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$N2548*IF($O$2506=1,$O2548/$F$2506,1)</f>
        <v/>
      </c>
      <c r="T2548" s="95">
        <f>IF($G2548&lt;nr_MStartP,$S2548,$T2536*(1+IF($G2548&lt;nr_MStartP1,$M$2506,$N$2506)))</f>
        <v/>
      </c>
      <c r="U2548" s="95">
        <f>IF($L$2506,$T2548,$N2548)</f>
        <v/>
      </c>
    </row>
    <row r="2549">
      <c r="A2549" s="90" t="n">
        <v>41</v>
      </c>
      <c r="B2549" s="91">
        <f>EDATE($B2548,1)</f>
        <v/>
      </c>
      <c r="C2549" s="92">
        <f>EOMONTH($B2549,0)</f>
        <v/>
      </c>
      <c r="D2549" s="87">
        <f>$C2549-$B2549+1</f>
        <v/>
      </c>
      <c r="E2549" s="87">
        <f>MONTH($B2549)</f>
        <v/>
      </c>
      <c r="F2549" s="93">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$N2549*IF($O$2506=1,$O2549/$F$2506,1)</f>
        <v/>
      </c>
      <c r="T2549" s="95">
        <f>IF($G2549&lt;nr_MStartP,$S2549,$T2537*(1+IF($G2549&lt;nr_MStartP1,$M$2506,$N$2506)))</f>
        <v/>
      </c>
      <c r="U2549" s="95">
        <f>IF($L$2506,$T2549,$N2549)</f>
        <v/>
      </c>
    </row>
    <row r="2550">
      <c r="A2550" s="90" t="n">
        <v>42</v>
      </c>
      <c r="B2550" s="91">
        <f>EDATE($B2549,1)</f>
        <v/>
      </c>
      <c r="C2550" s="92">
        <f>EOMONTH($B2550,0)</f>
        <v/>
      </c>
      <c r="D2550" s="87">
        <f>$C2550-$B2550+1</f>
        <v/>
      </c>
      <c r="E2550" s="87">
        <f>MONTH($B2550)</f>
        <v/>
      </c>
      <c r="F2550" s="93">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$N2550*IF($O$2506=1,$O2550/$F$2506,1)</f>
        <v/>
      </c>
      <c r="T2550" s="95">
        <f>IF($G2550&lt;nr_MStartP,$S2550,$T2538*(1+IF($G2550&lt;nr_MStartP1,$M$2506,$N$2506)))</f>
        <v/>
      </c>
      <c r="U2550" s="95">
        <f>IF($L$2506,$T2550,$N2550)</f>
        <v/>
      </c>
    </row>
    <row r="2551">
      <c r="A2551" s="90" t="n">
        <v>43</v>
      </c>
      <c r="B2551" s="91">
        <f>EDATE($B2550,1)</f>
        <v/>
      </c>
      <c r="C2551" s="92">
        <f>EOMONTH($B2551,0)</f>
        <v/>
      </c>
      <c r="D2551" s="87">
        <f>$C2551-$B2551+1</f>
        <v/>
      </c>
      <c r="E2551" s="87">
        <f>MONTH($B2551)</f>
        <v/>
      </c>
      <c r="F2551" s="93">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$N2551*IF($O$2506=1,$O2551/$F$2506,1)</f>
        <v/>
      </c>
      <c r="T2551" s="95">
        <f>IF($G2551&lt;nr_MStartP,$S2551,$T2539*(1+IF($G2551&lt;nr_MStartP1,$M$2506,$N$2506)))</f>
        <v/>
      </c>
      <c r="U2551" s="95">
        <f>IF($L$2506,$T2551,$N2551)</f>
        <v/>
      </c>
    </row>
    <row r="2552">
      <c r="A2552" s="90" t="n">
        <v>44</v>
      </c>
      <c r="B2552" s="91">
        <f>EDATE($B2551,1)</f>
        <v/>
      </c>
      <c r="C2552" s="92">
        <f>EOMONTH($B2552,0)</f>
        <v/>
      </c>
      <c r="D2552" s="87">
        <f>$C2552-$B2552+1</f>
        <v/>
      </c>
      <c r="E2552" s="87">
        <f>MONTH($B2552)</f>
        <v/>
      </c>
      <c r="F2552" s="93">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$N2552*IF($O$2506=1,$O2552/$F$2506,1)</f>
        <v/>
      </c>
      <c r="T2552" s="95">
        <f>IF($G2552&lt;nr_MStartP,$S2552,$T2540*(1+IF($G2552&lt;nr_MStartP1,$M$2506,$N$2506)))</f>
        <v/>
      </c>
      <c r="U2552" s="95">
        <f>IF($L$2506,$T2552,$N2552)</f>
        <v/>
      </c>
    </row>
    <row r="2553">
      <c r="A2553" s="90" t="n">
        <v>45</v>
      </c>
      <c r="B2553" s="91">
        <f>EDATE($B2552,1)</f>
        <v/>
      </c>
      <c r="C2553" s="92">
        <f>EOMONTH($B2553,0)</f>
        <v/>
      </c>
      <c r="D2553" s="87">
        <f>$C2553-$B2553+1</f>
        <v/>
      </c>
      <c r="E2553" s="87">
        <f>MONTH($B2553)</f>
        <v/>
      </c>
      <c r="F2553" s="93">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$N2553*IF($O$2506=1,$O2553/$F$2506,1)</f>
        <v/>
      </c>
      <c r="T2553" s="95">
        <f>IF($G2553&lt;nr_MStartP,$S2553,$T2541*(1+IF($G2553&lt;nr_MStartP1,$M$2506,$N$2506)))</f>
        <v/>
      </c>
      <c r="U2553" s="95">
        <f>IF($L$2506,$T2553,$N2553)</f>
        <v/>
      </c>
    </row>
    <row r="2554">
      <c r="A2554" s="90" t="n">
        <v>46</v>
      </c>
      <c r="B2554" s="91">
        <f>EDATE($B2553,1)</f>
        <v/>
      </c>
      <c r="C2554" s="92">
        <f>EOMONTH($B2554,0)</f>
        <v/>
      </c>
      <c r="D2554" s="87">
        <f>$C2554-$B2554+1</f>
        <v/>
      </c>
      <c r="E2554" s="87">
        <f>MONTH($B2554)</f>
        <v/>
      </c>
      <c r="F2554" s="93">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$N2554*IF($O$2506=1,$O2554/$F$2506,1)</f>
        <v/>
      </c>
      <c r="T2554" s="95">
        <f>IF($G2554&lt;nr_MStartP,$S2554,$T2542*(1+IF($G2554&lt;nr_MStartP1,$M$2506,$N$2506)))</f>
        <v/>
      </c>
      <c r="U2554" s="95">
        <f>IF($L$2506,$T2554,$N2554)</f>
        <v/>
      </c>
    </row>
    <row r="2555">
      <c r="A2555" s="90" t="n">
        <v>47</v>
      </c>
      <c r="B2555" s="91">
        <f>EDATE($B2554,1)</f>
        <v/>
      </c>
      <c r="C2555" s="92">
        <f>EOMONTH($B2555,0)</f>
        <v/>
      </c>
      <c r="D2555" s="87">
        <f>$C2555-$B2555+1</f>
        <v/>
      </c>
      <c r="E2555" s="87">
        <f>MONTH($B2555)</f>
        <v/>
      </c>
      <c r="F2555" s="93">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$N2555*IF($O$2506=1,$O2555/$F$2506,1)</f>
        <v/>
      </c>
      <c r="T2555" s="95">
        <f>IF($G2555&lt;nr_MStartP,$S2555,$T2543*(1+IF($G2555&lt;nr_MStartP1,$M$2506,$N$2506)))</f>
        <v/>
      </c>
      <c r="U2555" s="95">
        <f>IF($L$2506,$T2555,$N2555)</f>
        <v/>
      </c>
    </row>
    <row r="2556">
      <c r="A2556" s="90" t="n">
        <v>48</v>
      </c>
      <c r="B2556" s="91">
        <f>EDATE($B2555,1)</f>
        <v/>
      </c>
      <c r="C2556" s="92">
        <f>EOMONTH($B2556,0)</f>
        <v/>
      </c>
      <c r="D2556" s="87">
        <f>$C2556-$B2556+1</f>
        <v/>
      </c>
      <c r="E2556" s="87">
        <f>MONTH($B2556)</f>
        <v/>
      </c>
      <c r="F2556" s="93">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$N2556*IF($O$2506=1,$O2556/$F$2506,1)</f>
        <v/>
      </c>
      <c r="T2556" s="95">
        <f>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04">
        <f>SUMPRODUCT($H$2509:$H$2556,$Q$2509:$Q$2556,$O$2509:$O$2556)/SUMPRODUCT($H$2509:$H$2556,$Q$2509:$Q$2556)</f>
        <v/>
      </c>
      <c r="G2557" s="20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04">
        <f>IF(N(INDEX(lr_mind,47))=0,1,INDEX(lr_mind,47))</f>
        <v/>
      </c>
      <c r="G2560" s="204">
        <f>IF(N(INDEX(lr_m0,47))=0,1,INDEX(lr_m0,47))</f>
        <v/>
      </c>
      <c r="H2560" s="73">
        <f>IF(N(INDEX(lr_m0asof,47))=0,DATE(nr_PlanYear-1,10,1),INDEX(lr_m0asof,47))</f>
        <v/>
      </c>
      <c r="I2560" s="204">
        <f>IF(N(INDEX(lr_m1,47))=0,1,INDEX(lr_m1,47))</f>
        <v/>
      </c>
      <c r="J2560" s="204">
        <f>INDEX(lr_mprior,47)</f>
        <v/>
      </c>
      <c r="K2560" s="20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93">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$N2563*IF($O$2560=1,$O2563/$F$2560,1)</f>
        <v/>
      </c>
      <c r="T2563" s="95">
        <f>IF($G2563&lt;nr_MStartP,$S2563,$T2551*(1+IF($G2563&lt;nr_MStartP1,$M$2560,$N$2560)))</f>
        <v/>
      </c>
      <c r="U2563" s="95">
        <f>IF($L$2560,$T2563,$N2563)</f>
        <v/>
      </c>
    </row>
    <row r="2564">
      <c r="A2564" s="90" t="n">
        <v>2</v>
      </c>
      <c r="B2564" s="91">
        <f>EDATE($B2563,1)</f>
        <v/>
      </c>
      <c r="C2564" s="92">
        <f>EOMONTH($B2564,0)</f>
        <v/>
      </c>
      <c r="D2564" s="87">
        <f>$C2564-$B2564+1</f>
        <v/>
      </c>
      <c r="E2564" s="87">
        <f>MONTH($B2564)</f>
        <v/>
      </c>
      <c r="F2564" s="93">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$N2564*IF($O$2560=1,$O2564/$F$2560,1)</f>
        <v/>
      </c>
      <c r="T2564" s="95">
        <f>IF($G2564&lt;nr_MStartP,$S2564,$T2552*(1+IF($G2564&lt;nr_MStartP1,$M$2560,$N$2560)))</f>
        <v/>
      </c>
      <c r="U2564" s="95">
        <f>IF($L$2560,$T2564,$N2564)</f>
        <v/>
      </c>
    </row>
    <row r="2565">
      <c r="A2565" s="90" t="n">
        <v>3</v>
      </c>
      <c r="B2565" s="91">
        <f>EDATE($B2564,1)</f>
        <v/>
      </c>
      <c r="C2565" s="92">
        <f>EOMONTH($B2565,0)</f>
        <v/>
      </c>
      <c r="D2565" s="87">
        <f>$C2565-$B2565+1</f>
        <v/>
      </c>
      <c r="E2565" s="87">
        <f>MONTH($B2565)</f>
        <v/>
      </c>
      <c r="F2565" s="93">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$N2565*IF($O$2560=1,$O2565/$F$2560,1)</f>
        <v/>
      </c>
      <c r="T2565" s="95">
        <f>IF($G2565&lt;nr_MStartP,$S2565,$T2553*(1+IF($G2565&lt;nr_MStartP1,$M$2560,$N$2560)))</f>
        <v/>
      </c>
      <c r="U2565" s="95">
        <f>IF($L$2560,$T2565,$N2565)</f>
        <v/>
      </c>
    </row>
    <row r="2566">
      <c r="A2566" s="90" t="n">
        <v>4</v>
      </c>
      <c r="B2566" s="91">
        <f>EDATE($B2565,1)</f>
        <v/>
      </c>
      <c r="C2566" s="92">
        <f>EOMONTH($B2566,0)</f>
        <v/>
      </c>
      <c r="D2566" s="87">
        <f>$C2566-$B2566+1</f>
        <v/>
      </c>
      <c r="E2566" s="87">
        <f>MONTH($B2566)</f>
        <v/>
      </c>
      <c r="F2566" s="93">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$N2566*IF($O$2560=1,$O2566/$F$2560,1)</f>
        <v/>
      </c>
      <c r="T2566" s="95">
        <f>IF($G2566&lt;nr_MStartP,$S2566,$T2554*(1+IF($G2566&lt;nr_MStartP1,$M$2560,$N$2560)))</f>
        <v/>
      </c>
      <c r="U2566" s="95">
        <f>IF($L$2560,$T2566,$N2566)</f>
        <v/>
      </c>
    </row>
    <row r="2567">
      <c r="A2567" s="90" t="n">
        <v>5</v>
      </c>
      <c r="B2567" s="91">
        <f>EDATE($B2566,1)</f>
        <v/>
      </c>
      <c r="C2567" s="92">
        <f>EOMONTH($B2567,0)</f>
        <v/>
      </c>
      <c r="D2567" s="87">
        <f>$C2567-$B2567+1</f>
        <v/>
      </c>
      <c r="E2567" s="87">
        <f>MONTH($B2567)</f>
        <v/>
      </c>
      <c r="F2567" s="93">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$N2567*IF($O$2560=1,$O2567/$F$2560,1)</f>
        <v/>
      </c>
      <c r="T2567" s="95">
        <f>IF($G2567&lt;nr_MStartP,$S2567,$T2555*(1+IF($G2567&lt;nr_MStartP1,$M$2560,$N$2560)))</f>
        <v/>
      </c>
      <c r="U2567" s="95">
        <f>IF($L$2560,$T2567,$N2567)</f>
        <v/>
      </c>
    </row>
    <row r="2568">
      <c r="A2568" s="90" t="n">
        <v>6</v>
      </c>
      <c r="B2568" s="91">
        <f>EDATE($B2567,1)</f>
        <v/>
      </c>
      <c r="C2568" s="92">
        <f>EOMONTH($B2568,0)</f>
        <v/>
      </c>
      <c r="D2568" s="87">
        <f>$C2568-$B2568+1</f>
        <v/>
      </c>
      <c r="E2568" s="87">
        <f>MONTH($B2568)</f>
        <v/>
      </c>
      <c r="F2568" s="93">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$N2568*IF($O$2560=1,$O2568/$F$2560,1)</f>
        <v/>
      </c>
      <c r="T2568" s="95">
        <f>IF($G2568&lt;nr_MStartP,$S2568,$T2556*(1+IF($G2568&lt;nr_MStartP1,$M$2560,$N$2560)))</f>
        <v/>
      </c>
      <c r="U2568" s="95">
        <f>IF($L$2560,$T2568,$N2568)</f>
        <v/>
      </c>
    </row>
    <row r="2569">
      <c r="A2569" s="90" t="n">
        <v>7</v>
      </c>
      <c r="B2569" s="91">
        <f>EDATE($B2568,1)</f>
        <v/>
      </c>
      <c r="C2569" s="92">
        <f>EOMONTH($B2569,0)</f>
        <v/>
      </c>
      <c r="D2569" s="87">
        <f>$C2569-$B2569+1</f>
        <v/>
      </c>
      <c r="E2569" s="87">
        <f>MONTH($B2569)</f>
        <v/>
      </c>
      <c r="F2569" s="93">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$N2569*IF($O$2560=1,$O2569/$F$2560,1)</f>
        <v/>
      </c>
      <c r="T2569" s="95">
        <f>IF($G2569&lt;nr_MStartP,$S2569,$T2557*(1+IF($G2569&lt;nr_MStartP1,$M$2560,$N$2560)))</f>
        <v/>
      </c>
      <c r="U2569" s="95">
        <f>IF($L$2560,$T2569,$N2569)</f>
        <v/>
      </c>
    </row>
    <row r="2570">
      <c r="A2570" s="90" t="n">
        <v>8</v>
      </c>
      <c r="B2570" s="91">
        <f>EDATE($B2569,1)</f>
        <v/>
      </c>
      <c r="C2570" s="92">
        <f>EOMONTH($B2570,0)</f>
        <v/>
      </c>
      <c r="D2570" s="87">
        <f>$C2570-$B2570+1</f>
        <v/>
      </c>
      <c r="E2570" s="87">
        <f>MONTH($B2570)</f>
        <v/>
      </c>
      <c r="F2570" s="93">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$N2570*IF($O$2560=1,$O2570/$F$2560,1)</f>
        <v/>
      </c>
      <c r="T2570" s="95">
        <f>IF($G2570&lt;nr_MStartP,$S2570,$T2558*(1+IF($G2570&lt;nr_MStartP1,$M$2560,$N$2560)))</f>
        <v/>
      </c>
      <c r="U2570" s="95">
        <f>IF($L$2560,$T2570,$N2570)</f>
        <v/>
      </c>
    </row>
    <row r="2571">
      <c r="A2571" s="90" t="n">
        <v>9</v>
      </c>
      <c r="B2571" s="91">
        <f>EDATE($B2570,1)</f>
        <v/>
      </c>
      <c r="C2571" s="92">
        <f>EOMONTH($B2571,0)</f>
        <v/>
      </c>
      <c r="D2571" s="87">
        <f>$C2571-$B2571+1</f>
        <v/>
      </c>
      <c r="E2571" s="87">
        <f>MONTH($B2571)</f>
        <v/>
      </c>
      <c r="F2571" s="93">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$N2571*IF($O$2560=1,$O2571/$F$2560,1)</f>
        <v/>
      </c>
      <c r="T2571" s="95">
        <f>IF($G2571&lt;nr_MStartP,$S2571,$T2559*(1+IF($G2571&lt;nr_MStartP1,$M$2560,$N$2560)))</f>
        <v/>
      </c>
      <c r="U2571" s="95">
        <f>IF($L$2560,$T2571,$N2571)</f>
        <v/>
      </c>
    </row>
    <row r="2572">
      <c r="A2572" s="90" t="n">
        <v>10</v>
      </c>
      <c r="B2572" s="91">
        <f>EDATE($B2571,1)</f>
        <v/>
      </c>
      <c r="C2572" s="92">
        <f>EOMONTH($B2572,0)</f>
        <v/>
      </c>
      <c r="D2572" s="87">
        <f>$C2572-$B2572+1</f>
        <v/>
      </c>
      <c r="E2572" s="87">
        <f>MONTH($B2572)</f>
        <v/>
      </c>
      <c r="F2572" s="93">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$N2572*IF($O$2560=1,$O2572/$F$2560,1)</f>
        <v/>
      </c>
      <c r="T2572" s="95">
        <f>IF($G2572&lt;nr_MStartP,$S2572,$T2560*(1+IF($G2572&lt;nr_MStartP1,$M$2560,$N$2560)))</f>
        <v/>
      </c>
      <c r="U2572" s="95">
        <f>IF($L$2560,$T2572,$N2572)</f>
        <v/>
      </c>
    </row>
    <row r="2573">
      <c r="A2573" s="90" t="n">
        <v>11</v>
      </c>
      <c r="B2573" s="91">
        <f>EDATE($B2572,1)</f>
        <v/>
      </c>
      <c r="C2573" s="92">
        <f>EOMONTH($B2573,0)</f>
        <v/>
      </c>
      <c r="D2573" s="87">
        <f>$C2573-$B2573+1</f>
        <v/>
      </c>
      <c r="E2573" s="87">
        <f>MONTH($B2573)</f>
        <v/>
      </c>
      <c r="F2573" s="93">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$N2573*IF($O$2560=1,$O2573/$F$2560,1)</f>
        <v/>
      </c>
      <c r="T2573" s="95">
        <f>IF($G2573&lt;nr_MStartP,$S2573,$T2561*(1+IF($G2573&lt;nr_MStartP1,$M$2560,$N$2560)))</f>
        <v/>
      </c>
      <c r="U2573" s="95">
        <f>IF($L$2560,$T2573,$N2573)</f>
        <v/>
      </c>
    </row>
    <row r="2574">
      <c r="A2574" s="90" t="n">
        <v>12</v>
      </c>
      <c r="B2574" s="91">
        <f>EDATE($B2573,1)</f>
        <v/>
      </c>
      <c r="C2574" s="92">
        <f>EOMONTH($B2574,0)</f>
        <v/>
      </c>
      <c r="D2574" s="87">
        <f>$C2574-$B2574+1</f>
        <v/>
      </c>
      <c r="E2574" s="87">
        <f>MONTH($B2574)</f>
        <v/>
      </c>
      <c r="F2574" s="93">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$N2574*IF($O$2560=1,$O2574/$F$2560,1)</f>
        <v/>
      </c>
      <c r="T2574" s="95">
        <f>IF($G2574&lt;nr_MStartP,$S2574,$T2562*(1+IF($G2574&lt;nr_MStartP1,$M$2560,$N$2560)))</f>
        <v/>
      </c>
      <c r="U2574" s="95">
        <f>IF($L$2560,$T2574,$N2574)</f>
        <v/>
      </c>
    </row>
    <row r="2575">
      <c r="A2575" s="90" t="n">
        <v>13</v>
      </c>
      <c r="B2575" s="91">
        <f>EDATE($B2574,1)</f>
        <v/>
      </c>
      <c r="C2575" s="92">
        <f>EOMONTH($B2575,0)</f>
        <v/>
      </c>
      <c r="D2575" s="87">
        <f>$C2575-$B2575+1</f>
        <v/>
      </c>
      <c r="E2575" s="87">
        <f>MONTH($B2575)</f>
        <v/>
      </c>
      <c r="F2575" s="93">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$N2575*IF($O$2560=1,$O2575/$F$2560,1)</f>
        <v/>
      </c>
      <c r="T2575" s="95">
        <f>IF($G2575&lt;nr_MStartP,$S2575,$T2563*(1+IF($G2575&lt;nr_MStartP1,$M$2560,$N$2560)))</f>
        <v/>
      </c>
      <c r="U2575" s="95">
        <f>IF($L$2560,$T2575,$N2575)</f>
        <v/>
      </c>
    </row>
    <row r="2576">
      <c r="A2576" s="90" t="n">
        <v>14</v>
      </c>
      <c r="B2576" s="91">
        <f>EDATE($B2575,1)</f>
        <v/>
      </c>
      <c r="C2576" s="92">
        <f>EOMONTH($B2576,0)</f>
        <v/>
      </c>
      <c r="D2576" s="87">
        <f>$C2576-$B2576+1</f>
        <v/>
      </c>
      <c r="E2576" s="87">
        <f>MONTH($B2576)</f>
        <v/>
      </c>
      <c r="F2576" s="93">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$N2576*IF($O$2560=1,$O2576/$F$2560,1)</f>
        <v/>
      </c>
      <c r="T2576" s="95">
        <f>IF($G2576&lt;nr_MStartP,$S2576,$T2564*(1+IF($G2576&lt;nr_MStartP1,$M$2560,$N$2560)))</f>
        <v/>
      </c>
      <c r="U2576" s="95">
        <f>IF($L$2560,$T2576,$N2576)</f>
        <v/>
      </c>
    </row>
    <row r="2577">
      <c r="A2577" s="90" t="n">
        <v>15</v>
      </c>
      <c r="B2577" s="91">
        <f>EDATE($B2576,1)</f>
        <v/>
      </c>
      <c r="C2577" s="92">
        <f>EOMONTH($B2577,0)</f>
        <v/>
      </c>
      <c r="D2577" s="87">
        <f>$C2577-$B2577+1</f>
        <v/>
      </c>
      <c r="E2577" s="87">
        <f>MONTH($B2577)</f>
        <v/>
      </c>
      <c r="F2577" s="93">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$N2577*IF($O$2560=1,$O2577/$F$2560,1)</f>
        <v/>
      </c>
      <c r="T2577" s="95">
        <f>IF($G2577&lt;nr_MStartP,$S2577,$T2565*(1+IF($G2577&lt;nr_MStartP1,$M$2560,$N$2560)))</f>
        <v/>
      </c>
      <c r="U2577" s="95">
        <f>IF($L$2560,$T2577,$N2577)</f>
        <v/>
      </c>
    </row>
    <row r="2578">
      <c r="A2578" s="90" t="n">
        <v>16</v>
      </c>
      <c r="B2578" s="91">
        <f>EDATE($B2577,1)</f>
        <v/>
      </c>
      <c r="C2578" s="92">
        <f>EOMONTH($B2578,0)</f>
        <v/>
      </c>
      <c r="D2578" s="87">
        <f>$C2578-$B2578+1</f>
        <v/>
      </c>
      <c r="E2578" s="87">
        <f>MONTH($B2578)</f>
        <v/>
      </c>
      <c r="F2578" s="93">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$N2578*IF($O$2560=1,$O2578/$F$2560,1)</f>
        <v/>
      </c>
      <c r="T2578" s="95">
        <f>IF($G2578&lt;nr_MStartP,$S2578,$T2566*(1+IF($G2578&lt;nr_MStartP1,$M$2560,$N$2560)))</f>
        <v/>
      </c>
      <c r="U2578" s="95">
        <f>IF($L$2560,$T2578,$N2578)</f>
        <v/>
      </c>
    </row>
    <row r="2579">
      <c r="A2579" s="90" t="n">
        <v>17</v>
      </c>
      <c r="B2579" s="91">
        <f>EDATE($B2578,1)</f>
        <v/>
      </c>
      <c r="C2579" s="92">
        <f>EOMONTH($B2579,0)</f>
        <v/>
      </c>
      <c r="D2579" s="87">
        <f>$C2579-$B2579+1</f>
        <v/>
      </c>
      <c r="E2579" s="87">
        <f>MONTH($B2579)</f>
        <v/>
      </c>
      <c r="F2579" s="93">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$N2579*IF($O$2560=1,$O2579/$F$2560,1)</f>
        <v/>
      </c>
      <c r="T2579" s="95">
        <f>IF($G2579&lt;nr_MStartP,$S2579,$T2567*(1+IF($G2579&lt;nr_MStartP1,$M$2560,$N$2560)))</f>
        <v/>
      </c>
      <c r="U2579" s="95">
        <f>IF($L$2560,$T2579,$N2579)</f>
        <v/>
      </c>
    </row>
    <row r="2580">
      <c r="A2580" s="90" t="n">
        <v>18</v>
      </c>
      <c r="B2580" s="91">
        <f>EDATE($B2579,1)</f>
        <v/>
      </c>
      <c r="C2580" s="92">
        <f>EOMONTH($B2580,0)</f>
        <v/>
      </c>
      <c r="D2580" s="87">
        <f>$C2580-$B2580+1</f>
        <v/>
      </c>
      <c r="E2580" s="87">
        <f>MONTH($B2580)</f>
        <v/>
      </c>
      <c r="F2580" s="93">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$N2580*IF($O$2560=1,$O2580/$F$2560,1)</f>
        <v/>
      </c>
      <c r="T2580" s="95">
        <f>IF($G2580&lt;nr_MStartP,$S2580,$T2568*(1+IF($G2580&lt;nr_MStartP1,$M$2560,$N$2560)))</f>
        <v/>
      </c>
      <c r="U2580" s="95">
        <f>IF($L$2560,$T2580,$N2580)</f>
        <v/>
      </c>
    </row>
    <row r="2581">
      <c r="A2581" s="90" t="n">
        <v>19</v>
      </c>
      <c r="B2581" s="91">
        <f>EDATE($B2580,1)</f>
        <v/>
      </c>
      <c r="C2581" s="92">
        <f>EOMONTH($B2581,0)</f>
        <v/>
      </c>
      <c r="D2581" s="87">
        <f>$C2581-$B2581+1</f>
        <v/>
      </c>
      <c r="E2581" s="87">
        <f>MONTH($B2581)</f>
        <v/>
      </c>
      <c r="F2581" s="93">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$N2581*IF($O$2560=1,$O2581/$F$2560,1)</f>
        <v/>
      </c>
      <c r="T2581" s="95">
        <f>IF($G2581&lt;nr_MStartP,$S2581,$T2569*(1+IF($G2581&lt;nr_MStartP1,$M$2560,$N$2560)))</f>
        <v/>
      </c>
      <c r="U2581" s="95">
        <f>IF($L$2560,$T2581,$N2581)</f>
        <v/>
      </c>
    </row>
    <row r="2582">
      <c r="A2582" s="90" t="n">
        <v>20</v>
      </c>
      <c r="B2582" s="91">
        <f>EDATE($B2581,1)</f>
        <v/>
      </c>
      <c r="C2582" s="92">
        <f>EOMONTH($B2582,0)</f>
        <v/>
      </c>
      <c r="D2582" s="87">
        <f>$C2582-$B2582+1</f>
        <v/>
      </c>
      <c r="E2582" s="87">
        <f>MONTH($B2582)</f>
        <v/>
      </c>
      <c r="F2582" s="93">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$N2582*IF($O$2560=1,$O2582/$F$2560,1)</f>
        <v/>
      </c>
      <c r="T2582" s="95">
        <f>IF($G2582&lt;nr_MStartP,$S2582,$T2570*(1+IF($G2582&lt;nr_MStartP1,$M$2560,$N$2560)))</f>
        <v/>
      </c>
      <c r="U2582" s="95">
        <f>IF($L$2560,$T2582,$N2582)</f>
        <v/>
      </c>
    </row>
    <row r="2583">
      <c r="A2583" s="90" t="n">
        <v>21</v>
      </c>
      <c r="B2583" s="91">
        <f>EDATE($B2582,1)</f>
        <v/>
      </c>
      <c r="C2583" s="92">
        <f>EOMONTH($B2583,0)</f>
        <v/>
      </c>
      <c r="D2583" s="87">
        <f>$C2583-$B2583+1</f>
        <v/>
      </c>
      <c r="E2583" s="87">
        <f>MONTH($B2583)</f>
        <v/>
      </c>
      <c r="F2583" s="93">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$N2583*IF($O$2560=1,$O2583/$F$2560,1)</f>
        <v/>
      </c>
      <c r="T2583" s="95">
        <f>IF($G2583&lt;nr_MStartP,$S2583,$T2571*(1+IF($G2583&lt;nr_MStartP1,$M$2560,$N$2560)))</f>
        <v/>
      </c>
      <c r="U2583" s="95">
        <f>IF($L$2560,$T2583,$N2583)</f>
        <v/>
      </c>
    </row>
    <row r="2584">
      <c r="A2584" s="90" t="n">
        <v>22</v>
      </c>
      <c r="B2584" s="91">
        <f>EDATE($B2583,1)</f>
        <v/>
      </c>
      <c r="C2584" s="92">
        <f>EOMONTH($B2584,0)</f>
        <v/>
      </c>
      <c r="D2584" s="87">
        <f>$C2584-$B2584+1</f>
        <v/>
      </c>
      <c r="E2584" s="87">
        <f>MONTH($B2584)</f>
        <v/>
      </c>
      <c r="F2584" s="93">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$N2584*IF($O$2560=1,$O2584/$F$2560,1)</f>
        <v/>
      </c>
      <c r="T2584" s="95">
        <f>IF($G2584&lt;nr_MStartP,$S2584,$T2572*(1+IF($G2584&lt;nr_MStartP1,$M$2560,$N$2560)))</f>
        <v/>
      </c>
      <c r="U2584" s="95">
        <f>IF($L$2560,$T2584,$N2584)</f>
        <v/>
      </c>
    </row>
    <row r="2585">
      <c r="A2585" s="90" t="n">
        <v>23</v>
      </c>
      <c r="B2585" s="91">
        <f>EDATE($B2584,1)</f>
        <v/>
      </c>
      <c r="C2585" s="92">
        <f>EOMONTH($B2585,0)</f>
        <v/>
      </c>
      <c r="D2585" s="87">
        <f>$C2585-$B2585+1</f>
        <v/>
      </c>
      <c r="E2585" s="87">
        <f>MONTH($B2585)</f>
        <v/>
      </c>
      <c r="F2585" s="93">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$N2585*IF($O$2560=1,$O2585/$F$2560,1)</f>
        <v/>
      </c>
      <c r="T2585" s="95">
        <f>IF($G2585&lt;nr_MStartP,$S2585,$T2573*(1+IF($G2585&lt;nr_MStartP1,$M$2560,$N$2560)))</f>
        <v/>
      </c>
      <c r="U2585" s="95">
        <f>IF($L$2560,$T2585,$N2585)</f>
        <v/>
      </c>
    </row>
    <row r="2586">
      <c r="A2586" s="90" t="n">
        <v>24</v>
      </c>
      <c r="B2586" s="91">
        <f>EDATE($B2585,1)</f>
        <v/>
      </c>
      <c r="C2586" s="92">
        <f>EOMONTH($B2586,0)</f>
        <v/>
      </c>
      <c r="D2586" s="87">
        <f>$C2586-$B2586+1</f>
        <v/>
      </c>
      <c r="E2586" s="87">
        <f>MONTH($B2586)</f>
        <v/>
      </c>
      <c r="F2586" s="93">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$N2586*IF($O$2560=1,$O2586/$F$2560,1)</f>
        <v/>
      </c>
      <c r="T2586" s="95">
        <f>IF($G2586&lt;nr_MStartP,$S2586,$T2574*(1+IF($G2586&lt;nr_MStartP1,$M$2560,$N$2560)))</f>
        <v/>
      </c>
      <c r="U2586" s="95">
        <f>IF($L$2560,$T2586,$N2586)</f>
        <v/>
      </c>
    </row>
    <row r="2587">
      <c r="A2587" s="90" t="n">
        <v>25</v>
      </c>
      <c r="B2587" s="91">
        <f>EDATE($B2586,1)</f>
        <v/>
      </c>
      <c r="C2587" s="92">
        <f>EOMONTH($B2587,0)</f>
        <v/>
      </c>
      <c r="D2587" s="87">
        <f>$C2587-$B2587+1</f>
        <v/>
      </c>
      <c r="E2587" s="87">
        <f>MONTH($B2587)</f>
        <v/>
      </c>
      <c r="F2587" s="93">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$N2587*IF($O$2560=1,$O2587/$F$2560,1)</f>
        <v/>
      </c>
      <c r="T2587" s="95">
        <f>IF($G2587&lt;nr_MStartP,$S2587,$T2575*(1+IF($G2587&lt;nr_MStartP1,$M$2560,$N$2560)))</f>
        <v/>
      </c>
      <c r="U2587" s="95">
        <f>IF($L$2560,$T2587,$N2587)</f>
        <v/>
      </c>
    </row>
    <row r="2588">
      <c r="A2588" s="90" t="n">
        <v>26</v>
      </c>
      <c r="B2588" s="91">
        <f>EDATE($B2587,1)</f>
        <v/>
      </c>
      <c r="C2588" s="92">
        <f>EOMONTH($B2588,0)</f>
        <v/>
      </c>
      <c r="D2588" s="87">
        <f>$C2588-$B2588+1</f>
        <v/>
      </c>
      <c r="E2588" s="87">
        <f>MONTH($B2588)</f>
        <v/>
      </c>
      <c r="F2588" s="93">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$N2588*IF($O$2560=1,$O2588/$F$2560,1)</f>
        <v/>
      </c>
      <c r="T2588" s="95">
        <f>IF($G2588&lt;nr_MStartP,$S2588,$T2576*(1+IF($G2588&lt;nr_MStartP1,$M$2560,$N$2560)))</f>
        <v/>
      </c>
      <c r="U2588" s="95">
        <f>IF($L$2560,$T2588,$N2588)</f>
        <v/>
      </c>
    </row>
    <row r="2589">
      <c r="A2589" s="90" t="n">
        <v>27</v>
      </c>
      <c r="B2589" s="91">
        <f>EDATE($B2588,1)</f>
        <v/>
      </c>
      <c r="C2589" s="92">
        <f>EOMONTH($B2589,0)</f>
        <v/>
      </c>
      <c r="D2589" s="87">
        <f>$C2589-$B2589+1</f>
        <v/>
      </c>
      <c r="E2589" s="87">
        <f>MONTH($B2589)</f>
        <v/>
      </c>
      <c r="F2589" s="93">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$N2589*IF($O$2560=1,$O2589/$F$2560,1)</f>
        <v/>
      </c>
      <c r="T2589" s="95">
        <f>IF($G2589&lt;nr_MStartP,$S2589,$T2577*(1+IF($G2589&lt;nr_MStartP1,$M$2560,$N$2560)))</f>
        <v/>
      </c>
      <c r="U2589" s="95">
        <f>IF($L$2560,$T2589,$N2589)</f>
        <v/>
      </c>
    </row>
    <row r="2590">
      <c r="A2590" s="90" t="n">
        <v>28</v>
      </c>
      <c r="B2590" s="91">
        <f>EDATE($B2589,1)</f>
        <v/>
      </c>
      <c r="C2590" s="92">
        <f>EOMONTH($B2590,0)</f>
        <v/>
      </c>
      <c r="D2590" s="87">
        <f>$C2590-$B2590+1</f>
        <v/>
      </c>
      <c r="E2590" s="87">
        <f>MONTH($B2590)</f>
        <v/>
      </c>
      <c r="F2590" s="93">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$N2590*IF($O$2560=1,$O2590/$F$2560,1)</f>
        <v/>
      </c>
      <c r="T2590" s="95">
        <f>IF($G2590&lt;nr_MStartP,$S2590,$T2578*(1+IF($G2590&lt;nr_MStartP1,$M$2560,$N$2560)))</f>
        <v/>
      </c>
      <c r="U2590" s="95">
        <f>IF($L$2560,$T2590,$N2590)</f>
        <v/>
      </c>
    </row>
    <row r="2591">
      <c r="A2591" s="90" t="n">
        <v>29</v>
      </c>
      <c r="B2591" s="91">
        <f>EDATE($B2590,1)</f>
        <v/>
      </c>
      <c r="C2591" s="92">
        <f>EOMONTH($B2591,0)</f>
        <v/>
      </c>
      <c r="D2591" s="87">
        <f>$C2591-$B2591+1</f>
        <v/>
      </c>
      <c r="E2591" s="87">
        <f>MONTH($B2591)</f>
        <v/>
      </c>
      <c r="F2591" s="93">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$N2591*IF($O$2560=1,$O2591/$F$2560,1)</f>
        <v/>
      </c>
      <c r="T2591" s="95">
        <f>IF($G2591&lt;nr_MStartP,$S2591,$T2579*(1+IF($G2591&lt;nr_MStartP1,$M$2560,$N$2560)))</f>
        <v/>
      </c>
      <c r="U2591" s="95">
        <f>IF($L$2560,$T2591,$N2591)</f>
        <v/>
      </c>
    </row>
    <row r="2592">
      <c r="A2592" s="90" t="n">
        <v>30</v>
      </c>
      <c r="B2592" s="91">
        <f>EDATE($B2591,1)</f>
        <v/>
      </c>
      <c r="C2592" s="92">
        <f>EOMONTH($B2592,0)</f>
        <v/>
      </c>
      <c r="D2592" s="87">
        <f>$C2592-$B2592+1</f>
        <v/>
      </c>
      <c r="E2592" s="87">
        <f>MONTH($B2592)</f>
        <v/>
      </c>
      <c r="F2592" s="93">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$N2592*IF($O$2560=1,$O2592/$F$2560,1)</f>
        <v/>
      </c>
      <c r="T2592" s="95">
        <f>IF($G2592&lt;nr_MStartP,$S2592,$T2580*(1+IF($G2592&lt;nr_MStartP1,$M$2560,$N$2560)))</f>
        <v/>
      </c>
      <c r="U2592" s="95">
        <f>IF($L$2560,$T2592,$N2592)</f>
        <v/>
      </c>
    </row>
    <row r="2593">
      <c r="A2593" s="90" t="n">
        <v>31</v>
      </c>
      <c r="B2593" s="91">
        <f>EDATE($B2592,1)</f>
        <v/>
      </c>
      <c r="C2593" s="92">
        <f>EOMONTH($B2593,0)</f>
        <v/>
      </c>
      <c r="D2593" s="87">
        <f>$C2593-$B2593+1</f>
        <v/>
      </c>
      <c r="E2593" s="87">
        <f>MONTH($B2593)</f>
        <v/>
      </c>
      <c r="F2593" s="93">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$N2593*IF($O$2560=1,$O2593/$F$2560,1)</f>
        <v/>
      </c>
      <c r="T2593" s="95">
        <f>IF($G2593&lt;nr_MStartP,$S2593,$T2581*(1+IF($G2593&lt;nr_MStartP1,$M$2560,$N$2560)))</f>
        <v/>
      </c>
      <c r="U2593" s="95">
        <f>IF($L$2560,$T2593,$N2593)</f>
        <v/>
      </c>
    </row>
    <row r="2594">
      <c r="A2594" s="90" t="n">
        <v>32</v>
      </c>
      <c r="B2594" s="91">
        <f>EDATE($B2593,1)</f>
        <v/>
      </c>
      <c r="C2594" s="92">
        <f>EOMONTH($B2594,0)</f>
        <v/>
      </c>
      <c r="D2594" s="87">
        <f>$C2594-$B2594+1</f>
        <v/>
      </c>
      <c r="E2594" s="87">
        <f>MONTH($B2594)</f>
        <v/>
      </c>
      <c r="F2594" s="93">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$N2594*IF($O$2560=1,$O2594/$F$2560,1)</f>
        <v/>
      </c>
      <c r="T2594" s="95">
        <f>IF($G2594&lt;nr_MStartP,$S2594,$T2582*(1+IF($G2594&lt;nr_MStartP1,$M$2560,$N$2560)))</f>
        <v/>
      </c>
      <c r="U2594" s="95">
        <f>IF($L$2560,$T2594,$N2594)</f>
        <v/>
      </c>
    </row>
    <row r="2595">
      <c r="A2595" s="90" t="n">
        <v>33</v>
      </c>
      <c r="B2595" s="91">
        <f>EDATE($B2594,1)</f>
        <v/>
      </c>
      <c r="C2595" s="92">
        <f>EOMONTH($B2595,0)</f>
        <v/>
      </c>
      <c r="D2595" s="87">
        <f>$C2595-$B2595+1</f>
        <v/>
      </c>
      <c r="E2595" s="87">
        <f>MONTH($B2595)</f>
        <v/>
      </c>
      <c r="F2595" s="93">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$N2595*IF($O$2560=1,$O2595/$F$2560,1)</f>
        <v/>
      </c>
      <c r="T2595" s="95">
        <f>IF($G2595&lt;nr_MStartP,$S2595,$T2583*(1+IF($G2595&lt;nr_MStartP1,$M$2560,$N$2560)))</f>
        <v/>
      </c>
      <c r="U2595" s="95">
        <f>IF($L$2560,$T2595,$N2595)</f>
        <v/>
      </c>
    </row>
    <row r="2596">
      <c r="A2596" s="90" t="n">
        <v>34</v>
      </c>
      <c r="B2596" s="91">
        <f>EDATE($B2595,1)</f>
        <v/>
      </c>
      <c r="C2596" s="92">
        <f>EOMONTH($B2596,0)</f>
        <v/>
      </c>
      <c r="D2596" s="87">
        <f>$C2596-$B2596+1</f>
        <v/>
      </c>
      <c r="E2596" s="87">
        <f>MONTH($B2596)</f>
        <v/>
      </c>
      <c r="F2596" s="93">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$N2596*IF($O$2560=1,$O2596/$F$2560,1)</f>
        <v/>
      </c>
      <c r="T2596" s="95">
        <f>IF($G2596&lt;nr_MStartP,$S2596,$T2584*(1+IF($G2596&lt;nr_MStartP1,$M$2560,$N$2560)))</f>
        <v/>
      </c>
      <c r="U2596" s="95">
        <f>IF($L$2560,$T2596,$N2596)</f>
        <v/>
      </c>
    </row>
    <row r="2597">
      <c r="A2597" s="90" t="n">
        <v>35</v>
      </c>
      <c r="B2597" s="91">
        <f>EDATE($B2596,1)</f>
        <v/>
      </c>
      <c r="C2597" s="92">
        <f>EOMONTH($B2597,0)</f>
        <v/>
      </c>
      <c r="D2597" s="87">
        <f>$C2597-$B2597+1</f>
        <v/>
      </c>
      <c r="E2597" s="87">
        <f>MONTH($B2597)</f>
        <v/>
      </c>
      <c r="F2597" s="93">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$N2597*IF($O$2560=1,$O2597/$F$2560,1)</f>
        <v/>
      </c>
      <c r="T2597" s="95">
        <f>IF($G2597&lt;nr_MStartP,$S2597,$T2585*(1+IF($G2597&lt;nr_MStartP1,$M$2560,$N$2560)))</f>
        <v/>
      </c>
      <c r="U2597" s="95">
        <f>IF($L$2560,$T2597,$N2597)</f>
        <v/>
      </c>
    </row>
    <row r="2598">
      <c r="A2598" s="90" t="n">
        <v>36</v>
      </c>
      <c r="B2598" s="91">
        <f>EDATE($B2597,1)</f>
        <v/>
      </c>
      <c r="C2598" s="92">
        <f>EOMONTH($B2598,0)</f>
        <v/>
      </c>
      <c r="D2598" s="87">
        <f>$C2598-$B2598+1</f>
        <v/>
      </c>
      <c r="E2598" s="87">
        <f>MONTH($B2598)</f>
        <v/>
      </c>
      <c r="F2598" s="93">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$N2598*IF($O$2560=1,$O2598/$F$2560,1)</f>
        <v/>
      </c>
      <c r="T2598" s="95">
        <f>IF($G2598&lt;nr_MStartP,$S2598,$T2586*(1+IF($G2598&lt;nr_MStartP1,$M$2560,$N$2560)))</f>
        <v/>
      </c>
      <c r="U2598" s="95">
        <f>IF($L$2560,$T2598,$N2598)</f>
        <v/>
      </c>
    </row>
    <row r="2599">
      <c r="A2599" s="90" t="n">
        <v>37</v>
      </c>
      <c r="B2599" s="91">
        <f>EDATE($B2598,1)</f>
        <v/>
      </c>
      <c r="C2599" s="92">
        <f>EOMONTH($B2599,0)</f>
        <v/>
      </c>
      <c r="D2599" s="87">
        <f>$C2599-$B2599+1</f>
        <v/>
      </c>
      <c r="E2599" s="87">
        <f>MONTH($B2599)</f>
        <v/>
      </c>
      <c r="F2599" s="93">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$N2599*IF($O$2560=1,$O2599/$F$2560,1)</f>
        <v/>
      </c>
      <c r="T2599" s="95">
        <f>IF($G2599&lt;nr_MStartP,$S2599,$T2587*(1+IF($G2599&lt;nr_MStartP1,$M$2560,$N$2560)))</f>
        <v/>
      </c>
      <c r="U2599" s="95">
        <f>IF($L$2560,$T2599,$N2599)</f>
        <v/>
      </c>
    </row>
    <row r="2600">
      <c r="A2600" s="90" t="n">
        <v>38</v>
      </c>
      <c r="B2600" s="91">
        <f>EDATE($B2599,1)</f>
        <v/>
      </c>
      <c r="C2600" s="92">
        <f>EOMONTH($B2600,0)</f>
        <v/>
      </c>
      <c r="D2600" s="87">
        <f>$C2600-$B2600+1</f>
        <v/>
      </c>
      <c r="E2600" s="87">
        <f>MONTH($B2600)</f>
        <v/>
      </c>
      <c r="F2600" s="93">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$N2600*IF($O$2560=1,$O2600/$F$2560,1)</f>
        <v/>
      </c>
      <c r="T2600" s="95">
        <f>IF($G2600&lt;nr_MStartP,$S2600,$T2588*(1+IF($G2600&lt;nr_MStartP1,$M$2560,$N$2560)))</f>
        <v/>
      </c>
      <c r="U2600" s="95">
        <f>IF($L$2560,$T2600,$N2600)</f>
        <v/>
      </c>
    </row>
    <row r="2601">
      <c r="A2601" s="90" t="n">
        <v>39</v>
      </c>
      <c r="B2601" s="91">
        <f>EDATE($B2600,1)</f>
        <v/>
      </c>
      <c r="C2601" s="92">
        <f>EOMONTH($B2601,0)</f>
        <v/>
      </c>
      <c r="D2601" s="87">
        <f>$C2601-$B2601+1</f>
        <v/>
      </c>
      <c r="E2601" s="87">
        <f>MONTH($B2601)</f>
        <v/>
      </c>
      <c r="F2601" s="93">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$N2601*IF($O$2560=1,$O2601/$F$2560,1)</f>
        <v/>
      </c>
      <c r="T2601" s="95">
        <f>IF($G2601&lt;nr_MStartP,$S2601,$T2589*(1+IF($G2601&lt;nr_MStartP1,$M$2560,$N$2560)))</f>
        <v/>
      </c>
      <c r="U2601" s="95">
        <f>IF($L$2560,$T2601,$N2601)</f>
        <v/>
      </c>
    </row>
    <row r="2602">
      <c r="A2602" s="90" t="n">
        <v>40</v>
      </c>
      <c r="B2602" s="91">
        <f>EDATE($B2601,1)</f>
        <v/>
      </c>
      <c r="C2602" s="92">
        <f>EOMONTH($B2602,0)</f>
        <v/>
      </c>
      <c r="D2602" s="87">
        <f>$C2602-$B2602+1</f>
        <v/>
      </c>
      <c r="E2602" s="87">
        <f>MONTH($B2602)</f>
        <v/>
      </c>
      <c r="F2602" s="93">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$N2602*IF($O$2560=1,$O2602/$F$2560,1)</f>
        <v/>
      </c>
      <c r="T2602" s="95">
        <f>IF($G2602&lt;nr_MStartP,$S2602,$T2590*(1+IF($G2602&lt;nr_MStartP1,$M$2560,$N$2560)))</f>
        <v/>
      </c>
      <c r="U2602" s="95">
        <f>IF($L$2560,$T2602,$N2602)</f>
        <v/>
      </c>
    </row>
    <row r="2603">
      <c r="A2603" s="90" t="n">
        <v>41</v>
      </c>
      <c r="B2603" s="91">
        <f>EDATE($B2602,1)</f>
        <v/>
      </c>
      <c r="C2603" s="92">
        <f>EOMONTH($B2603,0)</f>
        <v/>
      </c>
      <c r="D2603" s="87">
        <f>$C2603-$B2603+1</f>
        <v/>
      </c>
      <c r="E2603" s="87">
        <f>MONTH($B2603)</f>
        <v/>
      </c>
      <c r="F2603" s="93">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$N2603*IF($O$2560=1,$O2603/$F$2560,1)</f>
        <v/>
      </c>
      <c r="T2603" s="95">
        <f>IF($G2603&lt;nr_MStartP,$S2603,$T2591*(1+IF($G2603&lt;nr_MStartP1,$M$2560,$N$2560)))</f>
        <v/>
      </c>
      <c r="U2603" s="95">
        <f>IF($L$2560,$T2603,$N2603)</f>
        <v/>
      </c>
    </row>
    <row r="2604">
      <c r="A2604" s="90" t="n">
        <v>42</v>
      </c>
      <c r="B2604" s="91">
        <f>EDATE($B2603,1)</f>
        <v/>
      </c>
      <c r="C2604" s="92">
        <f>EOMONTH($B2604,0)</f>
        <v/>
      </c>
      <c r="D2604" s="87">
        <f>$C2604-$B2604+1</f>
        <v/>
      </c>
      <c r="E2604" s="87">
        <f>MONTH($B2604)</f>
        <v/>
      </c>
      <c r="F2604" s="93">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$N2604*IF($O$2560=1,$O2604/$F$2560,1)</f>
        <v/>
      </c>
      <c r="T2604" s="95">
        <f>IF($G2604&lt;nr_MStartP,$S2604,$T2592*(1+IF($G2604&lt;nr_MStartP1,$M$2560,$N$2560)))</f>
        <v/>
      </c>
      <c r="U2604" s="95">
        <f>IF($L$2560,$T2604,$N2604)</f>
        <v/>
      </c>
    </row>
    <row r="2605">
      <c r="A2605" s="90" t="n">
        <v>43</v>
      </c>
      <c r="B2605" s="91">
        <f>EDATE($B2604,1)</f>
        <v/>
      </c>
      <c r="C2605" s="92">
        <f>EOMONTH($B2605,0)</f>
        <v/>
      </c>
      <c r="D2605" s="87">
        <f>$C2605-$B2605+1</f>
        <v/>
      </c>
      <c r="E2605" s="87">
        <f>MONTH($B2605)</f>
        <v/>
      </c>
      <c r="F2605" s="93">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$N2605*IF($O$2560=1,$O2605/$F$2560,1)</f>
        <v/>
      </c>
      <c r="T2605" s="95">
        <f>IF($G2605&lt;nr_MStartP,$S2605,$T2593*(1+IF($G2605&lt;nr_MStartP1,$M$2560,$N$2560)))</f>
        <v/>
      </c>
      <c r="U2605" s="95">
        <f>IF($L$2560,$T2605,$N2605)</f>
        <v/>
      </c>
    </row>
    <row r="2606">
      <c r="A2606" s="90" t="n">
        <v>44</v>
      </c>
      <c r="B2606" s="91">
        <f>EDATE($B2605,1)</f>
        <v/>
      </c>
      <c r="C2606" s="92">
        <f>EOMONTH($B2606,0)</f>
        <v/>
      </c>
      <c r="D2606" s="87">
        <f>$C2606-$B2606+1</f>
        <v/>
      </c>
      <c r="E2606" s="87">
        <f>MONTH($B2606)</f>
        <v/>
      </c>
      <c r="F2606" s="93">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$N2606*IF($O$2560=1,$O2606/$F$2560,1)</f>
        <v/>
      </c>
      <c r="T2606" s="95">
        <f>IF($G2606&lt;nr_MStartP,$S2606,$T2594*(1+IF($G2606&lt;nr_MStartP1,$M$2560,$N$2560)))</f>
        <v/>
      </c>
      <c r="U2606" s="95">
        <f>IF($L$2560,$T2606,$N2606)</f>
        <v/>
      </c>
    </row>
    <row r="2607">
      <c r="A2607" s="90" t="n">
        <v>45</v>
      </c>
      <c r="B2607" s="91">
        <f>EDATE($B2606,1)</f>
        <v/>
      </c>
      <c r="C2607" s="92">
        <f>EOMONTH($B2607,0)</f>
        <v/>
      </c>
      <c r="D2607" s="87">
        <f>$C2607-$B2607+1</f>
        <v/>
      </c>
      <c r="E2607" s="87">
        <f>MONTH($B2607)</f>
        <v/>
      </c>
      <c r="F2607" s="93">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$N2607*IF($O$2560=1,$O2607/$F$2560,1)</f>
        <v/>
      </c>
      <c r="T2607" s="95">
        <f>IF($G2607&lt;nr_MStartP,$S2607,$T2595*(1+IF($G2607&lt;nr_MStartP1,$M$2560,$N$2560)))</f>
        <v/>
      </c>
      <c r="U2607" s="95">
        <f>IF($L$2560,$T2607,$N2607)</f>
        <v/>
      </c>
    </row>
    <row r="2608">
      <c r="A2608" s="90" t="n">
        <v>46</v>
      </c>
      <c r="B2608" s="91">
        <f>EDATE($B2607,1)</f>
        <v/>
      </c>
      <c r="C2608" s="92">
        <f>EOMONTH($B2608,0)</f>
        <v/>
      </c>
      <c r="D2608" s="87">
        <f>$C2608-$B2608+1</f>
        <v/>
      </c>
      <c r="E2608" s="87">
        <f>MONTH($B2608)</f>
        <v/>
      </c>
      <c r="F2608" s="93">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$N2608*IF($O$2560=1,$O2608/$F$2560,1)</f>
        <v/>
      </c>
      <c r="T2608" s="95">
        <f>IF($G2608&lt;nr_MStartP,$S2608,$T2596*(1+IF($G2608&lt;nr_MStartP1,$M$2560,$N$2560)))</f>
        <v/>
      </c>
      <c r="U2608" s="95">
        <f>IF($L$2560,$T2608,$N2608)</f>
        <v/>
      </c>
    </row>
    <row r="2609">
      <c r="A2609" s="90" t="n">
        <v>47</v>
      </c>
      <c r="B2609" s="91">
        <f>EDATE($B2608,1)</f>
        <v/>
      </c>
      <c r="C2609" s="92">
        <f>EOMONTH($B2609,0)</f>
        <v/>
      </c>
      <c r="D2609" s="87">
        <f>$C2609-$B2609+1</f>
        <v/>
      </c>
      <c r="E2609" s="87">
        <f>MONTH($B2609)</f>
        <v/>
      </c>
      <c r="F2609" s="93">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$N2609*IF($O$2560=1,$O2609/$F$2560,1)</f>
        <v/>
      </c>
      <c r="T2609" s="95">
        <f>IF($G2609&lt;nr_MStartP,$S2609,$T2597*(1+IF($G2609&lt;nr_MStartP1,$M$2560,$N$2560)))</f>
        <v/>
      </c>
      <c r="U2609" s="95">
        <f>IF($L$2560,$T2609,$N2609)</f>
        <v/>
      </c>
    </row>
    <row r="2610">
      <c r="A2610" s="90" t="n">
        <v>48</v>
      </c>
      <c r="B2610" s="91">
        <f>EDATE($B2609,1)</f>
        <v/>
      </c>
      <c r="C2610" s="92">
        <f>EOMONTH($B2610,0)</f>
        <v/>
      </c>
      <c r="D2610" s="87">
        <f>$C2610-$B2610+1</f>
        <v/>
      </c>
      <c r="E2610" s="87">
        <f>MONTH($B2610)</f>
        <v/>
      </c>
      <c r="F2610" s="93">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$N2610*IF($O$2560=1,$O2610/$F$2560,1)</f>
        <v/>
      </c>
      <c r="T2610" s="95">
        <f>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04">
        <f>SUMPRODUCT($H$2563:$H$2610,$Q$2563:$Q$2610,$O$2563:$O$2610)/SUMPRODUCT($H$2563:$H$2610,$Q$2563:$Q$2610)</f>
        <v/>
      </c>
      <c r="G2611" s="20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04">
        <f>IF(N(INDEX(lr_mind,48))=0,1,INDEX(lr_mind,48))</f>
        <v/>
      </c>
      <c r="G2614" s="204">
        <f>IF(N(INDEX(lr_m0,48))=0,1,INDEX(lr_m0,48))</f>
        <v/>
      </c>
      <c r="H2614" s="73">
        <f>IF(N(INDEX(lr_m0asof,48))=0,DATE(nr_PlanYear-1,10,1),INDEX(lr_m0asof,48))</f>
        <v/>
      </c>
      <c r="I2614" s="204">
        <f>IF(N(INDEX(lr_m1,48))=0,1,INDEX(lr_m1,48))</f>
        <v/>
      </c>
      <c r="J2614" s="204">
        <f>INDEX(lr_mprior,48)</f>
        <v/>
      </c>
      <c r="K2614" s="20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93">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$N2617*IF($O$2614=1,$O2617/$F$2614,1)</f>
        <v/>
      </c>
      <c r="T2617" s="95">
        <f>IF($G2617&lt;nr_MStartP,$S2617,$T2605*(1+IF($G2617&lt;nr_MStartP1,$M$2614,$N$2614)))</f>
        <v/>
      </c>
      <c r="U2617" s="95">
        <f>IF($L$2614,$T2617,$N2617)</f>
        <v/>
      </c>
    </row>
    <row r="2618">
      <c r="A2618" s="90" t="n">
        <v>2</v>
      </c>
      <c r="B2618" s="91">
        <f>EDATE($B2617,1)</f>
        <v/>
      </c>
      <c r="C2618" s="92">
        <f>EOMONTH($B2618,0)</f>
        <v/>
      </c>
      <c r="D2618" s="87">
        <f>$C2618-$B2618+1</f>
        <v/>
      </c>
      <c r="E2618" s="87">
        <f>MONTH($B2618)</f>
        <v/>
      </c>
      <c r="F2618" s="93">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$N2618*IF($O$2614=1,$O2618/$F$2614,1)</f>
        <v/>
      </c>
      <c r="T2618" s="95">
        <f>IF($G2618&lt;nr_MStartP,$S2618,$T2606*(1+IF($G2618&lt;nr_MStartP1,$M$2614,$N$2614)))</f>
        <v/>
      </c>
      <c r="U2618" s="95">
        <f>IF($L$2614,$T2618,$N2618)</f>
        <v/>
      </c>
    </row>
    <row r="2619">
      <c r="A2619" s="90" t="n">
        <v>3</v>
      </c>
      <c r="B2619" s="91">
        <f>EDATE($B2618,1)</f>
        <v/>
      </c>
      <c r="C2619" s="92">
        <f>EOMONTH($B2619,0)</f>
        <v/>
      </c>
      <c r="D2619" s="87">
        <f>$C2619-$B2619+1</f>
        <v/>
      </c>
      <c r="E2619" s="87">
        <f>MONTH($B2619)</f>
        <v/>
      </c>
      <c r="F2619" s="93">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$N2619*IF($O$2614=1,$O2619/$F$2614,1)</f>
        <v/>
      </c>
      <c r="T2619" s="95">
        <f>IF($G2619&lt;nr_MStartP,$S2619,$T2607*(1+IF($G2619&lt;nr_MStartP1,$M$2614,$N$2614)))</f>
        <v/>
      </c>
      <c r="U2619" s="95">
        <f>IF($L$2614,$T2619,$N2619)</f>
        <v/>
      </c>
    </row>
    <row r="2620">
      <c r="A2620" s="90" t="n">
        <v>4</v>
      </c>
      <c r="B2620" s="91">
        <f>EDATE($B2619,1)</f>
        <v/>
      </c>
      <c r="C2620" s="92">
        <f>EOMONTH($B2620,0)</f>
        <v/>
      </c>
      <c r="D2620" s="87">
        <f>$C2620-$B2620+1</f>
        <v/>
      </c>
      <c r="E2620" s="87">
        <f>MONTH($B2620)</f>
        <v/>
      </c>
      <c r="F2620" s="93">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$N2620*IF($O$2614=1,$O2620/$F$2614,1)</f>
        <v/>
      </c>
      <c r="T2620" s="95">
        <f>IF($G2620&lt;nr_MStartP,$S2620,$T2608*(1+IF($G2620&lt;nr_MStartP1,$M$2614,$N$2614)))</f>
        <v/>
      </c>
      <c r="U2620" s="95">
        <f>IF($L$2614,$T2620,$N2620)</f>
        <v/>
      </c>
    </row>
    <row r="2621">
      <c r="A2621" s="90" t="n">
        <v>5</v>
      </c>
      <c r="B2621" s="91">
        <f>EDATE($B2620,1)</f>
        <v/>
      </c>
      <c r="C2621" s="92">
        <f>EOMONTH($B2621,0)</f>
        <v/>
      </c>
      <c r="D2621" s="87">
        <f>$C2621-$B2621+1</f>
        <v/>
      </c>
      <c r="E2621" s="87">
        <f>MONTH($B2621)</f>
        <v/>
      </c>
      <c r="F2621" s="93">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$N2621*IF($O$2614=1,$O2621/$F$2614,1)</f>
        <v/>
      </c>
      <c r="T2621" s="95">
        <f>IF($G2621&lt;nr_MStartP,$S2621,$T2609*(1+IF($G2621&lt;nr_MStartP1,$M$2614,$N$2614)))</f>
        <v/>
      </c>
      <c r="U2621" s="95">
        <f>IF($L$2614,$T2621,$N2621)</f>
        <v/>
      </c>
    </row>
    <row r="2622">
      <c r="A2622" s="90" t="n">
        <v>6</v>
      </c>
      <c r="B2622" s="91">
        <f>EDATE($B2621,1)</f>
        <v/>
      </c>
      <c r="C2622" s="92">
        <f>EOMONTH($B2622,0)</f>
        <v/>
      </c>
      <c r="D2622" s="87">
        <f>$C2622-$B2622+1</f>
        <v/>
      </c>
      <c r="E2622" s="87">
        <f>MONTH($B2622)</f>
        <v/>
      </c>
      <c r="F2622" s="93">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$N2622*IF($O$2614=1,$O2622/$F$2614,1)</f>
        <v/>
      </c>
      <c r="T2622" s="95">
        <f>IF($G2622&lt;nr_MStartP,$S2622,$T2610*(1+IF($G2622&lt;nr_MStartP1,$M$2614,$N$2614)))</f>
        <v/>
      </c>
      <c r="U2622" s="95">
        <f>IF($L$2614,$T2622,$N2622)</f>
        <v/>
      </c>
    </row>
    <row r="2623">
      <c r="A2623" s="90" t="n">
        <v>7</v>
      </c>
      <c r="B2623" s="91">
        <f>EDATE($B2622,1)</f>
        <v/>
      </c>
      <c r="C2623" s="92">
        <f>EOMONTH($B2623,0)</f>
        <v/>
      </c>
      <c r="D2623" s="87">
        <f>$C2623-$B2623+1</f>
        <v/>
      </c>
      <c r="E2623" s="87">
        <f>MONTH($B2623)</f>
        <v/>
      </c>
      <c r="F2623" s="93">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$N2623*IF($O$2614=1,$O2623/$F$2614,1)</f>
        <v/>
      </c>
      <c r="T2623" s="95">
        <f>IF($G2623&lt;nr_MStartP,$S2623,$T2611*(1+IF($G2623&lt;nr_MStartP1,$M$2614,$N$2614)))</f>
        <v/>
      </c>
      <c r="U2623" s="95">
        <f>IF($L$2614,$T2623,$N2623)</f>
        <v/>
      </c>
    </row>
    <row r="2624">
      <c r="A2624" s="90" t="n">
        <v>8</v>
      </c>
      <c r="B2624" s="91">
        <f>EDATE($B2623,1)</f>
        <v/>
      </c>
      <c r="C2624" s="92">
        <f>EOMONTH($B2624,0)</f>
        <v/>
      </c>
      <c r="D2624" s="87">
        <f>$C2624-$B2624+1</f>
        <v/>
      </c>
      <c r="E2624" s="87">
        <f>MONTH($B2624)</f>
        <v/>
      </c>
      <c r="F2624" s="93">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$N2624*IF($O$2614=1,$O2624/$F$2614,1)</f>
        <v/>
      </c>
      <c r="T2624" s="95">
        <f>IF($G2624&lt;nr_MStartP,$S2624,$T2612*(1+IF($G2624&lt;nr_MStartP1,$M$2614,$N$2614)))</f>
        <v/>
      </c>
      <c r="U2624" s="95">
        <f>IF($L$2614,$T2624,$N2624)</f>
        <v/>
      </c>
    </row>
    <row r="2625">
      <c r="A2625" s="90" t="n">
        <v>9</v>
      </c>
      <c r="B2625" s="91">
        <f>EDATE($B2624,1)</f>
        <v/>
      </c>
      <c r="C2625" s="92">
        <f>EOMONTH($B2625,0)</f>
        <v/>
      </c>
      <c r="D2625" s="87">
        <f>$C2625-$B2625+1</f>
        <v/>
      </c>
      <c r="E2625" s="87">
        <f>MONTH($B2625)</f>
        <v/>
      </c>
      <c r="F2625" s="93">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$N2625*IF($O$2614=1,$O2625/$F$2614,1)</f>
        <v/>
      </c>
      <c r="T2625" s="95">
        <f>IF($G2625&lt;nr_MStartP,$S2625,$T2613*(1+IF($G2625&lt;nr_MStartP1,$M$2614,$N$2614)))</f>
        <v/>
      </c>
      <c r="U2625" s="95">
        <f>IF($L$2614,$T2625,$N2625)</f>
        <v/>
      </c>
    </row>
    <row r="2626">
      <c r="A2626" s="90" t="n">
        <v>10</v>
      </c>
      <c r="B2626" s="91">
        <f>EDATE($B2625,1)</f>
        <v/>
      </c>
      <c r="C2626" s="92">
        <f>EOMONTH($B2626,0)</f>
        <v/>
      </c>
      <c r="D2626" s="87">
        <f>$C2626-$B2626+1</f>
        <v/>
      </c>
      <c r="E2626" s="87">
        <f>MONTH($B2626)</f>
        <v/>
      </c>
      <c r="F2626" s="93">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$N2626*IF($O$2614=1,$O2626/$F$2614,1)</f>
        <v/>
      </c>
      <c r="T2626" s="95">
        <f>IF($G2626&lt;nr_MStartP,$S2626,$T2614*(1+IF($G2626&lt;nr_MStartP1,$M$2614,$N$2614)))</f>
        <v/>
      </c>
      <c r="U2626" s="95">
        <f>IF($L$2614,$T2626,$N2626)</f>
        <v/>
      </c>
    </row>
    <row r="2627">
      <c r="A2627" s="90" t="n">
        <v>11</v>
      </c>
      <c r="B2627" s="91">
        <f>EDATE($B2626,1)</f>
        <v/>
      </c>
      <c r="C2627" s="92">
        <f>EOMONTH($B2627,0)</f>
        <v/>
      </c>
      <c r="D2627" s="87">
        <f>$C2627-$B2627+1</f>
        <v/>
      </c>
      <c r="E2627" s="87">
        <f>MONTH($B2627)</f>
        <v/>
      </c>
      <c r="F2627" s="93">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$N2627*IF($O$2614=1,$O2627/$F$2614,1)</f>
        <v/>
      </c>
      <c r="T2627" s="95">
        <f>IF($G2627&lt;nr_MStartP,$S2627,$T2615*(1+IF($G2627&lt;nr_MStartP1,$M$2614,$N$2614)))</f>
        <v/>
      </c>
      <c r="U2627" s="95">
        <f>IF($L$2614,$T2627,$N2627)</f>
        <v/>
      </c>
    </row>
    <row r="2628">
      <c r="A2628" s="90" t="n">
        <v>12</v>
      </c>
      <c r="B2628" s="91">
        <f>EDATE($B2627,1)</f>
        <v/>
      </c>
      <c r="C2628" s="92">
        <f>EOMONTH($B2628,0)</f>
        <v/>
      </c>
      <c r="D2628" s="87">
        <f>$C2628-$B2628+1</f>
        <v/>
      </c>
      <c r="E2628" s="87">
        <f>MONTH($B2628)</f>
        <v/>
      </c>
      <c r="F2628" s="93">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$N2628*IF($O$2614=1,$O2628/$F$2614,1)</f>
        <v/>
      </c>
      <c r="T2628" s="95">
        <f>IF($G2628&lt;nr_MStartP,$S2628,$T2616*(1+IF($G2628&lt;nr_MStartP1,$M$2614,$N$2614)))</f>
        <v/>
      </c>
      <c r="U2628" s="95">
        <f>IF($L$2614,$T2628,$N2628)</f>
        <v/>
      </c>
    </row>
    <row r="2629">
      <c r="A2629" s="90" t="n">
        <v>13</v>
      </c>
      <c r="B2629" s="91">
        <f>EDATE($B2628,1)</f>
        <v/>
      </c>
      <c r="C2629" s="92">
        <f>EOMONTH($B2629,0)</f>
        <v/>
      </c>
      <c r="D2629" s="87">
        <f>$C2629-$B2629+1</f>
        <v/>
      </c>
      <c r="E2629" s="87">
        <f>MONTH($B2629)</f>
        <v/>
      </c>
      <c r="F2629" s="93">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$N2629*IF($O$2614=1,$O2629/$F$2614,1)</f>
        <v/>
      </c>
      <c r="T2629" s="95">
        <f>IF($G2629&lt;nr_MStartP,$S2629,$T2617*(1+IF($G2629&lt;nr_MStartP1,$M$2614,$N$2614)))</f>
        <v/>
      </c>
      <c r="U2629" s="95">
        <f>IF($L$2614,$T2629,$N2629)</f>
        <v/>
      </c>
    </row>
    <row r="2630">
      <c r="A2630" s="90" t="n">
        <v>14</v>
      </c>
      <c r="B2630" s="91">
        <f>EDATE($B2629,1)</f>
        <v/>
      </c>
      <c r="C2630" s="92">
        <f>EOMONTH($B2630,0)</f>
        <v/>
      </c>
      <c r="D2630" s="87">
        <f>$C2630-$B2630+1</f>
        <v/>
      </c>
      <c r="E2630" s="87">
        <f>MONTH($B2630)</f>
        <v/>
      </c>
      <c r="F2630" s="93">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$N2630*IF($O$2614=1,$O2630/$F$2614,1)</f>
        <v/>
      </c>
      <c r="T2630" s="95">
        <f>IF($G2630&lt;nr_MStartP,$S2630,$T2618*(1+IF($G2630&lt;nr_MStartP1,$M$2614,$N$2614)))</f>
        <v/>
      </c>
      <c r="U2630" s="95">
        <f>IF($L$2614,$T2630,$N2630)</f>
        <v/>
      </c>
    </row>
    <row r="2631">
      <c r="A2631" s="90" t="n">
        <v>15</v>
      </c>
      <c r="B2631" s="91">
        <f>EDATE($B2630,1)</f>
        <v/>
      </c>
      <c r="C2631" s="92">
        <f>EOMONTH($B2631,0)</f>
        <v/>
      </c>
      <c r="D2631" s="87">
        <f>$C2631-$B2631+1</f>
        <v/>
      </c>
      <c r="E2631" s="87">
        <f>MONTH($B2631)</f>
        <v/>
      </c>
      <c r="F2631" s="93">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$N2631*IF($O$2614=1,$O2631/$F$2614,1)</f>
        <v/>
      </c>
      <c r="T2631" s="95">
        <f>IF($G2631&lt;nr_MStartP,$S2631,$T2619*(1+IF($G2631&lt;nr_MStartP1,$M$2614,$N$2614)))</f>
        <v/>
      </c>
      <c r="U2631" s="95">
        <f>IF($L$2614,$T2631,$N2631)</f>
        <v/>
      </c>
    </row>
    <row r="2632">
      <c r="A2632" s="90" t="n">
        <v>16</v>
      </c>
      <c r="B2632" s="91">
        <f>EDATE($B2631,1)</f>
        <v/>
      </c>
      <c r="C2632" s="92">
        <f>EOMONTH($B2632,0)</f>
        <v/>
      </c>
      <c r="D2632" s="87">
        <f>$C2632-$B2632+1</f>
        <v/>
      </c>
      <c r="E2632" s="87">
        <f>MONTH($B2632)</f>
        <v/>
      </c>
      <c r="F2632" s="93">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$N2632*IF($O$2614=1,$O2632/$F$2614,1)</f>
        <v/>
      </c>
      <c r="T2632" s="95">
        <f>IF($G2632&lt;nr_MStartP,$S2632,$T2620*(1+IF($G2632&lt;nr_MStartP1,$M$2614,$N$2614)))</f>
        <v/>
      </c>
      <c r="U2632" s="95">
        <f>IF($L$2614,$T2632,$N2632)</f>
        <v/>
      </c>
    </row>
    <row r="2633">
      <c r="A2633" s="90" t="n">
        <v>17</v>
      </c>
      <c r="B2633" s="91">
        <f>EDATE($B2632,1)</f>
        <v/>
      </c>
      <c r="C2633" s="92">
        <f>EOMONTH($B2633,0)</f>
        <v/>
      </c>
      <c r="D2633" s="87">
        <f>$C2633-$B2633+1</f>
        <v/>
      </c>
      <c r="E2633" s="87">
        <f>MONTH($B2633)</f>
        <v/>
      </c>
      <c r="F2633" s="93">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$N2633*IF($O$2614=1,$O2633/$F$2614,1)</f>
        <v/>
      </c>
      <c r="T2633" s="95">
        <f>IF($G2633&lt;nr_MStartP,$S2633,$T2621*(1+IF($G2633&lt;nr_MStartP1,$M$2614,$N$2614)))</f>
        <v/>
      </c>
      <c r="U2633" s="95">
        <f>IF($L$2614,$T2633,$N2633)</f>
        <v/>
      </c>
    </row>
    <row r="2634">
      <c r="A2634" s="90" t="n">
        <v>18</v>
      </c>
      <c r="B2634" s="91">
        <f>EDATE($B2633,1)</f>
        <v/>
      </c>
      <c r="C2634" s="92">
        <f>EOMONTH($B2634,0)</f>
        <v/>
      </c>
      <c r="D2634" s="87">
        <f>$C2634-$B2634+1</f>
        <v/>
      </c>
      <c r="E2634" s="87">
        <f>MONTH($B2634)</f>
        <v/>
      </c>
      <c r="F2634" s="93">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$N2634*IF($O$2614=1,$O2634/$F$2614,1)</f>
        <v/>
      </c>
      <c r="T2634" s="95">
        <f>IF($G2634&lt;nr_MStartP,$S2634,$T2622*(1+IF($G2634&lt;nr_MStartP1,$M$2614,$N$2614)))</f>
        <v/>
      </c>
      <c r="U2634" s="95">
        <f>IF($L$2614,$T2634,$N2634)</f>
        <v/>
      </c>
    </row>
    <row r="2635">
      <c r="A2635" s="90" t="n">
        <v>19</v>
      </c>
      <c r="B2635" s="91">
        <f>EDATE($B2634,1)</f>
        <v/>
      </c>
      <c r="C2635" s="92">
        <f>EOMONTH($B2635,0)</f>
        <v/>
      </c>
      <c r="D2635" s="87">
        <f>$C2635-$B2635+1</f>
        <v/>
      </c>
      <c r="E2635" s="87">
        <f>MONTH($B2635)</f>
        <v/>
      </c>
      <c r="F2635" s="93">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$N2635*IF($O$2614=1,$O2635/$F$2614,1)</f>
        <v/>
      </c>
      <c r="T2635" s="95">
        <f>IF($G2635&lt;nr_MStartP,$S2635,$T2623*(1+IF($G2635&lt;nr_MStartP1,$M$2614,$N$2614)))</f>
        <v/>
      </c>
      <c r="U2635" s="95">
        <f>IF($L$2614,$T2635,$N2635)</f>
        <v/>
      </c>
    </row>
    <row r="2636">
      <c r="A2636" s="90" t="n">
        <v>20</v>
      </c>
      <c r="B2636" s="91">
        <f>EDATE($B2635,1)</f>
        <v/>
      </c>
      <c r="C2636" s="92">
        <f>EOMONTH($B2636,0)</f>
        <v/>
      </c>
      <c r="D2636" s="87">
        <f>$C2636-$B2636+1</f>
        <v/>
      </c>
      <c r="E2636" s="87">
        <f>MONTH($B2636)</f>
        <v/>
      </c>
      <c r="F2636" s="93">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$N2636*IF($O$2614=1,$O2636/$F$2614,1)</f>
        <v/>
      </c>
      <c r="T2636" s="95">
        <f>IF($G2636&lt;nr_MStartP,$S2636,$T2624*(1+IF($G2636&lt;nr_MStartP1,$M$2614,$N$2614)))</f>
        <v/>
      </c>
      <c r="U2636" s="95">
        <f>IF($L$2614,$T2636,$N2636)</f>
        <v/>
      </c>
    </row>
    <row r="2637">
      <c r="A2637" s="90" t="n">
        <v>21</v>
      </c>
      <c r="B2637" s="91">
        <f>EDATE($B2636,1)</f>
        <v/>
      </c>
      <c r="C2637" s="92">
        <f>EOMONTH($B2637,0)</f>
        <v/>
      </c>
      <c r="D2637" s="87">
        <f>$C2637-$B2637+1</f>
        <v/>
      </c>
      <c r="E2637" s="87">
        <f>MONTH($B2637)</f>
        <v/>
      </c>
      <c r="F2637" s="93">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$N2637*IF($O$2614=1,$O2637/$F$2614,1)</f>
        <v/>
      </c>
      <c r="T2637" s="95">
        <f>IF($G2637&lt;nr_MStartP,$S2637,$T2625*(1+IF($G2637&lt;nr_MStartP1,$M$2614,$N$2614)))</f>
        <v/>
      </c>
      <c r="U2637" s="95">
        <f>IF($L$2614,$T2637,$N2637)</f>
        <v/>
      </c>
    </row>
    <row r="2638">
      <c r="A2638" s="90" t="n">
        <v>22</v>
      </c>
      <c r="B2638" s="91">
        <f>EDATE($B2637,1)</f>
        <v/>
      </c>
      <c r="C2638" s="92">
        <f>EOMONTH($B2638,0)</f>
        <v/>
      </c>
      <c r="D2638" s="87">
        <f>$C2638-$B2638+1</f>
        <v/>
      </c>
      <c r="E2638" s="87">
        <f>MONTH($B2638)</f>
        <v/>
      </c>
      <c r="F2638" s="93">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$N2638*IF($O$2614=1,$O2638/$F$2614,1)</f>
        <v/>
      </c>
      <c r="T2638" s="95">
        <f>IF($G2638&lt;nr_MStartP,$S2638,$T2626*(1+IF($G2638&lt;nr_MStartP1,$M$2614,$N$2614)))</f>
        <v/>
      </c>
      <c r="U2638" s="95">
        <f>IF($L$2614,$T2638,$N2638)</f>
        <v/>
      </c>
    </row>
    <row r="2639">
      <c r="A2639" s="90" t="n">
        <v>23</v>
      </c>
      <c r="B2639" s="91">
        <f>EDATE($B2638,1)</f>
        <v/>
      </c>
      <c r="C2639" s="92">
        <f>EOMONTH($B2639,0)</f>
        <v/>
      </c>
      <c r="D2639" s="87">
        <f>$C2639-$B2639+1</f>
        <v/>
      </c>
      <c r="E2639" s="87">
        <f>MONTH($B2639)</f>
        <v/>
      </c>
      <c r="F2639" s="93">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$N2639*IF($O$2614=1,$O2639/$F$2614,1)</f>
        <v/>
      </c>
      <c r="T2639" s="95">
        <f>IF($G2639&lt;nr_MStartP,$S2639,$T2627*(1+IF($G2639&lt;nr_MStartP1,$M$2614,$N$2614)))</f>
        <v/>
      </c>
      <c r="U2639" s="95">
        <f>IF($L$2614,$T2639,$N2639)</f>
        <v/>
      </c>
    </row>
    <row r="2640">
      <c r="A2640" s="90" t="n">
        <v>24</v>
      </c>
      <c r="B2640" s="91">
        <f>EDATE($B2639,1)</f>
        <v/>
      </c>
      <c r="C2640" s="92">
        <f>EOMONTH($B2640,0)</f>
        <v/>
      </c>
      <c r="D2640" s="87">
        <f>$C2640-$B2640+1</f>
        <v/>
      </c>
      <c r="E2640" s="87">
        <f>MONTH($B2640)</f>
        <v/>
      </c>
      <c r="F2640" s="93">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$N2640*IF($O$2614=1,$O2640/$F$2614,1)</f>
        <v/>
      </c>
      <c r="T2640" s="95">
        <f>IF($G2640&lt;nr_MStartP,$S2640,$T2628*(1+IF($G2640&lt;nr_MStartP1,$M$2614,$N$2614)))</f>
        <v/>
      </c>
      <c r="U2640" s="95">
        <f>IF($L$2614,$T2640,$N2640)</f>
        <v/>
      </c>
    </row>
    <row r="2641">
      <c r="A2641" s="90" t="n">
        <v>25</v>
      </c>
      <c r="B2641" s="91">
        <f>EDATE($B2640,1)</f>
        <v/>
      </c>
      <c r="C2641" s="92">
        <f>EOMONTH($B2641,0)</f>
        <v/>
      </c>
      <c r="D2641" s="87">
        <f>$C2641-$B2641+1</f>
        <v/>
      </c>
      <c r="E2641" s="87">
        <f>MONTH($B2641)</f>
        <v/>
      </c>
      <c r="F2641" s="93">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$N2641*IF($O$2614=1,$O2641/$F$2614,1)</f>
        <v/>
      </c>
      <c r="T2641" s="95">
        <f>IF($G2641&lt;nr_MStartP,$S2641,$T2629*(1+IF($G2641&lt;nr_MStartP1,$M$2614,$N$2614)))</f>
        <v/>
      </c>
      <c r="U2641" s="95">
        <f>IF($L$2614,$T2641,$N2641)</f>
        <v/>
      </c>
    </row>
    <row r="2642">
      <c r="A2642" s="90" t="n">
        <v>26</v>
      </c>
      <c r="B2642" s="91">
        <f>EDATE($B2641,1)</f>
        <v/>
      </c>
      <c r="C2642" s="92">
        <f>EOMONTH($B2642,0)</f>
        <v/>
      </c>
      <c r="D2642" s="87">
        <f>$C2642-$B2642+1</f>
        <v/>
      </c>
      <c r="E2642" s="87">
        <f>MONTH($B2642)</f>
        <v/>
      </c>
      <c r="F2642" s="93">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$N2642*IF($O$2614=1,$O2642/$F$2614,1)</f>
        <v/>
      </c>
      <c r="T2642" s="95">
        <f>IF($G2642&lt;nr_MStartP,$S2642,$T2630*(1+IF($G2642&lt;nr_MStartP1,$M$2614,$N$2614)))</f>
        <v/>
      </c>
      <c r="U2642" s="95">
        <f>IF($L$2614,$T2642,$N2642)</f>
        <v/>
      </c>
    </row>
    <row r="2643">
      <c r="A2643" s="90" t="n">
        <v>27</v>
      </c>
      <c r="B2643" s="91">
        <f>EDATE($B2642,1)</f>
        <v/>
      </c>
      <c r="C2643" s="92">
        <f>EOMONTH($B2643,0)</f>
        <v/>
      </c>
      <c r="D2643" s="87">
        <f>$C2643-$B2643+1</f>
        <v/>
      </c>
      <c r="E2643" s="87">
        <f>MONTH($B2643)</f>
        <v/>
      </c>
      <c r="F2643" s="93">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$N2643*IF($O$2614=1,$O2643/$F$2614,1)</f>
        <v/>
      </c>
      <c r="T2643" s="95">
        <f>IF($G2643&lt;nr_MStartP,$S2643,$T2631*(1+IF($G2643&lt;nr_MStartP1,$M$2614,$N$2614)))</f>
        <v/>
      </c>
      <c r="U2643" s="95">
        <f>IF($L$2614,$T2643,$N2643)</f>
        <v/>
      </c>
    </row>
    <row r="2644">
      <c r="A2644" s="90" t="n">
        <v>28</v>
      </c>
      <c r="B2644" s="91">
        <f>EDATE($B2643,1)</f>
        <v/>
      </c>
      <c r="C2644" s="92">
        <f>EOMONTH($B2644,0)</f>
        <v/>
      </c>
      <c r="D2644" s="87">
        <f>$C2644-$B2644+1</f>
        <v/>
      </c>
      <c r="E2644" s="87">
        <f>MONTH($B2644)</f>
        <v/>
      </c>
      <c r="F2644" s="93">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$N2644*IF($O$2614=1,$O2644/$F$2614,1)</f>
        <v/>
      </c>
      <c r="T2644" s="95">
        <f>IF($G2644&lt;nr_MStartP,$S2644,$T2632*(1+IF($G2644&lt;nr_MStartP1,$M$2614,$N$2614)))</f>
        <v/>
      </c>
      <c r="U2644" s="95">
        <f>IF($L$2614,$T2644,$N2644)</f>
        <v/>
      </c>
    </row>
    <row r="2645">
      <c r="A2645" s="90" t="n">
        <v>29</v>
      </c>
      <c r="B2645" s="91">
        <f>EDATE($B2644,1)</f>
        <v/>
      </c>
      <c r="C2645" s="92">
        <f>EOMONTH($B2645,0)</f>
        <v/>
      </c>
      <c r="D2645" s="87">
        <f>$C2645-$B2645+1</f>
        <v/>
      </c>
      <c r="E2645" s="87">
        <f>MONTH($B2645)</f>
        <v/>
      </c>
      <c r="F2645" s="93">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$N2645*IF($O$2614=1,$O2645/$F$2614,1)</f>
        <v/>
      </c>
      <c r="T2645" s="95">
        <f>IF($G2645&lt;nr_MStartP,$S2645,$T2633*(1+IF($G2645&lt;nr_MStartP1,$M$2614,$N$2614)))</f>
        <v/>
      </c>
      <c r="U2645" s="95">
        <f>IF($L$2614,$T2645,$N2645)</f>
        <v/>
      </c>
    </row>
    <row r="2646">
      <c r="A2646" s="90" t="n">
        <v>30</v>
      </c>
      <c r="B2646" s="91">
        <f>EDATE($B2645,1)</f>
        <v/>
      </c>
      <c r="C2646" s="92">
        <f>EOMONTH($B2646,0)</f>
        <v/>
      </c>
      <c r="D2646" s="87">
        <f>$C2646-$B2646+1</f>
        <v/>
      </c>
      <c r="E2646" s="87">
        <f>MONTH($B2646)</f>
        <v/>
      </c>
      <c r="F2646" s="93">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$N2646*IF($O$2614=1,$O2646/$F$2614,1)</f>
        <v/>
      </c>
      <c r="T2646" s="95">
        <f>IF($G2646&lt;nr_MStartP,$S2646,$T2634*(1+IF($G2646&lt;nr_MStartP1,$M$2614,$N$2614)))</f>
        <v/>
      </c>
      <c r="U2646" s="95">
        <f>IF($L$2614,$T2646,$N2646)</f>
        <v/>
      </c>
    </row>
    <row r="2647">
      <c r="A2647" s="90" t="n">
        <v>31</v>
      </c>
      <c r="B2647" s="91">
        <f>EDATE($B2646,1)</f>
        <v/>
      </c>
      <c r="C2647" s="92">
        <f>EOMONTH($B2647,0)</f>
        <v/>
      </c>
      <c r="D2647" s="87">
        <f>$C2647-$B2647+1</f>
        <v/>
      </c>
      <c r="E2647" s="87">
        <f>MONTH($B2647)</f>
        <v/>
      </c>
      <c r="F2647" s="93">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$N2647*IF($O$2614=1,$O2647/$F$2614,1)</f>
        <v/>
      </c>
      <c r="T2647" s="95">
        <f>IF($G2647&lt;nr_MStartP,$S2647,$T2635*(1+IF($G2647&lt;nr_MStartP1,$M$2614,$N$2614)))</f>
        <v/>
      </c>
      <c r="U2647" s="95">
        <f>IF($L$2614,$T2647,$N2647)</f>
        <v/>
      </c>
    </row>
    <row r="2648">
      <c r="A2648" s="90" t="n">
        <v>32</v>
      </c>
      <c r="B2648" s="91">
        <f>EDATE($B2647,1)</f>
        <v/>
      </c>
      <c r="C2648" s="92">
        <f>EOMONTH($B2648,0)</f>
        <v/>
      </c>
      <c r="D2648" s="87">
        <f>$C2648-$B2648+1</f>
        <v/>
      </c>
      <c r="E2648" s="87">
        <f>MONTH($B2648)</f>
        <v/>
      </c>
      <c r="F2648" s="93">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$N2648*IF($O$2614=1,$O2648/$F$2614,1)</f>
        <v/>
      </c>
      <c r="T2648" s="95">
        <f>IF($G2648&lt;nr_MStartP,$S2648,$T2636*(1+IF($G2648&lt;nr_MStartP1,$M$2614,$N$2614)))</f>
        <v/>
      </c>
      <c r="U2648" s="95">
        <f>IF($L$2614,$T2648,$N2648)</f>
        <v/>
      </c>
    </row>
    <row r="2649">
      <c r="A2649" s="90" t="n">
        <v>33</v>
      </c>
      <c r="B2649" s="91">
        <f>EDATE($B2648,1)</f>
        <v/>
      </c>
      <c r="C2649" s="92">
        <f>EOMONTH($B2649,0)</f>
        <v/>
      </c>
      <c r="D2649" s="87">
        <f>$C2649-$B2649+1</f>
        <v/>
      </c>
      <c r="E2649" s="87">
        <f>MONTH($B2649)</f>
        <v/>
      </c>
      <c r="F2649" s="93">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$N2649*IF($O$2614=1,$O2649/$F$2614,1)</f>
        <v/>
      </c>
      <c r="T2649" s="95">
        <f>IF($G2649&lt;nr_MStartP,$S2649,$T2637*(1+IF($G2649&lt;nr_MStartP1,$M$2614,$N$2614)))</f>
        <v/>
      </c>
      <c r="U2649" s="95">
        <f>IF($L$2614,$T2649,$N2649)</f>
        <v/>
      </c>
    </row>
    <row r="2650">
      <c r="A2650" s="90" t="n">
        <v>34</v>
      </c>
      <c r="B2650" s="91">
        <f>EDATE($B2649,1)</f>
        <v/>
      </c>
      <c r="C2650" s="92">
        <f>EOMONTH($B2650,0)</f>
        <v/>
      </c>
      <c r="D2650" s="87">
        <f>$C2650-$B2650+1</f>
        <v/>
      </c>
      <c r="E2650" s="87">
        <f>MONTH($B2650)</f>
        <v/>
      </c>
      <c r="F2650" s="93">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$N2650*IF($O$2614=1,$O2650/$F$2614,1)</f>
        <v/>
      </c>
      <c r="T2650" s="95">
        <f>IF($G2650&lt;nr_MStartP,$S2650,$T2638*(1+IF($G2650&lt;nr_MStartP1,$M$2614,$N$2614)))</f>
        <v/>
      </c>
      <c r="U2650" s="95">
        <f>IF($L$2614,$T2650,$N2650)</f>
        <v/>
      </c>
    </row>
    <row r="2651">
      <c r="A2651" s="90" t="n">
        <v>35</v>
      </c>
      <c r="B2651" s="91">
        <f>EDATE($B2650,1)</f>
        <v/>
      </c>
      <c r="C2651" s="92">
        <f>EOMONTH($B2651,0)</f>
        <v/>
      </c>
      <c r="D2651" s="87">
        <f>$C2651-$B2651+1</f>
        <v/>
      </c>
      <c r="E2651" s="87">
        <f>MONTH($B2651)</f>
        <v/>
      </c>
      <c r="F2651" s="93">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$N2651*IF($O$2614=1,$O2651/$F$2614,1)</f>
        <v/>
      </c>
      <c r="T2651" s="95">
        <f>IF($G2651&lt;nr_MStartP,$S2651,$T2639*(1+IF($G2651&lt;nr_MStartP1,$M$2614,$N$2614)))</f>
        <v/>
      </c>
      <c r="U2651" s="95">
        <f>IF($L$2614,$T2651,$N2651)</f>
        <v/>
      </c>
    </row>
    <row r="2652">
      <c r="A2652" s="90" t="n">
        <v>36</v>
      </c>
      <c r="B2652" s="91">
        <f>EDATE($B2651,1)</f>
        <v/>
      </c>
      <c r="C2652" s="92">
        <f>EOMONTH($B2652,0)</f>
        <v/>
      </c>
      <c r="D2652" s="87">
        <f>$C2652-$B2652+1</f>
        <v/>
      </c>
      <c r="E2652" s="87">
        <f>MONTH($B2652)</f>
        <v/>
      </c>
      <c r="F2652" s="93">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$N2652*IF($O$2614=1,$O2652/$F$2614,1)</f>
        <v/>
      </c>
      <c r="T2652" s="95">
        <f>IF($G2652&lt;nr_MStartP,$S2652,$T2640*(1+IF($G2652&lt;nr_MStartP1,$M$2614,$N$2614)))</f>
        <v/>
      </c>
      <c r="U2652" s="95">
        <f>IF($L$2614,$T2652,$N2652)</f>
        <v/>
      </c>
    </row>
    <row r="2653">
      <c r="A2653" s="90" t="n">
        <v>37</v>
      </c>
      <c r="B2653" s="91">
        <f>EDATE($B2652,1)</f>
        <v/>
      </c>
      <c r="C2653" s="92">
        <f>EOMONTH($B2653,0)</f>
        <v/>
      </c>
      <c r="D2653" s="87">
        <f>$C2653-$B2653+1</f>
        <v/>
      </c>
      <c r="E2653" s="87">
        <f>MONTH($B2653)</f>
        <v/>
      </c>
      <c r="F2653" s="93">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$N2653*IF($O$2614=1,$O2653/$F$2614,1)</f>
        <v/>
      </c>
      <c r="T2653" s="95">
        <f>IF($G2653&lt;nr_MStartP,$S2653,$T2641*(1+IF($G2653&lt;nr_MStartP1,$M$2614,$N$2614)))</f>
        <v/>
      </c>
      <c r="U2653" s="95">
        <f>IF($L$2614,$T2653,$N2653)</f>
        <v/>
      </c>
    </row>
    <row r="2654">
      <c r="A2654" s="90" t="n">
        <v>38</v>
      </c>
      <c r="B2654" s="91">
        <f>EDATE($B2653,1)</f>
        <v/>
      </c>
      <c r="C2654" s="92">
        <f>EOMONTH($B2654,0)</f>
        <v/>
      </c>
      <c r="D2654" s="87">
        <f>$C2654-$B2654+1</f>
        <v/>
      </c>
      <c r="E2654" s="87">
        <f>MONTH($B2654)</f>
        <v/>
      </c>
      <c r="F2654" s="93">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$N2654*IF($O$2614=1,$O2654/$F$2614,1)</f>
        <v/>
      </c>
      <c r="T2654" s="95">
        <f>IF($G2654&lt;nr_MStartP,$S2654,$T2642*(1+IF($G2654&lt;nr_MStartP1,$M$2614,$N$2614)))</f>
        <v/>
      </c>
      <c r="U2654" s="95">
        <f>IF($L$2614,$T2654,$N2654)</f>
        <v/>
      </c>
    </row>
    <row r="2655">
      <c r="A2655" s="90" t="n">
        <v>39</v>
      </c>
      <c r="B2655" s="91">
        <f>EDATE($B2654,1)</f>
        <v/>
      </c>
      <c r="C2655" s="92">
        <f>EOMONTH($B2655,0)</f>
        <v/>
      </c>
      <c r="D2655" s="87">
        <f>$C2655-$B2655+1</f>
        <v/>
      </c>
      <c r="E2655" s="87">
        <f>MONTH($B2655)</f>
        <v/>
      </c>
      <c r="F2655" s="93">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$N2655*IF($O$2614=1,$O2655/$F$2614,1)</f>
        <v/>
      </c>
      <c r="T2655" s="95">
        <f>IF($G2655&lt;nr_MStartP,$S2655,$T2643*(1+IF($G2655&lt;nr_MStartP1,$M$2614,$N$2614)))</f>
        <v/>
      </c>
      <c r="U2655" s="95">
        <f>IF($L$2614,$T2655,$N2655)</f>
        <v/>
      </c>
    </row>
    <row r="2656">
      <c r="A2656" s="90" t="n">
        <v>40</v>
      </c>
      <c r="B2656" s="91">
        <f>EDATE($B2655,1)</f>
        <v/>
      </c>
      <c r="C2656" s="92">
        <f>EOMONTH($B2656,0)</f>
        <v/>
      </c>
      <c r="D2656" s="87">
        <f>$C2656-$B2656+1</f>
        <v/>
      </c>
      <c r="E2656" s="87">
        <f>MONTH($B2656)</f>
        <v/>
      </c>
      <c r="F2656" s="93">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$N2656*IF($O$2614=1,$O2656/$F$2614,1)</f>
        <v/>
      </c>
      <c r="T2656" s="95">
        <f>IF($G2656&lt;nr_MStartP,$S2656,$T2644*(1+IF($G2656&lt;nr_MStartP1,$M$2614,$N$2614)))</f>
        <v/>
      </c>
      <c r="U2656" s="95">
        <f>IF($L$2614,$T2656,$N2656)</f>
        <v/>
      </c>
    </row>
    <row r="2657">
      <c r="A2657" s="90" t="n">
        <v>41</v>
      </c>
      <c r="B2657" s="91">
        <f>EDATE($B2656,1)</f>
        <v/>
      </c>
      <c r="C2657" s="92">
        <f>EOMONTH($B2657,0)</f>
        <v/>
      </c>
      <c r="D2657" s="87">
        <f>$C2657-$B2657+1</f>
        <v/>
      </c>
      <c r="E2657" s="87">
        <f>MONTH($B2657)</f>
        <v/>
      </c>
      <c r="F2657" s="93">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$N2657*IF($O$2614=1,$O2657/$F$2614,1)</f>
        <v/>
      </c>
      <c r="T2657" s="95">
        <f>IF($G2657&lt;nr_MStartP,$S2657,$T2645*(1+IF($G2657&lt;nr_MStartP1,$M$2614,$N$2614)))</f>
        <v/>
      </c>
      <c r="U2657" s="95">
        <f>IF($L$2614,$T2657,$N2657)</f>
        <v/>
      </c>
    </row>
    <row r="2658">
      <c r="A2658" s="90" t="n">
        <v>42</v>
      </c>
      <c r="B2658" s="91">
        <f>EDATE($B2657,1)</f>
        <v/>
      </c>
      <c r="C2658" s="92">
        <f>EOMONTH($B2658,0)</f>
        <v/>
      </c>
      <c r="D2658" s="87">
        <f>$C2658-$B2658+1</f>
        <v/>
      </c>
      <c r="E2658" s="87">
        <f>MONTH($B2658)</f>
        <v/>
      </c>
      <c r="F2658" s="93">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$N2658*IF($O$2614=1,$O2658/$F$2614,1)</f>
        <v/>
      </c>
      <c r="T2658" s="95">
        <f>IF($G2658&lt;nr_MStartP,$S2658,$T2646*(1+IF($G2658&lt;nr_MStartP1,$M$2614,$N$2614)))</f>
        <v/>
      </c>
      <c r="U2658" s="95">
        <f>IF($L$2614,$T2658,$N2658)</f>
        <v/>
      </c>
    </row>
    <row r="2659">
      <c r="A2659" s="90" t="n">
        <v>43</v>
      </c>
      <c r="B2659" s="91">
        <f>EDATE($B2658,1)</f>
        <v/>
      </c>
      <c r="C2659" s="92">
        <f>EOMONTH($B2659,0)</f>
        <v/>
      </c>
      <c r="D2659" s="87">
        <f>$C2659-$B2659+1</f>
        <v/>
      </c>
      <c r="E2659" s="87">
        <f>MONTH($B2659)</f>
        <v/>
      </c>
      <c r="F2659" s="93">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$N2659*IF($O$2614=1,$O2659/$F$2614,1)</f>
        <v/>
      </c>
      <c r="T2659" s="95">
        <f>IF($G2659&lt;nr_MStartP,$S2659,$T2647*(1+IF($G2659&lt;nr_MStartP1,$M$2614,$N$2614)))</f>
        <v/>
      </c>
      <c r="U2659" s="95">
        <f>IF($L$2614,$T2659,$N2659)</f>
        <v/>
      </c>
    </row>
    <row r="2660">
      <c r="A2660" s="90" t="n">
        <v>44</v>
      </c>
      <c r="B2660" s="91">
        <f>EDATE($B2659,1)</f>
        <v/>
      </c>
      <c r="C2660" s="92">
        <f>EOMONTH($B2660,0)</f>
        <v/>
      </c>
      <c r="D2660" s="87">
        <f>$C2660-$B2660+1</f>
        <v/>
      </c>
      <c r="E2660" s="87">
        <f>MONTH($B2660)</f>
        <v/>
      </c>
      <c r="F2660" s="93">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$N2660*IF($O$2614=1,$O2660/$F$2614,1)</f>
        <v/>
      </c>
      <c r="T2660" s="95">
        <f>IF($G2660&lt;nr_MStartP,$S2660,$T2648*(1+IF($G2660&lt;nr_MStartP1,$M$2614,$N$2614)))</f>
        <v/>
      </c>
      <c r="U2660" s="95">
        <f>IF($L$2614,$T2660,$N2660)</f>
        <v/>
      </c>
    </row>
    <row r="2661">
      <c r="A2661" s="90" t="n">
        <v>45</v>
      </c>
      <c r="B2661" s="91">
        <f>EDATE($B2660,1)</f>
        <v/>
      </c>
      <c r="C2661" s="92">
        <f>EOMONTH($B2661,0)</f>
        <v/>
      </c>
      <c r="D2661" s="87">
        <f>$C2661-$B2661+1</f>
        <v/>
      </c>
      <c r="E2661" s="87">
        <f>MONTH($B2661)</f>
        <v/>
      </c>
      <c r="F2661" s="93">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$N2661*IF($O$2614=1,$O2661/$F$2614,1)</f>
        <v/>
      </c>
      <c r="T2661" s="95">
        <f>IF($G2661&lt;nr_MStartP,$S2661,$T2649*(1+IF($G2661&lt;nr_MStartP1,$M$2614,$N$2614)))</f>
        <v/>
      </c>
      <c r="U2661" s="95">
        <f>IF($L$2614,$T2661,$N2661)</f>
        <v/>
      </c>
    </row>
    <row r="2662">
      <c r="A2662" s="90" t="n">
        <v>46</v>
      </c>
      <c r="B2662" s="91">
        <f>EDATE($B2661,1)</f>
        <v/>
      </c>
      <c r="C2662" s="92">
        <f>EOMONTH($B2662,0)</f>
        <v/>
      </c>
      <c r="D2662" s="87">
        <f>$C2662-$B2662+1</f>
        <v/>
      </c>
      <c r="E2662" s="87">
        <f>MONTH($B2662)</f>
        <v/>
      </c>
      <c r="F2662" s="93">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$N2662*IF($O$2614=1,$O2662/$F$2614,1)</f>
        <v/>
      </c>
      <c r="T2662" s="95">
        <f>IF($G2662&lt;nr_MStartP,$S2662,$T2650*(1+IF($G2662&lt;nr_MStartP1,$M$2614,$N$2614)))</f>
        <v/>
      </c>
      <c r="U2662" s="95">
        <f>IF($L$2614,$T2662,$N2662)</f>
        <v/>
      </c>
    </row>
    <row r="2663">
      <c r="A2663" s="90" t="n">
        <v>47</v>
      </c>
      <c r="B2663" s="91">
        <f>EDATE($B2662,1)</f>
        <v/>
      </c>
      <c r="C2663" s="92">
        <f>EOMONTH($B2663,0)</f>
        <v/>
      </c>
      <c r="D2663" s="87">
        <f>$C2663-$B2663+1</f>
        <v/>
      </c>
      <c r="E2663" s="87">
        <f>MONTH($B2663)</f>
        <v/>
      </c>
      <c r="F2663" s="93">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$N2663*IF($O$2614=1,$O2663/$F$2614,1)</f>
        <v/>
      </c>
      <c r="T2663" s="95">
        <f>IF($G2663&lt;nr_MStartP,$S2663,$T2651*(1+IF($G2663&lt;nr_MStartP1,$M$2614,$N$2614)))</f>
        <v/>
      </c>
      <c r="U2663" s="95">
        <f>IF($L$2614,$T2663,$N2663)</f>
        <v/>
      </c>
    </row>
    <row r="2664">
      <c r="A2664" s="90" t="n">
        <v>48</v>
      </c>
      <c r="B2664" s="91">
        <f>EDATE($B2663,1)</f>
        <v/>
      </c>
      <c r="C2664" s="92">
        <f>EOMONTH($B2664,0)</f>
        <v/>
      </c>
      <c r="D2664" s="87">
        <f>$C2664-$B2664+1</f>
        <v/>
      </c>
      <c r="E2664" s="87">
        <f>MONTH($B2664)</f>
        <v/>
      </c>
      <c r="F2664" s="93">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$N2664*IF($O$2614=1,$O2664/$F$2614,1)</f>
        <v/>
      </c>
      <c r="T2664" s="95">
        <f>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04">
        <f>SUMPRODUCT($H$2617:$H$2664,$Q$2617:$Q$2664,$O$2617:$O$2664)/SUMPRODUCT($H$2617:$H$2664,$Q$2617:$Q$2664)</f>
        <v/>
      </c>
      <c r="G2665" s="20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04">
        <f>IF(N(INDEX(lr_mind,49))=0,1,INDEX(lr_mind,49))</f>
        <v/>
      </c>
      <c r="G2668" s="204">
        <f>IF(N(INDEX(lr_m0,49))=0,1,INDEX(lr_m0,49))</f>
        <v/>
      </c>
      <c r="H2668" s="73">
        <f>IF(N(INDEX(lr_m0asof,49))=0,DATE(nr_PlanYear-1,10,1),INDEX(lr_m0asof,49))</f>
        <v/>
      </c>
      <c r="I2668" s="204">
        <f>IF(N(INDEX(lr_m1,49))=0,1,INDEX(lr_m1,49))</f>
        <v/>
      </c>
      <c r="J2668" s="204">
        <f>INDEX(lr_mprior,49)</f>
        <v/>
      </c>
      <c r="K2668" s="20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93">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$N2671*IF($O$2668=1,$O2671/$F$2668,1)</f>
        <v/>
      </c>
      <c r="T2671" s="95">
        <f>IF($G2671&lt;nr_MStartP,$S2671,$T2659*(1+IF($G2671&lt;nr_MStartP1,$M$2668,$N$2668)))</f>
        <v/>
      </c>
      <c r="U2671" s="95">
        <f>IF($L$2668,$T2671,$N2671)</f>
        <v/>
      </c>
    </row>
    <row r="2672">
      <c r="A2672" s="90" t="n">
        <v>2</v>
      </c>
      <c r="B2672" s="91">
        <f>EDATE($B2671,1)</f>
        <v/>
      </c>
      <c r="C2672" s="92">
        <f>EOMONTH($B2672,0)</f>
        <v/>
      </c>
      <c r="D2672" s="87">
        <f>$C2672-$B2672+1</f>
        <v/>
      </c>
      <c r="E2672" s="87">
        <f>MONTH($B2672)</f>
        <v/>
      </c>
      <c r="F2672" s="93">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$N2672*IF($O$2668=1,$O2672/$F$2668,1)</f>
        <v/>
      </c>
      <c r="T2672" s="95">
        <f>IF($G2672&lt;nr_MStartP,$S2672,$T2660*(1+IF($G2672&lt;nr_MStartP1,$M$2668,$N$2668)))</f>
        <v/>
      </c>
      <c r="U2672" s="95">
        <f>IF($L$2668,$T2672,$N2672)</f>
        <v/>
      </c>
    </row>
    <row r="2673">
      <c r="A2673" s="90" t="n">
        <v>3</v>
      </c>
      <c r="B2673" s="91">
        <f>EDATE($B2672,1)</f>
        <v/>
      </c>
      <c r="C2673" s="92">
        <f>EOMONTH($B2673,0)</f>
        <v/>
      </c>
      <c r="D2673" s="87">
        <f>$C2673-$B2673+1</f>
        <v/>
      </c>
      <c r="E2673" s="87">
        <f>MONTH($B2673)</f>
        <v/>
      </c>
      <c r="F2673" s="93">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$N2673*IF($O$2668=1,$O2673/$F$2668,1)</f>
        <v/>
      </c>
      <c r="T2673" s="95">
        <f>IF($G2673&lt;nr_MStartP,$S2673,$T2661*(1+IF($G2673&lt;nr_MStartP1,$M$2668,$N$2668)))</f>
        <v/>
      </c>
      <c r="U2673" s="95">
        <f>IF($L$2668,$T2673,$N2673)</f>
        <v/>
      </c>
    </row>
    <row r="2674">
      <c r="A2674" s="90" t="n">
        <v>4</v>
      </c>
      <c r="B2674" s="91">
        <f>EDATE($B2673,1)</f>
        <v/>
      </c>
      <c r="C2674" s="92">
        <f>EOMONTH($B2674,0)</f>
        <v/>
      </c>
      <c r="D2674" s="87">
        <f>$C2674-$B2674+1</f>
        <v/>
      </c>
      <c r="E2674" s="87">
        <f>MONTH($B2674)</f>
        <v/>
      </c>
      <c r="F2674" s="93">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$N2674*IF($O$2668=1,$O2674/$F$2668,1)</f>
        <v/>
      </c>
      <c r="T2674" s="95">
        <f>IF($G2674&lt;nr_MStartP,$S2674,$T2662*(1+IF($G2674&lt;nr_MStartP1,$M$2668,$N$2668)))</f>
        <v/>
      </c>
      <c r="U2674" s="95">
        <f>IF($L$2668,$T2674,$N2674)</f>
        <v/>
      </c>
    </row>
    <row r="2675">
      <c r="A2675" s="90" t="n">
        <v>5</v>
      </c>
      <c r="B2675" s="91">
        <f>EDATE($B2674,1)</f>
        <v/>
      </c>
      <c r="C2675" s="92">
        <f>EOMONTH($B2675,0)</f>
        <v/>
      </c>
      <c r="D2675" s="87">
        <f>$C2675-$B2675+1</f>
        <v/>
      </c>
      <c r="E2675" s="87">
        <f>MONTH($B2675)</f>
        <v/>
      </c>
      <c r="F2675" s="93">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$N2675*IF($O$2668=1,$O2675/$F$2668,1)</f>
        <v/>
      </c>
      <c r="T2675" s="95">
        <f>IF($G2675&lt;nr_MStartP,$S2675,$T2663*(1+IF($G2675&lt;nr_MStartP1,$M$2668,$N$2668)))</f>
        <v/>
      </c>
      <c r="U2675" s="95">
        <f>IF($L$2668,$T2675,$N2675)</f>
        <v/>
      </c>
    </row>
    <row r="2676">
      <c r="A2676" s="90" t="n">
        <v>6</v>
      </c>
      <c r="B2676" s="91">
        <f>EDATE($B2675,1)</f>
        <v/>
      </c>
      <c r="C2676" s="92">
        <f>EOMONTH($B2676,0)</f>
        <v/>
      </c>
      <c r="D2676" s="87">
        <f>$C2676-$B2676+1</f>
        <v/>
      </c>
      <c r="E2676" s="87">
        <f>MONTH($B2676)</f>
        <v/>
      </c>
      <c r="F2676" s="93">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$N2676*IF($O$2668=1,$O2676/$F$2668,1)</f>
        <v/>
      </c>
      <c r="T2676" s="95">
        <f>IF($G2676&lt;nr_MStartP,$S2676,$T2664*(1+IF($G2676&lt;nr_MStartP1,$M$2668,$N$2668)))</f>
        <v/>
      </c>
      <c r="U2676" s="95">
        <f>IF($L$2668,$T2676,$N2676)</f>
        <v/>
      </c>
    </row>
    <row r="2677">
      <c r="A2677" s="90" t="n">
        <v>7</v>
      </c>
      <c r="B2677" s="91">
        <f>EDATE($B2676,1)</f>
        <v/>
      </c>
      <c r="C2677" s="92">
        <f>EOMONTH($B2677,0)</f>
        <v/>
      </c>
      <c r="D2677" s="87">
        <f>$C2677-$B2677+1</f>
        <v/>
      </c>
      <c r="E2677" s="87">
        <f>MONTH($B2677)</f>
        <v/>
      </c>
      <c r="F2677" s="93">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$N2677*IF($O$2668=1,$O2677/$F$2668,1)</f>
        <v/>
      </c>
      <c r="T2677" s="95">
        <f>IF($G2677&lt;nr_MStartP,$S2677,$T2665*(1+IF($G2677&lt;nr_MStartP1,$M$2668,$N$2668)))</f>
        <v/>
      </c>
      <c r="U2677" s="95">
        <f>IF($L$2668,$T2677,$N2677)</f>
        <v/>
      </c>
    </row>
    <row r="2678">
      <c r="A2678" s="90" t="n">
        <v>8</v>
      </c>
      <c r="B2678" s="91">
        <f>EDATE($B2677,1)</f>
        <v/>
      </c>
      <c r="C2678" s="92">
        <f>EOMONTH($B2678,0)</f>
        <v/>
      </c>
      <c r="D2678" s="87">
        <f>$C2678-$B2678+1</f>
        <v/>
      </c>
      <c r="E2678" s="87">
        <f>MONTH($B2678)</f>
        <v/>
      </c>
      <c r="F2678" s="93">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$N2678*IF($O$2668=1,$O2678/$F$2668,1)</f>
        <v/>
      </c>
      <c r="T2678" s="95">
        <f>IF($G2678&lt;nr_MStartP,$S2678,$T2666*(1+IF($G2678&lt;nr_MStartP1,$M$2668,$N$2668)))</f>
        <v/>
      </c>
      <c r="U2678" s="95">
        <f>IF($L$2668,$T2678,$N2678)</f>
        <v/>
      </c>
    </row>
    <row r="2679">
      <c r="A2679" s="90" t="n">
        <v>9</v>
      </c>
      <c r="B2679" s="91">
        <f>EDATE($B2678,1)</f>
        <v/>
      </c>
      <c r="C2679" s="92">
        <f>EOMONTH($B2679,0)</f>
        <v/>
      </c>
      <c r="D2679" s="87">
        <f>$C2679-$B2679+1</f>
        <v/>
      </c>
      <c r="E2679" s="87">
        <f>MONTH($B2679)</f>
        <v/>
      </c>
      <c r="F2679" s="93">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$N2679*IF($O$2668=1,$O2679/$F$2668,1)</f>
        <v/>
      </c>
      <c r="T2679" s="95">
        <f>IF($G2679&lt;nr_MStartP,$S2679,$T2667*(1+IF($G2679&lt;nr_MStartP1,$M$2668,$N$2668)))</f>
        <v/>
      </c>
      <c r="U2679" s="95">
        <f>IF($L$2668,$T2679,$N2679)</f>
        <v/>
      </c>
    </row>
    <row r="2680">
      <c r="A2680" s="90" t="n">
        <v>10</v>
      </c>
      <c r="B2680" s="91">
        <f>EDATE($B2679,1)</f>
        <v/>
      </c>
      <c r="C2680" s="92">
        <f>EOMONTH($B2680,0)</f>
        <v/>
      </c>
      <c r="D2680" s="87">
        <f>$C2680-$B2680+1</f>
        <v/>
      </c>
      <c r="E2680" s="87">
        <f>MONTH($B2680)</f>
        <v/>
      </c>
      <c r="F2680" s="93">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$N2680*IF($O$2668=1,$O2680/$F$2668,1)</f>
        <v/>
      </c>
      <c r="T2680" s="95">
        <f>IF($G2680&lt;nr_MStartP,$S2680,$T2668*(1+IF($G2680&lt;nr_MStartP1,$M$2668,$N$2668)))</f>
        <v/>
      </c>
      <c r="U2680" s="95">
        <f>IF($L$2668,$T2680,$N2680)</f>
        <v/>
      </c>
    </row>
    <row r="2681">
      <c r="A2681" s="90" t="n">
        <v>11</v>
      </c>
      <c r="B2681" s="91">
        <f>EDATE($B2680,1)</f>
        <v/>
      </c>
      <c r="C2681" s="92">
        <f>EOMONTH($B2681,0)</f>
        <v/>
      </c>
      <c r="D2681" s="87">
        <f>$C2681-$B2681+1</f>
        <v/>
      </c>
      <c r="E2681" s="87">
        <f>MONTH($B2681)</f>
        <v/>
      </c>
      <c r="F2681" s="93">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$N2681*IF($O$2668=1,$O2681/$F$2668,1)</f>
        <v/>
      </c>
      <c r="T2681" s="95">
        <f>IF($G2681&lt;nr_MStartP,$S2681,$T2669*(1+IF($G2681&lt;nr_MStartP1,$M$2668,$N$2668)))</f>
        <v/>
      </c>
      <c r="U2681" s="95">
        <f>IF($L$2668,$T2681,$N2681)</f>
        <v/>
      </c>
    </row>
    <row r="2682">
      <c r="A2682" s="90" t="n">
        <v>12</v>
      </c>
      <c r="B2682" s="91">
        <f>EDATE($B2681,1)</f>
        <v/>
      </c>
      <c r="C2682" s="92">
        <f>EOMONTH($B2682,0)</f>
        <v/>
      </c>
      <c r="D2682" s="87">
        <f>$C2682-$B2682+1</f>
        <v/>
      </c>
      <c r="E2682" s="87">
        <f>MONTH($B2682)</f>
        <v/>
      </c>
      <c r="F2682" s="93">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$N2682*IF($O$2668=1,$O2682/$F$2668,1)</f>
        <v/>
      </c>
      <c r="T2682" s="95">
        <f>IF($G2682&lt;nr_MStartP,$S2682,$T2670*(1+IF($G2682&lt;nr_MStartP1,$M$2668,$N$2668)))</f>
        <v/>
      </c>
      <c r="U2682" s="95">
        <f>IF($L$2668,$T2682,$N2682)</f>
        <v/>
      </c>
    </row>
    <row r="2683">
      <c r="A2683" s="90" t="n">
        <v>13</v>
      </c>
      <c r="B2683" s="91">
        <f>EDATE($B2682,1)</f>
        <v/>
      </c>
      <c r="C2683" s="92">
        <f>EOMONTH($B2683,0)</f>
        <v/>
      </c>
      <c r="D2683" s="87">
        <f>$C2683-$B2683+1</f>
        <v/>
      </c>
      <c r="E2683" s="87">
        <f>MONTH($B2683)</f>
        <v/>
      </c>
      <c r="F2683" s="93">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$N2683*IF($O$2668=1,$O2683/$F$2668,1)</f>
        <v/>
      </c>
      <c r="T2683" s="95">
        <f>IF($G2683&lt;nr_MStartP,$S2683,$T2671*(1+IF($G2683&lt;nr_MStartP1,$M$2668,$N$2668)))</f>
        <v/>
      </c>
      <c r="U2683" s="95">
        <f>IF($L$2668,$T2683,$N2683)</f>
        <v/>
      </c>
    </row>
    <row r="2684">
      <c r="A2684" s="90" t="n">
        <v>14</v>
      </c>
      <c r="B2684" s="91">
        <f>EDATE($B2683,1)</f>
        <v/>
      </c>
      <c r="C2684" s="92">
        <f>EOMONTH($B2684,0)</f>
        <v/>
      </c>
      <c r="D2684" s="87">
        <f>$C2684-$B2684+1</f>
        <v/>
      </c>
      <c r="E2684" s="87">
        <f>MONTH($B2684)</f>
        <v/>
      </c>
      <c r="F2684" s="93">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$N2684*IF($O$2668=1,$O2684/$F$2668,1)</f>
        <v/>
      </c>
      <c r="T2684" s="95">
        <f>IF($G2684&lt;nr_MStartP,$S2684,$T2672*(1+IF($G2684&lt;nr_MStartP1,$M$2668,$N$2668)))</f>
        <v/>
      </c>
      <c r="U2684" s="95">
        <f>IF($L$2668,$T2684,$N2684)</f>
        <v/>
      </c>
    </row>
    <row r="2685">
      <c r="A2685" s="90" t="n">
        <v>15</v>
      </c>
      <c r="B2685" s="91">
        <f>EDATE($B2684,1)</f>
        <v/>
      </c>
      <c r="C2685" s="92">
        <f>EOMONTH($B2685,0)</f>
        <v/>
      </c>
      <c r="D2685" s="87">
        <f>$C2685-$B2685+1</f>
        <v/>
      </c>
      <c r="E2685" s="87">
        <f>MONTH($B2685)</f>
        <v/>
      </c>
      <c r="F2685" s="93">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$N2685*IF($O$2668=1,$O2685/$F$2668,1)</f>
        <v/>
      </c>
      <c r="T2685" s="95">
        <f>IF($G2685&lt;nr_MStartP,$S2685,$T2673*(1+IF($G2685&lt;nr_MStartP1,$M$2668,$N$2668)))</f>
        <v/>
      </c>
      <c r="U2685" s="95">
        <f>IF($L$2668,$T2685,$N2685)</f>
        <v/>
      </c>
    </row>
    <row r="2686">
      <c r="A2686" s="90" t="n">
        <v>16</v>
      </c>
      <c r="B2686" s="91">
        <f>EDATE($B2685,1)</f>
        <v/>
      </c>
      <c r="C2686" s="92">
        <f>EOMONTH($B2686,0)</f>
        <v/>
      </c>
      <c r="D2686" s="87">
        <f>$C2686-$B2686+1</f>
        <v/>
      </c>
      <c r="E2686" s="87">
        <f>MONTH($B2686)</f>
        <v/>
      </c>
      <c r="F2686" s="93">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$N2686*IF($O$2668=1,$O2686/$F$2668,1)</f>
        <v/>
      </c>
      <c r="T2686" s="95">
        <f>IF($G2686&lt;nr_MStartP,$S2686,$T2674*(1+IF($G2686&lt;nr_MStartP1,$M$2668,$N$2668)))</f>
        <v/>
      </c>
      <c r="U2686" s="95">
        <f>IF($L$2668,$T2686,$N2686)</f>
        <v/>
      </c>
    </row>
    <row r="2687">
      <c r="A2687" s="90" t="n">
        <v>17</v>
      </c>
      <c r="B2687" s="91">
        <f>EDATE($B2686,1)</f>
        <v/>
      </c>
      <c r="C2687" s="92">
        <f>EOMONTH($B2687,0)</f>
        <v/>
      </c>
      <c r="D2687" s="87">
        <f>$C2687-$B2687+1</f>
        <v/>
      </c>
      <c r="E2687" s="87">
        <f>MONTH($B2687)</f>
        <v/>
      </c>
      <c r="F2687" s="93">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$N2687*IF($O$2668=1,$O2687/$F$2668,1)</f>
        <v/>
      </c>
      <c r="T2687" s="95">
        <f>IF($G2687&lt;nr_MStartP,$S2687,$T2675*(1+IF($G2687&lt;nr_MStartP1,$M$2668,$N$2668)))</f>
        <v/>
      </c>
      <c r="U2687" s="95">
        <f>IF($L$2668,$T2687,$N2687)</f>
        <v/>
      </c>
    </row>
    <row r="2688">
      <c r="A2688" s="90" t="n">
        <v>18</v>
      </c>
      <c r="B2688" s="91">
        <f>EDATE($B2687,1)</f>
        <v/>
      </c>
      <c r="C2688" s="92">
        <f>EOMONTH($B2688,0)</f>
        <v/>
      </c>
      <c r="D2688" s="87">
        <f>$C2688-$B2688+1</f>
        <v/>
      </c>
      <c r="E2688" s="87">
        <f>MONTH($B2688)</f>
        <v/>
      </c>
      <c r="F2688" s="93">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$N2688*IF($O$2668=1,$O2688/$F$2668,1)</f>
        <v/>
      </c>
      <c r="T2688" s="95">
        <f>IF($G2688&lt;nr_MStartP,$S2688,$T2676*(1+IF($G2688&lt;nr_MStartP1,$M$2668,$N$2668)))</f>
        <v/>
      </c>
      <c r="U2688" s="95">
        <f>IF($L$2668,$T2688,$N2688)</f>
        <v/>
      </c>
    </row>
    <row r="2689">
      <c r="A2689" s="90" t="n">
        <v>19</v>
      </c>
      <c r="B2689" s="91">
        <f>EDATE($B2688,1)</f>
        <v/>
      </c>
      <c r="C2689" s="92">
        <f>EOMONTH($B2689,0)</f>
        <v/>
      </c>
      <c r="D2689" s="87">
        <f>$C2689-$B2689+1</f>
        <v/>
      </c>
      <c r="E2689" s="87">
        <f>MONTH($B2689)</f>
        <v/>
      </c>
      <c r="F2689" s="93">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$N2689*IF($O$2668=1,$O2689/$F$2668,1)</f>
        <v/>
      </c>
      <c r="T2689" s="95">
        <f>IF($G2689&lt;nr_MStartP,$S2689,$T2677*(1+IF($G2689&lt;nr_MStartP1,$M$2668,$N$2668)))</f>
        <v/>
      </c>
      <c r="U2689" s="95">
        <f>IF($L$2668,$T2689,$N2689)</f>
        <v/>
      </c>
    </row>
    <row r="2690">
      <c r="A2690" s="90" t="n">
        <v>20</v>
      </c>
      <c r="B2690" s="91">
        <f>EDATE($B2689,1)</f>
        <v/>
      </c>
      <c r="C2690" s="92">
        <f>EOMONTH($B2690,0)</f>
        <v/>
      </c>
      <c r="D2690" s="87">
        <f>$C2690-$B2690+1</f>
        <v/>
      </c>
      <c r="E2690" s="87">
        <f>MONTH($B2690)</f>
        <v/>
      </c>
      <c r="F2690" s="93">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$N2690*IF($O$2668=1,$O2690/$F$2668,1)</f>
        <v/>
      </c>
      <c r="T2690" s="95">
        <f>IF($G2690&lt;nr_MStartP,$S2690,$T2678*(1+IF($G2690&lt;nr_MStartP1,$M$2668,$N$2668)))</f>
        <v/>
      </c>
      <c r="U2690" s="95">
        <f>IF($L$2668,$T2690,$N2690)</f>
        <v/>
      </c>
    </row>
    <row r="2691">
      <c r="A2691" s="90" t="n">
        <v>21</v>
      </c>
      <c r="B2691" s="91">
        <f>EDATE($B2690,1)</f>
        <v/>
      </c>
      <c r="C2691" s="92">
        <f>EOMONTH($B2691,0)</f>
        <v/>
      </c>
      <c r="D2691" s="87">
        <f>$C2691-$B2691+1</f>
        <v/>
      </c>
      <c r="E2691" s="87">
        <f>MONTH($B2691)</f>
        <v/>
      </c>
      <c r="F2691" s="93">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$N2691*IF($O$2668=1,$O2691/$F$2668,1)</f>
        <v/>
      </c>
      <c r="T2691" s="95">
        <f>IF($G2691&lt;nr_MStartP,$S2691,$T2679*(1+IF($G2691&lt;nr_MStartP1,$M$2668,$N$2668)))</f>
        <v/>
      </c>
      <c r="U2691" s="95">
        <f>IF($L$2668,$T2691,$N2691)</f>
        <v/>
      </c>
    </row>
    <row r="2692">
      <c r="A2692" s="90" t="n">
        <v>22</v>
      </c>
      <c r="B2692" s="91">
        <f>EDATE($B2691,1)</f>
        <v/>
      </c>
      <c r="C2692" s="92">
        <f>EOMONTH($B2692,0)</f>
        <v/>
      </c>
      <c r="D2692" s="87">
        <f>$C2692-$B2692+1</f>
        <v/>
      </c>
      <c r="E2692" s="87">
        <f>MONTH($B2692)</f>
        <v/>
      </c>
      <c r="F2692" s="93">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$N2692*IF($O$2668=1,$O2692/$F$2668,1)</f>
        <v/>
      </c>
      <c r="T2692" s="95">
        <f>IF($G2692&lt;nr_MStartP,$S2692,$T2680*(1+IF($G2692&lt;nr_MStartP1,$M$2668,$N$2668)))</f>
        <v/>
      </c>
      <c r="U2692" s="95">
        <f>IF($L$2668,$T2692,$N2692)</f>
        <v/>
      </c>
    </row>
    <row r="2693">
      <c r="A2693" s="90" t="n">
        <v>23</v>
      </c>
      <c r="B2693" s="91">
        <f>EDATE($B2692,1)</f>
        <v/>
      </c>
      <c r="C2693" s="92">
        <f>EOMONTH($B2693,0)</f>
        <v/>
      </c>
      <c r="D2693" s="87">
        <f>$C2693-$B2693+1</f>
        <v/>
      </c>
      <c r="E2693" s="87">
        <f>MONTH($B2693)</f>
        <v/>
      </c>
      <c r="F2693" s="93">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$N2693*IF($O$2668=1,$O2693/$F$2668,1)</f>
        <v/>
      </c>
      <c r="T2693" s="95">
        <f>IF($G2693&lt;nr_MStartP,$S2693,$T2681*(1+IF($G2693&lt;nr_MStartP1,$M$2668,$N$2668)))</f>
        <v/>
      </c>
      <c r="U2693" s="95">
        <f>IF($L$2668,$T2693,$N2693)</f>
        <v/>
      </c>
    </row>
    <row r="2694">
      <c r="A2694" s="90" t="n">
        <v>24</v>
      </c>
      <c r="B2694" s="91">
        <f>EDATE($B2693,1)</f>
        <v/>
      </c>
      <c r="C2694" s="92">
        <f>EOMONTH($B2694,0)</f>
        <v/>
      </c>
      <c r="D2694" s="87">
        <f>$C2694-$B2694+1</f>
        <v/>
      </c>
      <c r="E2694" s="87">
        <f>MONTH($B2694)</f>
        <v/>
      </c>
      <c r="F2694" s="93">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$N2694*IF($O$2668=1,$O2694/$F$2668,1)</f>
        <v/>
      </c>
      <c r="T2694" s="95">
        <f>IF($G2694&lt;nr_MStartP,$S2694,$T2682*(1+IF($G2694&lt;nr_MStartP1,$M$2668,$N$2668)))</f>
        <v/>
      </c>
      <c r="U2694" s="95">
        <f>IF($L$2668,$T2694,$N2694)</f>
        <v/>
      </c>
    </row>
    <row r="2695">
      <c r="A2695" s="90" t="n">
        <v>25</v>
      </c>
      <c r="B2695" s="91">
        <f>EDATE($B2694,1)</f>
        <v/>
      </c>
      <c r="C2695" s="92">
        <f>EOMONTH($B2695,0)</f>
        <v/>
      </c>
      <c r="D2695" s="87">
        <f>$C2695-$B2695+1</f>
        <v/>
      </c>
      <c r="E2695" s="87">
        <f>MONTH($B2695)</f>
        <v/>
      </c>
      <c r="F2695" s="93">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$N2695*IF($O$2668=1,$O2695/$F$2668,1)</f>
        <v/>
      </c>
      <c r="T2695" s="95">
        <f>IF($G2695&lt;nr_MStartP,$S2695,$T2683*(1+IF($G2695&lt;nr_MStartP1,$M$2668,$N$2668)))</f>
        <v/>
      </c>
      <c r="U2695" s="95">
        <f>IF($L$2668,$T2695,$N2695)</f>
        <v/>
      </c>
    </row>
    <row r="2696">
      <c r="A2696" s="90" t="n">
        <v>26</v>
      </c>
      <c r="B2696" s="91">
        <f>EDATE($B2695,1)</f>
        <v/>
      </c>
      <c r="C2696" s="92">
        <f>EOMONTH($B2696,0)</f>
        <v/>
      </c>
      <c r="D2696" s="87">
        <f>$C2696-$B2696+1</f>
        <v/>
      </c>
      <c r="E2696" s="87">
        <f>MONTH($B2696)</f>
        <v/>
      </c>
      <c r="F2696" s="93">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$N2696*IF($O$2668=1,$O2696/$F$2668,1)</f>
        <v/>
      </c>
      <c r="T2696" s="95">
        <f>IF($G2696&lt;nr_MStartP,$S2696,$T2684*(1+IF($G2696&lt;nr_MStartP1,$M$2668,$N$2668)))</f>
        <v/>
      </c>
      <c r="U2696" s="95">
        <f>IF($L$2668,$T2696,$N2696)</f>
        <v/>
      </c>
    </row>
    <row r="2697">
      <c r="A2697" s="90" t="n">
        <v>27</v>
      </c>
      <c r="B2697" s="91">
        <f>EDATE($B2696,1)</f>
        <v/>
      </c>
      <c r="C2697" s="92">
        <f>EOMONTH($B2697,0)</f>
        <v/>
      </c>
      <c r="D2697" s="87">
        <f>$C2697-$B2697+1</f>
        <v/>
      </c>
      <c r="E2697" s="87">
        <f>MONTH($B2697)</f>
        <v/>
      </c>
      <c r="F2697" s="93">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$N2697*IF($O$2668=1,$O2697/$F$2668,1)</f>
        <v/>
      </c>
      <c r="T2697" s="95">
        <f>IF($G2697&lt;nr_MStartP,$S2697,$T2685*(1+IF($G2697&lt;nr_MStartP1,$M$2668,$N$2668)))</f>
        <v/>
      </c>
      <c r="U2697" s="95">
        <f>IF($L$2668,$T2697,$N2697)</f>
        <v/>
      </c>
    </row>
    <row r="2698">
      <c r="A2698" s="90" t="n">
        <v>28</v>
      </c>
      <c r="B2698" s="91">
        <f>EDATE($B2697,1)</f>
        <v/>
      </c>
      <c r="C2698" s="92">
        <f>EOMONTH($B2698,0)</f>
        <v/>
      </c>
      <c r="D2698" s="87">
        <f>$C2698-$B2698+1</f>
        <v/>
      </c>
      <c r="E2698" s="87">
        <f>MONTH($B2698)</f>
        <v/>
      </c>
      <c r="F2698" s="93">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$N2698*IF($O$2668=1,$O2698/$F$2668,1)</f>
        <v/>
      </c>
      <c r="T2698" s="95">
        <f>IF($G2698&lt;nr_MStartP,$S2698,$T2686*(1+IF($G2698&lt;nr_MStartP1,$M$2668,$N$2668)))</f>
        <v/>
      </c>
      <c r="U2698" s="95">
        <f>IF($L$2668,$T2698,$N2698)</f>
        <v/>
      </c>
    </row>
    <row r="2699">
      <c r="A2699" s="90" t="n">
        <v>29</v>
      </c>
      <c r="B2699" s="91">
        <f>EDATE($B2698,1)</f>
        <v/>
      </c>
      <c r="C2699" s="92">
        <f>EOMONTH($B2699,0)</f>
        <v/>
      </c>
      <c r="D2699" s="87">
        <f>$C2699-$B2699+1</f>
        <v/>
      </c>
      <c r="E2699" s="87">
        <f>MONTH($B2699)</f>
        <v/>
      </c>
      <c r="F2699" s="93">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$N2699*IF($O$2668=1,$O2699/$F$2668,1)</f>
        <v/>
      </c>
      <c r="T2699" s="95">
        <f>IF($G2699&lt;nr_MStartP,$S2699,$T2687*(1+IF($G2699&lt;nr_MStartP1,$M$2668,$N$2668)))</f>
        <v/>
      </c>
      <c r="U2699" s="95">
        <f>IF($L$2668,$T2699,$N2699)</f>
        <v/>
      </c>
    </row>
    <row r="2700">
      <c r="A2700" s="90" t="n">
        <v>30</v>
      </c>
      <c r="B2700" s="91">
        <f>EDATE($B2699,1)</f>
        <v/>
      </c>
      <c r="C2700" s="92">
        <f>EOMONTH($B2700,0)</f>
        <v/>
      </c>
      <c r="D2700" s="87">
        <f>$C2700-$B2700+1</f>
        <v/>
      </c>
      <c r="E2700" s="87">
        <f>MONTH($B2700)</f>
        <v/>
      </c>
      <c r="F2700" s="93">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$N2700*IF($O$2668=1,$O2700/$F$2668,1)</f>
        <v/>
      </c>
      <c r="T2700" s="95">
        <f>IF($G2700&lt;nr_MStartP,$S2700,$T2688*(1+IF($G2700&lt;nr_MStartP1,$M$2668,$N$2668)))</f>
        <v/>
      </c>
      <c r="U2700" s="95">
        <f>IF($L$2668,$T2700,$N2700)</f>
        <v/>
      </c>
    </row>
    <row r="2701">
      <c r="A2701" s="90" t="n">
        <v>31</v>
      </c>
      <c r="B2701" s="91">
        <f>EDATE($B2700,1)</f>
        <v/>
      </c>
      <c r="C2701" s="92">
        <f>EOMONTH($B2701,0)</f>
        <v/>
      </c>
      <c r="D2701" s="87">
        <f>$C2701-$B2701+1</f>
        <v/>
      </c>
      <c r="E2701" s="87">
        <f>MONTH($B2701)</f>
        <v/>
      </c>
      <c r="F2701" s="93">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$N2701*IF($O$2668=1,$O2701/$F$2668,1)</f>
        <v/>
      </c>
      <c r="T2701" s="95">
        <f>IF($G2701&lt;nr_MStartP,$S2701,$T2689*(1+IF($G2701&lt;nr_MStartP1,$M$2668,$N$2668)))</f>
        <v/>
      </c>
      <c r="U2701" s="95">
        <f>IF($L$2668,$T2701,$N2701)</f>
        <v/>
      </c>
    </row>
    <row r="2702">
      <c r="A2702" s="90" t="n">
        <v>32</v>
      </c>
      <c r="B2702" s="91">
        <f>EDATE($B2701,1)</f>
        <v/>
      </c>
      <c r="C2702" s="92">
        <f>EOMONTH($B2702,0)</f>
        <v/>
      </c>
      <c r="D2702" s="87">
        <f>$C2702-$B2702+1</f>
        <v/>
      </c>
      <c r="E2702" s="87">
        <f>MONTH($B2702)</f>
        <v/>
      </c>
      <c r="F2702" s="93">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$N2702*IF($O$2668=1,$O2702/$F$2668,1)</f>
        <v/>
      </c>
      <c r="T2702" s="95">
        <f>IF($G2702&lt;nr_MStartP,$S2702,$T2690*(1+IF($G2702&lt;nr_MStartP1,$M$2668,$N$2668)))</f>
        <v/>
      </c>
      <c r="U2702" s="95">
        <f>IF($L$2668,$T2702,$N2702)</f>
        <v/>
      </c>
    </row>
    <row r="2703">
      <c r="A2703" s="90" t="n">
        <v>33</v>
      </c>
      <c r="B2703" s="91">
        <f>EDATE($B2702,1)</f>
        <v/>
      </c>
      <c r="C2703" s="92">
        <f>EOMONTH($B2703,0)</f>
        <v/>
      </c>
      <c r="D2703" s="87">
        <f>$C2703-$B2703+1</f>
        <v/>
      </c>
      <c r="E2703" s="87">
        <f>MONTH($B2703)</f>
        <v/>
      </c>
      <c r="F2703" s="93">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$N2703*IF($O$2668=1,$O2703/$F$2668,1)</f>
        <v/>
      </c>
      <c r="T2703" s="95">
        <f>IF($G2703&lt;nr_MStartP,$S2703,$T2691*(1+IF($G2703&lt;nr_MStartP1,$M$2668,$N$2668)))</f>
        <v/>
      </c>
      <c r="U2703" s="95">
        <f>IF($L$2668,$T2703,$N2703)</f>
        <v/>
      </c>
    </row>
    <row r="2704">
      <c r="A2704" s="90" t="n">
        <v>34</v>
      </c>
      <c r="B2704" s="91">
        <f>EDATE($B2703,1)</f>
        <v/>
      </c>
      <c r="C2704" s="92">
        <f>EOMONTH($B2704,0)</f>
        <v/>
      </c>
      <c r="D2704" s="87">
        <f>$C2704-$B2704+1</f>
        <v/>
      </c>
      <c r="E2704" s="87">
        <f>MONTH($B2704)</f>
        <v/>
      </c>
      <c r="F2704" s="93">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$N2704*IF($O$2668=1,$O2704/$F$2668,1)</f>
        <v/>
      </c>
      <c r="T2704" s="95">
        <f>IF($G2704&lt;nr_MStartP,$S2704,$T2692*(1+IF($G2704&lt;nr_MStartP1,$M$2668,$N$2668)))</f>
        <v/>
      </c>
      <c r="U2704" s="95">
        <f>IF($L$2668,$T2704,$N2704)</f>
        <v/>
      </c>
    </row>
    <row r="2705">
      <c r="A2705" s="90" t="n">
        <v>35</v>
      </c>
      <c r="B2705" s="91">
        <f>EDATE($B2704,1)</f>
        <v/>
      </c>
      <c r="C2705" s="92">
        <f>EOMONTH($B2705,0)</f>
        <v/>
      </c>
      <c r="D2705" s="87">
        <f>$C2705-$B2705+1</f>
        <v/>
      </c>
      <c r="E2705" s="87">
        <f>MONTH($B2705)</f>
        <v/>
      </c>
      <c r="F2705" s="93">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$N2705*IF($O$2668=1,$O2705/$F$2668,1)</f>
        <v/>
      </c>
      <c r="T2705" s="95">
        <f>IF($G2705&lt;nr_MStartP,$S2705,$T2693*(1+IF($G2705&lt;nr_MStartP1,$M$2668,$N$2668)))</f>
        <v/>
      </c>
      <c r="U2705" s="95">
        <f>IF($L$2668,$T2705,$N2705)</f>
        <v/>
      </c>
    </row>
    <row r="2706">
      <c r="A2706" s="90" t="n">
        <v>36</v>
      </c>
      <c r="B2706" s="91">
        <f>EDATE($B2705,1)</f>
        <v/>
      </c>
      <c r="C2706" s="92">
        <f>EOMONTH($B2706,0)</f>
        <v/>
      </c>
      <c r="D2706" s="87">
        <f>$C2706-$B2706+1</f>
        <v/>
      </c>
      <c r="E2706" s="87">
        <f>MONTH($B2706)</f>
        <v/>
      </c>
      <c r="F2706" s="93">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$N2706*IF($O$2668=1,$O2706/$F$2668,1)</f>
        <v/>
      </c>
      <c r="T2706" s="95">
        <f>IF($G2706&lt;nr_MStartP,$S2706,$T2694*(1+IF($G2706&lt;nr_MStartP1,$M$2668,$N$2668)))</f>
        <v/>
      </c>
      <c r="U2706" s="95">
        <f>IF($L$2668,$T2706,$N2706)</f>
        <v/>
      </c>
    </row>
    <row r="2707">
      <c r="A2707" s="90" t="n">
        <v>37</v>
      </c>
      <c r="B2707" s="91">
        <f>EDATE($B2706,1)</f>
        <v/>
      </c>
      <c r="C2707" s="92">
        <f>EOMONTH($B2707,0)</f>
        <v/>
      </c>
      <c r="D2707" s="87">
        <f>$C2707-$B2707+1</f>
        <v/>
      </c>
      <c r="E2707" s="87">
        <f>MONTH($B2707)</f>
        <v/>
      </c>
      <c r="F2707" s="93">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$N2707*IF($O$2668=1,$O2707/$F$2668,1)</f>
        <v/>
      </c>
      <c r="T2707" s="95">
        <f>IF($G2707&lt;nr_MStartP,$S2707,$T2695*(1+IF($G2707&lt;nr_MStartP1,$M$2668,$N$2668)))</f>
        <v/>
      </c>
      <c r="U2707" s="95">
        <f>IF($L$2668,$T2707,$N2707)</f>
        <v/>
      </c>
    </row>
    <row r="2708">
      <c r="A2708" s="90" t="n">
        <v>38</v>
      </c>
      <c r="B2708" s="91">
        <f>EDATE($B2707,1)</f>
        <v/>
      </c>
      <c r="C2708" s="92">
        <f>EOMONTH($B2708,0)</f>
        <v/>
      </c>
      <c r="D2708" s="87">
        <f>$C2708-$B2708+1</f>
        <v/>
      </c>
      <c r="E2708" s="87">
        <f>MONTH($B2708)</f>
        <v/>
      </c>
      <c r="F2708" s="93">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$N2708*IF($O$2668=1,$O2708/$F$2668,1)</f>
        <v/>
      </c>
      <c r="T2708" s="95">
        <f>IF($G2708&lt;nr_MStartP,$S2708,$T2696*(1+IF($G2708&lt;nr_MStartP1,$M$2668,$N$2668)))</f>
        <v/>
      </c>
      <c r="U2708" s="95">
        <f>IF($L$2668,$T2708,$N2708)</f>
        <v/>
      </c>
    </row>
    <row r="2709">
      <c r="A2709" s="90" t="n">
        <v>39</v>
      </c>
      <c r="B2709" s="91">
        <f>EDATE($B2708,1)</f>
        <v/>
      </c>
      <c r="C2709" s="92">
        <f>EOMONTH($B2709,0)</f>
        <v/>
      </c>
      <c r="D2709" s="87">
        <f>$C2709-$B2709+1</f>
        <v/>
      </c>
      <c r="E2709" s="87">
        <f>MONTH($B2709)</f>
        <v/>
      </c>
      <c r="F2709" s="93">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$N2709*IF($O$2668=1,$O2709/$F$2668,1)</f>
        <v/>
      </c>
      <c r="T2709" s="95">
        <f>IF($G2709&lt;nr_MStartP,$S2709,$T2697*(1+IF($G2709&lt;nr_MStartP1,$M$2668,$N$2668)))</f>
        <v/>
      </c>
      <c r="U2709" s="95">
        <f>IF($L$2668,$T2709,$N2709)</f>
        <v/>
      </c>
    </row>
    <row r="2710">
      <c r="A2710" s="90" t="n">
        <v>40</v>
      </c>
      <c r="B2710" s="91">
        <f>EDATE($B2709,1)</f>
        <v/>
      </c>
      <c r="C2710" s="92">
        <f>EOMONTH($B2710,0)</f>
        <v/>
      </c>
      <c r="D2710" s="87">
        <f>$C2710-$B2710+1</f>
        <v/>
      </c>
      <c r="E2710" s="87">
        <f>MONTH($B2710)</f>
        <v/>
      </c>
      <c r="F2710" s="93">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$N2710*IF($O$2668=1,$O2710/$F$2668,1)</f>
        <v/>
      </c>
      <c r="T2710" s="95">
        <f>IF($G2710&lt;nr_MStartP,$S2710,$T2698*(1+IF($G2710&lt;nr_MStartP1,$M$2668,$N$2668)))</f>
        <v/>
      </c>
      <c r="U2710" s="95">
        <f>IF($L$2668,$T2710,$N2710)</f>
        <v/>
      </c>
    </row>
    <row r="2711">
      <c r="A2711" s="90" t="n">
        <v>41</v>
      </c>
      <c r="B2711" s="91">
        <f>EDATE($B2710,1)</f>
        <v/>
      </c>
      <c r="C2711" s="92">
        <f>EOMONTH($B2711,0)</f>
        <v/>
      </c>
      <c r="D2711" s="87">
        <f>$C2711-$B2711+1</f>
        <v/>
      </c>
      <c r="E2711" s="87">
        <f>MONTH($B2711)</f>
        <v/>
      </c>
      <c r="F2711" s="93">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$N2711*IF($O$2668=1,$O2711/$F$2668,1)</f>
        <v/>
      </c>
      <c r="T2711" s="95">
        <f>IF($G2711&lt;nr_MStartP,$S2711,$T2699*(1+IF($G2711&lt;nr_MStartP1,$M$2668,$N$2668)))</f>
        <v/>
      </c>
      <c r="U2711" s="95">
        <f>IF($L$2668,$T2711,$N2711)</f>
        <v/>
      </c>
    </row>
    <row r="2712">
      <c r="A2712" s="90" t="n">
        <v>42</v>
      </c>
      <c r="B2712" s="91">
        <f>EDATE($B2711,1)</f>
        <v/>
      </c>
      <c r="C2712" s="92">
        <f>EOMONTH($B2712,0)</f>
        <v/>
      </c>
      <c r="D2712" s="87">
        <f>$C2712-$B2712+1</f>
        <v/>
      </c>
      <c r="E2712" s="87">
        <f>MONTH($B2712)</f>
        <v/>
      </c>
      <c r="F2712" s="93">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$N2712*IF($O$2668=1,$O2712/$F$2668,1)</f>
        <v/>
      </c>
      <c r="T2712" s="95">
        <f>IF($G2712&lt;nr_MStartP,$S2712,$T2700*(1+IF($G2712&lt;nr_MStartP1,$M$2668,$N$2668)))</f>
        <v/>
      </c>
      <c r="U2712" s="95">
        <f>IF($L$2668,$T2712,$N2712)</f>
        <v/>
      </c>
    </row>
    <row r="2713">
      <c r="A2713" s="90" t="n">
        <v>43</v>
      </c>
      <c r="B2713" s="91">
        <f>EDATE($B2712,1)</f>
        <v/>
      </c>
      <c r="C2713" s="92">
        <f>EOMONTH($B2713,0)</f>
        <v/>
      </c>
      <c r="D2713" s="87">
        <f>$C2713-$B2713+1</f>
        <v/>
      </c>
      <c r="E2713" s="87">
        <f>MONTH($B2713)</f>
        <v/>
      </c>
      <c r="F2713" s="93">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$N2713*IF($O$2668=1,$O2713/$F$2668,1)</f>
        <v/>
      </c>
      <c r="T2713" s="95">
        <f>IF($G2713&lt;nr_MStartP,$S2713,$T2701*(1+IF($G2713&lt;nr_MStartP1,$M$2668,$N$2668)))</f>
        <v/>
      </c>
      <c r="U2713" s="95">
        <f>IF($L$2668,$T2713,$N2713)</f>
        <v/>
      </c>
    </row>
    <row r="2714">
      <c r="A2714" s="90" t="n">
        <v>44</v>
      </c>
      <c r="B2714" s="91">
        <f>EDATE($B2713,1)</f>
        <v/>
      </c>
      <c r="C2714" s="92">
        <f>EOMONTH($B2714,0)</f>
        <v/>
      </c>
      <c r="D2714" s="87">
        <f>$C2714-$B2714+1</f>
        <v/>
      </c>
      <c r="E2714" s="87">
        <f>MONTH($B2714)</f>
        <v/>
      </c>
      <c r="F2714" s="93">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$N2714*IF($O$2668=1,$O2714/$F$2668,1)</f>
        <v/>
      </c>
      <c r="T2714" s="95">
        <f>IF($G2714&lt;nr_MStartP,$S2714,$T2702*(1+IF($G2714&lt;nr_MStartP1,$M$2668,$N$2668)))</f>
        <v/>
      </c>
      <c r="U2714" s="95">
        <f>IF($L$2668,$T2714,$N2714)</f>
        <v/>
      </c>
    </row>
    <row r="2715">
      <c r="A2715" s="90" t="n">
        <v>45</v>
      </c>
      <c r="B2715" s="91">
        <f>EDATE($B2714,1)</f>
        <v/>
      </c>
      <c r="C2715" s="92">
        <f>EOMONTH($B2715,0)</f>
        <v/>
      </c>
      <c r="D2715" s="87">
        <f>$C2715-$B2715+1</f>
        <v/>
      </c>
      <c r="E2715" s="87">
        <f>MONTH($B2715)</f>
        <v/>
      </c>
      <c r="F2715" s="93">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$N2715*IF($O$2668=1,$O2715/$F$2668,1)</f>
        <v/>
      </c>
      <c r="T2715" s="95">
        <f>IF($G2715&lt;nr_MStartP,$S2715,$T2703*(1+IF($G2715&lt;nr_MStartP1,$M$2668,$N$2668)))</f>
        <v/>
      </c>
      <c r="U2715" s="95">
        <f>IF($L$2668,$T2715,$N2715)</f>
        <v/>
      </c>
    </row>
    <row r="2716">
      <c r="A2716" s="90" t="n">
        <v>46</v>
      </c>
      <c r="B2716" s="91">
        <f>EDATE($B2715,1)</f>
        <v/>
      </c>
      <c r="C2716" s="92">
        <f>EOMONTH($B2716,0)</f>
        <v/>
      </c>
      <c r="D2716" s="87">
        <f>$C2716-$B2716+1</f>
        <v/>
      </c>
      <c r="E2716" s="87">
        <f>MONTH($B2716)</f>
        <v/>
      </c>
      <c r="F2716" s="93">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$N2716*IF($O$2668=1,$O2716/$F$2668,1)</f>
        <v/>
      </c>
      <c r="T2716" s="95">
        <f>IF($G2716&lt;nr_MStartP,$S2716,$T2704*(1+IF($G2716&lt;nr_MStartP1,$M$2668,$N$2668)))</f>
        <v/>
      </c>
      <c r="U2716" s="95">
        <f>IF($L$2668,$T2716,$N2716)</f>
        <v/>
      </c>
    </row>
    <row r="2717">
      <c r="A2717" s="90" t="n">
        <v>47</v>
      </c>
      <c r="B2717" s="91">
        <f>EDATE($B2716,1)</f>
        <v/>
      </c>
      <c r="C2717" s="92">
        <f>EOMONTH($B2717,0)</f>
        <v/>
      </c>
      <c r="D2717" s="87">
        <f>$C2717-$B2717+1</f>
        <v/>
      </c>
      <c r="E2717" s="87">
        <f>MONTH($B2717)</f>
        <v/>
      </c>
      <c r="F2717" s="93">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$N2717*IF($O$2668=1,$O2717/$F$2668,1)</f>
        <v/>
      </c>
      <c r="T2717" s="95">
        <f>IF($G2717&lt;nr_MStartP,$S2717,$T2705*(1+IF($G2717&lt;nr_MStartP1,$M$2668,$N$2668)))</f>
        <v/>
      </c>
      <c r="U2717" s="95">
        <f>IF($L$2668,$T2717,$N2717)</f>
        <v/>
      </c>
    </row>
    <row r="2718">
      <c r="A2718" s="90" t="n">
        <v>48</v>
      </c>
      <c r="B2718" s="91">
        <f>EDATE($B2717,1)</f>
        <v/>
      </c>
      <c r="C2718" s="92">
        <f>EOMONTH($B2718,0)</f>
        <v/>
      </c>
      <c r="D2718" s="87">
        <f>$C2718-$B2718+1</f>
        <v/>
      </c>
      <c r="E2718" s="87">
        <f>MONTH($B2718)</f>
        <v/>
      </c>
      <c r="F2718" s="93">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$N2718*IF($O$2668=1,$O2718/$F$2668,1)</f>
        <v/>
      </c>
      <c r="T2718" s="95">
        <f>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04">
        <f>SUMPRODUCT($H$2671:$H$2718,$Q$2671:$Q$2718,$O$2671:$O$2718)/SUMPRODUCT($H$2671:$H$2718,$Q$2671:$Q$2718)</f>
        <v/>
      </c>
      <c r="G2719" s="20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04">
        <f>IF(N(INDEX(lr_mind,50))=0,1,INDEX(lr_mind,50))</f>
        <v/>
      </c>
      <c r="G2722" s="204">
        <f>IF(N(INDEX(lr_m0,50))=0,1,INDEX(lr_m0,50))</f>
        <v/>
      </c>
      <c r="H2722" s="73">
        <f>IF(N(INDEX(lr_m0asof,50))=0,DATE(nr_PlanYear-1,10,1),INDEX(lr_m0asof,50))</f>
        <v/>
      </c>
      <c r="I2722" s="204">
        <f>IF(N(INDEX(lr_m1,50))=0,1,INDEX(lr_m1,50))</f>
        <v/>
      </c>
      <c r="J2722" s="204">
        <f>INDEX(lr_mprior,50)</f>
        <v/>
      </c>
      <c r="K2722" s="20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93">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$N2725*IF($O$2722=1,$O2725/$F$2722,1)</f>
        <v/>
      </c>
      <c r="T2725" s="95">
        <f>IF($G2725&lt;nr_MStartP,$S2725,$T2713*(1+IF($G2725&lt;nr_MStartP1,$M$2722,$N$2722)))</f>
        <v/>
      </c>
      <c r="U2725" s="95">
        <f>IF($L$2722,$T2725,$N2725)</f>
        <v/>
      </c>
    </row>
    <row r="2726">
      <c r="A2726" s="90" t="n">
        <v>2</v>
      </c>
      <c r="B2726" s="91">
        <f>EDATE($B2725,1)</f>
        <v/>
      </c>
      <c r="C2726" s="92">
        <f>EOMONTH($B2726,0)</f>
        <v/>
      </c>
      <c r="D2726" s="87">
        <f>$C2726-$B2726+1</f>
        <v/>
      </c>
      <c r="E2726" s="87">
        <f>MONTH($B2726)</f>
        <v/>
      </c>
      <c r="F2726" s="93">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$N2726*IF($O$2722=1,$O2726/$F$2722,1)</f>
        <v/>
      </c>
      <c r="T2726" s="95">
        <f>IF($G2726&lt;nr_MStartP,$S2726,$T2714*(1+IF($G2726&lt;nr_MStartP1,$M$2722,$N$2722)))</f>
        <v/>
      </c>
      <c r="U2726" s="95">
        <f>IF($L$2722,$T2726,$N2726)</f>
        <v/>
      </c>
    </row>
    <row r="2727">
      <c r="A2727" s="90" t="n">
        <v>3</v>
      </c>
      <c r="B2727" s="91">
        <f>EDATE($B2726,1)</f>
        <v/>
      </c>
      <c r="C2727" s="92">
        <f>EOMONTH($B2727,0)</f>
        <v/>
      </c>
      <c r="D2727" s="87">
        <f>$C2727-$B2727+1</f>
        <v/>
      </c>
      <c r="E2727" s="87">
        <f>MONTH($B2727)</f>
        <v/>
      </c>
      <c r="F2727" s="93">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$N2727*IF($O$2722=1,$O2727/$F$2722,1)</f>
        <v/>
      </c>
      <c r="T2727" s="95">
        <f>IF($G2727&lt;nr_MStartP,$S2727,$T2715*(1+IF($G2727&lt;nr_MStartP1,$M$2722,$N$2722)))</f>
        <v/>
      </c>
      <c r="U2727" s="95">
        <f>IF($L$2722,$T2727,$N2727)</f>
        <v/>
      </c>
    </row>
    <row r="2728">
      <c r="A2728" s="90" t="n">
        <v>4</v>
      </c>
      <c r="B2728" s="91">
        <f>EDATE($B2727,1)</f>
        <v/>
      </c>
      <c r="C2728" s="92">
        <f>EOMONTH($B2728,0)</f>
        <v/>
      </c>
      <c r="D2728" s="87">
        <f>$C2728-$B2728+1</f>
        <v/>
      </c>
      <c r="E2728" s="87">
        <f>MONTH($B2728)</f>
        <v/>
      </c>
      <c r="F2728" s="93">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$N2728*IF($O$2722=1,$O2728/$F$2722,1)</f>
        <v/>
      </c>
      <c r="T2728" s="95">
        <f>IF($G2728&lt;nr_MStartP,$S2728,$T2716*(1+IF($G2728&lt;nr_MStartP1,$M$2722,$N$2722)))</f>
        <v/>
      </c>
      <c r="U2728" s="95">
        <f>IF($L$2722,$T2728,$N2728)</f>
        <v/>
      </c>
    </row>
    <row r="2729">
      <c r="A2729" s="90" t="n">
        <v>5</v>
      </c>
      <c r="B2729" s="91">
        <f>EDATE($B2728,1)</f>
        <v/>
      </c>
      <c r="C2729" s="92">
        <f>EOMONTH($B2729,0)</f>
        <v/>
      </c>
      <c r="D2729" s="87">
        <f>$C2729-$B2729+1</f>
        <v/>
      </c>
      <c r="E2729" s="87">
        <f>MONTH($B2729)</f>
        <v/>
      </c>
      <c r="F2729" s="93">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$N2729*IF($O$2722=1,$O2729/$F$2722,1)</f>
        <v/>
      </c>
      <c r="T2729" s="95">
        <f>IF($G2729&lt;nr_MStartP,$S2729,$T2717*(1+IF($G2729&lt;nr_MStartP1,$M$2722,$N$2722)))</f>
        <v/>
      </c>
      <c r="U2729" s="95">
        <f>IF($L$2722,$T2729,$N2729)</f>
        <v/>
      </c>
    </row>
    <row r="2730">
      <c r="A2730" s="90" t="n">
        <v>6</v>
      </c>
      <c r="B2730" s="91">
        <f>EDATE($B2729,1)</f>
        <v/>
      </c>
      <c r="C2730" s="92">
        <f>EOMONTH($B2730,0)</f>
        <v/>
      </c>
      <c r="D2730" s="87">
        <f>$C2730-$B2730+1</f>
        <v/>
      </c>
      <c r="E2730" s="87">
        <f>MONTH($B2730)</f>
        <v/>
      </c>
      <c r="F2730" s="93">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$N2730*IF($O$2722=1,$O2730/$F$2722,1)</f>
        <v/>
      </c>
      <c r="T2730" s="95">
        <f>IF($G2730&lt;nr_MStartP,$S2730,$T2718*(1+IF($G2730&lt;nr_MStartP1,$M$2722,$N$2722)))</f>
        <v/>
      </c>
      <c r="U2730" s="95">
        <f>IF($L$2722,$T2730,$N2730)</f>
        <v/>
      </c>
    </row>
    <row r="2731">
      <c r="A2731" s="90" t="n">
        <v>7</v>
      </c>
      <c r="B2731" s="91">
        <f>EDATE($B2730,1)</f>
        <v/>
      </c>
      <c r="C2731" s="92">
        <f>EOMONTH($B2731,0)</f>
        <v/>
      </c>
      <c r="D2731" s="87">
        <f>$C2731-$B2731+1</f>
        <v/>
      </c>
      <c r="E2731" s="87">
        <f>MONTH($B2731)</f>
        <v/>
      </c>
      <c r="F2731" s="93">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$N2731*IF($O$2722=1,$O2731/$F$2722,1)</f>
        <v/>
      </c>
      <c r="T2731" s="95">
        <f>IF($G2731&lt;nr_MStartP,$S2731,$T2719*(1+IF($G2731&lt;nr_MStartP1,$M$2722,$N$2722)))</f>
        <v/>
      </c>
      <c r="U2731" s="95">
        <f>IF($L$2722,$T2731,$N2731)</f>
        <v/>
      </c>
    </row>
    <row r="2732">
      <c r="A2732" s="90" t="n">
        <v>8</v>
      </c>
      <c r="B2732" s="91">
        <f>EDATE($B2731,1)</f>
        <v/>
      </c>
      <c r="C2732" s="92">
        <f>EOMONTH($B2732,0)</f>
        <v/>
      </c>
      <c r="D2732" s="87">
        <f>$C2732-$B2732+1</f>
        <v/>
      </c>
      <c r="E2732" s="87">
        <f>MONTH($B2732)</f>
        <v/>
      </c>
      <c r="F2732" s="93">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$N2732*IF($O$2722=1,$O2732/$F$2722,1)</f>
        <v/>
      </c>
      <c r="T2732" s="95">
        <f>IF($G2732&lt;nr_MStartP,$S2732,$T2720*(1+IF($G2732&lt;nr_MStartP1,$M$2722,$N$2722)))</f>
        <v/>
      </c>
      <c r="U2732" s="95">
        <f>IF($L$2722,$T2732,$N2732)</f>
        <v/>
      </c>
    </row>
    <row r="2733">
      <c r="A2733" s="90" t="n">
        <v>9</v>
      </c>
      <c r="B2733" s="91">
        <f>EDATE($B2732,1)</f>
        <v/>
      </c>
      <c r="C2733" s="92">
        <f>EOMONTH($B2733,0)</f>
        <v/>
      </c>
      <c r="D2733" s="87">
        <f>$C2733-$B2733+1</f>
        <v/>
      </c>
      <c r="E2733" s="87">
        <f>MONTH($B2733)</f>
        <v/>
      </c>
      <c r="F2733" s="93">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$N2733*IF($O$2722=1,$O2733/$F$2722,1)</f>
        <v/>
      </c>
      <c r="T2733" s="95">
        <f>IF($G2733&lt;nr_MStartP,$S2733,$T2721*(1+IF($G2733&lt;nr_MStartP1,$M$2722,$N$2722)))</f>
        <v/>
      </c>
      <c r="U2733" s="95">
        <f>IF($L$2722,$T2733,$N2733)</f>
        <v/>
      </c>
    </row>
    <row r="2734">
      <c r="A2734" s="90" t="n">
        <v>10</v>
      </c>
      <c r="B2734" s="91">
        <f>EDATE($B2733,1)</f>
        <v/>
      </c>
      <c r="C2734" s="92">
        <f>EOMONTH($B2734,0)</f>
        <v/>
      </c>
      <c r="D2734" s="87">
        <f>$C2734-$B2734+1</f>
        <v/>
      </c>
      <c r="E2734" s="87">
        <f>MONTH($B2734)</f>
        <v/>
      </c>
      <c r="F2734" s="93">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$N2734*IF($O$2722=1,$O2734/$F$2722,1)</f>
        <v/>
      </c>
      <c r="T2734" s="95">
        <f>IF($G2734&lt;nr_MStartP,$S2734,$T2722*(1+IF($G2734&lt;nr_MStartP1,$M$2722,$N$2722)))</f>
        <v/>
      </c>
      <c r="U2734" s="95">
        <f>IF($L$2722,$T2734,$N2734)</f>
        <v/>
      </c>
    </row>
    <row r="2735">
      <c r="A2735" s="90" t="n">
        <v>11</v>
      </c>
      <c r="B2735" s="91">
        <f>EDATE($B2734,1)</f>
        <v/>
      </c>
      <c r="C2735" s="92">
        <f>EOMONTH($B2735,0)</f>
        <v/>
      </c>
      <c r="D2735" s="87">
        <f>$C2735-$B2735+1</f>
        <v/>
      </c>
      <c r="E2735" s="87">
        <f>MONTH($B2735)</f>
        <v/>
      </c>
      <c r="F2735" s="93">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$N2735*IF($O$2722=1,$O2735/$F$2722,1)</f>
        <v/>
      </c>
      <c r="T2735" s="95">
        <f>IF($G2735&lt;nr_MStartP,$S2735,$T2723*(1+IF($G2735&lt;nr_MStartP1,$M$2722,$N$2722)))</f>
        <v/>
      </c>
      <c r="U2735" s="95">
        <f>IF($L$2722,$T2735,$N2735)</f>
        <v/>
      </c>
    </row>
    <row r="2736">
      <c r="A2736" s="90" t="n">
        <v>12</v>
      </c>
      <c r="B2736" s="91">
        <f>EDATE($B2735,1)</f>
        <v/>
      </c>
      <c r="C2736" s="92">
        <f>EOMONTH($B2736,0)</f>
        <v/>
      </c>
      <c r="D2736" s="87">
        <f>$C2736-$B2736+1</f>
        <v/>
      </c>
      <c r="E2736" s="87">
        <f>MONTH($B2736)</f>
        <v/>
      </c>
      <c r="F2736" s="93">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$N2736*IF($O$2722=1,$O2736/$F$2722,1)</f>
        <v/>
      </c>
      <c r="T2736" s="95">
        <f>IF($G2736&lt;nr_MStartP,$S2736,$T2724*(1+IF($G2736&lt;nr_MStartP1,$M$2722,$N$2722)))</f>
        <v/>
      </c>
      <c r="U2736" s="95">
        <f>IF($L$2722,$T2736,$N2736)</f>
        <v/>
      </c>
    </row>
    <row r="2737">
      <c r="A2737" s="90" t="n">
        <v>13</v>
      </c>
      <c r="B2737" s="91">
        <f>EDATE($B2736,1)</f>
        <v/>
      </c>
      <c r="C2737" s="92">
        <f>EOMONTH($B2737,0)</f>
        <v/>
      </c>
      <c r="D2737" s="87">
        <f>$C2737-$B2737+1</f>
        <v/>
      </c>
      <c r="E2737" s="87">
        <f>MONTH($B2737)</f>
        <v/>
      </c>
      <c r="F2737" s="93">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$N2737*IF($O$2722=1,$O2737/$F$2722,1)</f>
        <v/>
      </c>
      <c r="T2737" s="95">
        <f>IF($G2737&lt;nr_MStartP,$S2737,$T2725*(1+IF($G2737&lt;nr_MStartP1,$M$2722,$N$2722)))</f>
        <v/>
      </c>
      <c r="U2737" s="95">
        <f>IF($L$2722,$T2737,$N2737)</f>
        <v/>
      </c>
    </row>
    <row r="2738">
      <c r="A2738" s="90" t="n">
        <v>14</v>
      </c>
      <c r="B2738" s="91">
        <f>EDATE($B2737,1)</f>
        <v/>
      </c>
      <c r="C2738" s="92">
        <f>EOMONTH($B2738,0)</f>
        <v/>
      </c>
      <c r="D2738" s="87">
        <f>$C2738-$B2738+1</f>
        <v/>
      </c>
      <c r="E2738" s="87">
        <f>MONTH($B2738)</f>
        <v/>
      </c>
      <c r="F2738" s="93">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$N2738*IF($O$2722=1,$O2738/$F$2722,1)</f>
        <v/>
      </c>
      <c r="T2738" s="95">
        <f>IF($G2738&lt;nr_MStartP,$S2738,$T2726*(1+IF($G2738&lt;nr_MStartP1,$M$2722,$N$2722)))</f>
        <v/>
      </c>
      <c r="U2738" s="95">
        <f>IF($L$2722,$T2738,$N2738)</f>
        <v/>
      </c>
    </row>
    <row r="2739">
      <c r="A2739" s="90" t="n">
        <v>15</v>
      </c>
      <c r="B2739" s="91">
        <f>EDATE($B2738,1)</f>
        <v/>
      </c>
      <c r="C2739" s="92">
        <f>EOMONTH($B2739,0)</f>
        <v/>
      </c>
      <c r="D2739" s="87">
        <f>$C2739-$B2739+1</f>
        <v/>
      </c>
      <c r="E2739" s="87">
        <f>MONTH($B2739)</f>
        <v/>
      </c>
      <c r="F2739" s="93">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$N2739*IF($O$2722=1,$O2739/$F$2722,1)</f>
        <v/>
      </c>
      <c r="T2739" s="95">
        <f>IF($G2739&lt;nr_MStartP,$S2739,$T2727*(1+IF($G2739&lt;nr_MStartP1,$M$2722,$N$2722)))</f>
        <v/>
      </c>
      <c r="U2739" s="95">
        <f>IF($L$2722,$T2739,$N2739)</f>
        <v/>
      </c>
    </row>
    <row r="2740">
      <c r="A2740" s="90" t="n">
        <v>16</v>
      </c>
      <c r="B2740" s="91">
        <f>EDATE($B2739,1)</f>
        <v/>
      </c>
      <c r="C2740" s="92">
        <f>EOMONTH($B2740,0)</f>
        <v/>
      </c>
      <c r="D2740" s="87">
        <f>$C2740-$B2740+1</f>
        <v/>
      </c>
      <c r="E2740" s="87">
        <f>MONTH($B2740)</f>
        <v/>
      </c>
      <c r="F2740" s="93">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$N2740*IF($O$2722=1,$O2740/$F$2722,1)</f>
        <v/>
      </c>
      <c r="T2740" s="95">
        <f>IF($G2740&lt;nr_MStartP,$S2740,$T2728*(1+IF($G2740&lt;nr_MStartP1,$M$2722,$N$2722)))</f>
        <v/>
      </c>
      <c r="U2740" s="95">
        <f>IF($L$2722,$T2740,$N2740)</f>
        <v/>
      </c>
    </row>
    <row r="2741">
      <c r="A2741" s="90" t="n">
        <v>17</v>
      </c>
      <c r="B2741" s="91">
        <f>EDATE($B2740,1)</f>
        <v/>
      </c>
      <c r="C2741" s="92">
        <f>EOMONTH($B2741,0)</f>
        <v/>
      </c>
      <c r="D2741" s="87">
        <f>$C2741-$B2741+1</f>
        <v/>
      </c>
      <c r="E2741" s="87">
        <f>MONTH($B2741)</f>
        <v/>
      </c>
      <c r="F2741" s="93">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$N2741*IF($O$2722=1,$O2741/$F$2722,1)</f>
        <v/>
      </c>
      <c r="T2741" s="95">
        <f>IF($G2741&lt;nr_MStartP,$S2741,$T2729*(1+IF($G2741&lt;nr_MStartP1,$M$2722,$N$2722)))</f>
        <v/>
      </c>
      <c r="U2741" s="95">
        <f>IF($L$2722,$T2741,$N2741)</f>
        <v/>
      </c>
    </row>
    <row r="2742">
      <c r="A2742" s="90" t="n">
        <v>18</v>
      </c>
      <c r="B2742" s="91">
        <f>EDATE($B2741,1)</f>
        <v/>
      </c>
      <c r="C2742" s="92">
        <f>EOMONTH($B2742,0)</f>
        <v/>
      </c>
      <c r="D2742" s="87">
        <f>$C2742-$B2742+1</f>
        <v/>
      </c>
      <c r="E2742" s="87">
        <f>MONTH($B2742)</f>
        <v/>
      </c>
      <c r="F2742" s="93">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$N2742*IF($O$2722=1,$O2742/$F$2722,1)</f>
        <v/>
      </c>
      <c r="T2742" s="95">
        <f>IF($G2742&lt;nr_MStartP,$S2742,$T2730*(1+IF($G2742&lt;nr_MStartP1,$M$2722,$N$2722)))</f>
        <v/>
      </c>
      <c r="U2742" s="95">
        <f>IF($L$2722,$T2742,$N2742)</f>
        <v/>
      </c>
    </row>
    <row r="2743">
      <c r="A2743" s="90" t="n">
        <v>19</v>
      </c>
      <c r="B2743" s="91">
        <f>EDATE($B2742,1)</f>
        <v/>
      </c>
      <c r="C2743" s="92">
        <f>EOMONTH($B2743,0)</f>
        <v/>
      </c>
      <c r="D2743" s="87">
        <f>$C2743-$B2743+1</f>
        <v/>
      </c>
      <c r="E2743" s="87">
        <f>MONTH($B2743)</f>
        <v/>
      </c>
      <c r="F2743" s="93">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$N2743*IF($O$2722=1,$O2743/$F$2722,1)</f>
        <v/>
      </c>
      <c r="T2743" s="95">
        <f>IF($G2743&lt;nr_MStartP,$S2743,$T2731*(1+IF($G2743&lt;nr_MStartP1,$M$2722,$N$2722)))</f>
        <v/>
      </c>
      <c r="U2743" s="95">
        <f>IF($L$2722,$T2743,$N2743)</f>
        <v/>
      </c>
    </row>
    <row r="2744">
      <c r="A2744" s="90" t="n">
        <v>20</v>
      </c>
      <c r="B2744" s="91">
        <f>EDATE($B2743,1)</f>
        <v/>
      </c>
      <c r="C2744" s="92">
        <f>EOMONTH($B2744,0)</f>
        <v/>
      </c>
      <c r="D2744" s="87">
        <f>$C2744-$B2744+1</f>
        <v/>
      </c>
      <c r="E2744" s="87">
        <f>MONTH($B2744)</f>
        <v/>
      </c>
      <c r="F2744" s="93">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$N2744*IF($O$2722=1,$O2744/$F$2722,1)</f>
        <v/>
      </c>
      <c r="T2744" s="95">
        <f>IF($G2744&lt;nr_MStartP,$S2744,$T2732*(1+IF($G2744&lt;nr_MStartP1,$M$2722,$N$2722)))</f>
        <v/>
      </c>
      <c r="U2744" s="95">
        <f>IF($L$2722,$T2744,$N2744)</f>
        <v/>
      </c>
    </row>
    <row r="2745">
      <c r="A2745" s="90" t="n">
        <v>21</v>
      </c>
      <c r="B2745" s="91">
        <f>EDATE($B2744,1)</f>
        <v/>
      </c>
      <c r="C2745" s="92">
        <f>EOMONTH($B2745,0)</f>
        <v/>
      </c>
      <c r="D2745" s="87">
        <f>$C2745-$B2745+1</f>
        <v/>
      </c>
      <c r="E2745" s="87">
        <f>MONTH($B2745)</f>
        <v/>
      </c>
      <c r="F2745" s="93">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$N2745*IF($O$2722=1,$O2745/$F$2722,1)</f>
        <v/>
      </c>
      <c r="T2745" s="95">
        <f>IF($G2745&lt;nr_MStartP,$S2745,$T2733*(1+IF($G2745&lt;nr_MStartP1,$M$2722,$N$2722)))</f>
        <v/>
      </c>
      <c r="U2745" s="95">
        <f>IF($L$2722,$T2745,$N2745)</f>
        <v/>
      </c>
    </row>
    <row r="2746">
      <c r="A2746" s="90" t="n">
        <v>22</v>
      </c>
      <c r="B2746" s="91">
        <f>EDATE($B2745,1)</f>
        <v/>
      </c>
      <c r="C2746" s="92">
        <f>EOMONTH($B2746,0)</f>
        <v/>
      </c>
      <c r="D2746" s="87">
        <f>$C2746-$B2746+1</f>
        <v/>
      </c>
      <c r="E2746" s="87">
        <f>MONTH($B2746)</f>
        <v/>
      </c>
      <c r="F2746" s="93">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$N2746*IF($O$2722=1,$O2746/$F$2722,1)</f>
        <v/>
      </c>
      <c r="T2746" s="95">
        <f>IF($G2746&lt;nr_MStartP,$S2746,$T2734*(1+IF($G2746&lt;nr_MStartP1,$M$2722,$N$2722)))</f>
        <v/>
      </c>
      <c r="U2746" s="95">
        <f>IF($L$2722,$T2746,$N2746)</f>
        <v/>
      </c>
    </row>
    <row r="2747">
      <c r="A2747" s="90" t="n">
        <v>23</v>
      </c>
      <c r="B2747" s="91">
        <f>EDATE($B2746,1)</f>
        <v/>
      </c>
      <c r="C2747" s="92">
        <f>EOMONTH($B2747,0)</f>
        <v/>
      </c>
      <c r="D2747" s="87">
        <f>$C2747-$B2747+1</f>
        <v/>
      </c>
      <c r="E2747" s="87">
        <f>MONTH($B2747)</f>
        <v/>
      </c>
      <c r="F2747" s="93">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$N2747*IF($O$2722=1,$O2747/$F$2722,1)</f>
        <v/>
      </c>
      <c r="T2747" s="95">
        <f>IF($G2747&lt;nr_MStartP,$S2747,$T2735*(1+IF($G2747&lt;nr_MStartP1,$M$2722,$N$2722)))</f>
        <v/>
      </c>
      <c r="U2747" s="95">
        <f>IF($L$2722,$T2747,$N2747)</f>
        <v/>
      </c>
    </row>
    <row r="2748">
      <c r="A2748" s="90" t="n">
        <v>24</v>
      </c>
      <c r="B2748" s="91">
        <f>EDATE($B2747,1)</f>
        <v/>
      </c>
      <c r="C2748" s="92">
        <f>EOMONTH($B2748,0)</f>
        <v/>
      </c>
      <c r="D2748" s="87">
        <f>$C2748-$B2748+1</f>
        <v/>
      </c>
      <c r="E2748" s="87">
        <f>MONTH($B2748)</f>
        <v/>
      </c>
      <c r="F2748" s="93">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$N2748*IF($O$2722=1,$O2748/$F$2722,1)</f>
        <v/>
      </c>
      <c r="T2748" s="95">
        <f>IF($G2748&lt;nr_MStartP,$S2748,$T2736*(1+IF($G2748&lt;nr_MStartP1,$M$2722,$N$2722)))</f>
        <v/>
      </c>
      <c r="U2748" s="95">
        <f>IF($L$2722,$T2748,$N2748)</f>
        <v/>
      </c>
    </row>
    <row r="2749">
      <c r="A2749" s="90" t="n">
        <v>25</v>
      </c>
      <c r="B2749" s="91">
        <f>EDATE($B2748,1)</f>
        <v/>
      </c>
      <c r="C2749" s="92">
        <f>EOMONTH($B2749,0)</f>
        <v/>
      </c>
      <c r="D2749" s="87">
        <f>$C2749-$B2749+1</f>
        <v/>
      </c>
      <c r="E2749" s="87">
        <f>MONTH($B2749)</f>
        <v/>
      </c>
      <c r="F2749" s="93">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$N2749*IF($O$2722=1,$O2749/$F$2722,1)</f>
        <v/>
      </c>
      <c r="T2749" s="95">
        <f>IF($G2749&lt;nr_MStartP,$S2749,$T2737*(1+IF($G2749&lt;nr_MStartP1,$M$2722,$N$2722)))</f>
        <v/>
      </c>
      <c r="U2749" s="95">
        <f>IF($L$2722,$T2749,$N2749)</f>
        <v/>
      </c>
    </row>
    <row r="2750">
      <c r="A2750" s="90" t="n">
        <v>26</v>
      </c>
      <c r="B2750" s="91">
        <f>EDATE($B2749,1)</f>
        <v/>
      </c>
      <c r="C2750" s="92">
        <f>EOMONTH($B2750,0)</f>
        <v/>
      </c>
      <c r="D2750" s="87">
        <f>$C2750-$B2750+1</f>
        <v/>
      </c>
      <c r="E2750" s="87">
        <f>MONTH($B2750)</f>
        <v/>
      </c>
      <c r="F2750" s="93">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$N2750*IF($O$2722=1,$O2750/$F$2722,1)</f>
        <v/>
      </c>
      <c r="T2750" s="95">
        <f>IF($G2750&lt;nr_MStartP,$S2750,$T2738*(1+IF($G2750&lt;nr_MStartP1,$M$2722,$N$2722)))</f>
        <v/>
      </c>
      <c r="U2750" s="95">
        <f>IF($L$2722,$T2750,$N2750)</f>
        <v/>
      </c>
    </row>
    <row r="2751">
      <c r="A2751" s="90" t="n">
        <v>27</v>
      </c>
      <c r="B2751" s="91">
        <f>EDATE($B2750,1)</f>
        <v/>
      </c>
      <c r="C2751" s="92">
        <f>EOMONTH($B2751,0)</f>
        <v/>
      </c>
      <c r="D2751" s="87">
        <f>$C2751-$B2751+1</f>
        <v/>
      </c>
      <c r="E2751" s="87">
        <f>MONTH($B2751)</f>
        <v/>
      </c>
      <c r="F2751" s="93">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$N2751*IF($O$2722=1,$O2751/$F$2722,1)</f>
        <v/>
      </c>
      <c r="T2751" s="95">
        <f>IF($G2751&lt;nr_MStartP,$S2751,$T2739*(1+IF($G2751&lt;nr_MStartP1,$M$2722,$N$2722)))</f>
        <v/>
      </c>
      <c r="U2751" s="95">
        <f>IF($L$2722,$T2751,$N2751)</f>
        <v/>
      </c>
    </row>
    <row r="2752">
      <c r="A2752" s="90" t="n">
        <v>28</v>
      </c>
      <c r="B2752" s="91">
        <f>EDATE($B2751,1)</f>
        <v/>
      </c>
      <c r="C2752" s="92">
        <f>EOMONTH($B2752,0)</f>
        <v/>
      </c>
      <c r="D2752" s="87">
        <f>$C2752-$B2752+1</f>
        <v/>
      </c>
      <c r="E2752" s="87">
        <f>MONTH($B2752)</f>
        <v/>
      </c>
      <c r="F2752" s="93">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$N2752*IF($O$2722=1,$O2752/$F$2722,1)</f>
        <v/>
      </c>
      <c r="T2752" s="95">
        <f>IF($G2752&lt;nr_MStartP,$S2752,$T2740*(1+IF($G2752&lt;nr_MStartP1,$M$2722,$N$2722)))</f>
        <v/>
      </c>
      <c r="U2752" s="95">
        <f>IF($L$2722,$T2752,$N2752)</f>
        <v/>
      </c>
    </row>
    <row r="2753">
      <c r="A2753" s="90" t="n">
        <v>29</v>
      </c>
      <c r="B2753" s="91">
        <f>EDATE($B2752,1)</f>
        <v/>
      </c>
      <c r="C2753" s="92">
        <f>EOMONTH($B2753,0)</f>
        <v/>
      </c>
      <c r="D2753" s="87">
        <f>$C2753-$B2753+1</f>
        <v/>
      </c>
      <c r="E2753" s="87">
        <f>MONTH($B2753)</f>
        <v/>
      </c>
      <c r="F2753" s="93">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$N2753*IF($O$2722=1,$O2753/$F$2722,1)</f>
        <v/>
      </c>
      <c r="T2753" s="95">
        <f>IF($G2753&lt;nr_MStartP,$S2753,$T2741*(1+IF($G2753&lt;nr_MStartP1,$M$2722,$N$2722)))</f>
        <v/>
      </c>
      <c r="U2753" s="95">
        <f>IF($L$2722,$T2753,$N2753)</f>
        <v/>
      </c>
    </row>
    <row r="2754">
      <c r="A2754" s="90" t="n">
        <v>30</v>
      </c>
      <c r="B2754" s="91">
        <f>EDATE($B2753,1)</f>
        <v/>
      </c>
      <c r="C2754" s="92">
        <f>EOMONTH($B2754,0)</f>
        <v/>
      </c>
      <c r="D2754" s="87">
        <f>$C2754-$B2754+1</f>
        <v/>
      </c>
      <c r="E2754" s="87">
        <f>MONTH($B2754)</f>
        <v/>
      </c>
      <c r="F2754" s="93">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$N2754*IF($O$2722=1,$O2754/$F$2722,1)</f>
        <v/>
      </c>
      <c r="T2754" s="95">
        <f>IF($G2754&lt;nr_MStartP,$S2754,$T2742*(1+IF($G2754&lt;nr_MStartP1,$M$2722,$N$2722)))</f>
        <v/>
      </c>
      <c r="U2754" s="95">
        <f>IF($L$2722,$T2754,$N2754)</f>
        <v/>
      </c>
    </row>
    <row r="2755">
      <c r="A2755" s="90" t="n">
        <v>31</v>
      </c>
      <c r="B2755" s="91">
        <f>EDATE($B2754,1)</f>
        <v/>
      </c>
      <c r="C2755" s="92">
        <f>EOMONTH($B2755,0)</f>
        <v/>
      </c>
      <c r="D2755" s="87">
        <f>$C2755-$B2755+1</f>
        <v/>
      </c>
      <c r="E2755" s="87">
        <f>MONTH($B2755)</f>
        <v/>
      </c>
      <c r="F2755" s="93">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$N2755*IF($O$2722=1,$O2755/$F$2722,1)</f>
        <v/>
      </c>
      <c r="T2755" s="95">
        <f>IF($G2755&lt;nr_MStartP,$S2755,$T2743*(1+IF($G2755&lt;nr_MStartP1,$M$2722,$N$2722)))</f>
        <v/>
      </c>
      <c r="U2755" s="95">
        <f>IF($L$2722,$T2755,$N2755)</f>
        <v/>
      </c>
    </row>
    <row r="2756">
      <c r="A2756" s="90" t="n">
        <v>32</v>
      </c>
      <c r="B2756" s="91">
        <f>EDATE($B2755,1)</f>
        <v/>
      </c>
      <c r="C2756" s="92">
        <f>EOMONTH($B2756,0)</f>
        <v/>
      </c>
      <c r="D2756" s="87">
        <f>$C2756-$B2756+1</f>
        <v/>
      </c>
      <c r="E2756" s="87">
        <f>MONTH($B2756)</f>
        <v/>
      </c>
      <c r="F2756" s="93">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$N2756*IF($O$2722=1,$O2756/$F$2722,1)</f>
        <v/>
      </c>
      <c r="T2756" s="95">
        <f>IF($G2756&lt;nr_MStartP,$S2756,$T2744*(1+IF($G2756&lt;nr_MStartP1,$M$2722,$N$2722)))</f>
        <v/>
      </c>
      <c r="U2756" s="95">
        <f>IF($L$2722,$T2756,$N2756)</f>
        <v/>
      </c>
    </row>
    <row r="2757">
      <c r="A2757" s="90" t="n">
        <v>33</v>
      </c>
      <c r="B2757" s="91">
        <f>EDATE($B2756,1)</f>
        <v/>
      </c>
      <c r="C2757" s="92">
        <f>EOMONTH($B2757,0)</f>
        <v/>
      </c>
      <c r="D2757" s="87">
        <f>$C2757-$B2757+1</f>
        <v/>
      </c>
      <c r="E2757" s="87">
        <f>MONTH($B2757)</f>
        <v/>
      </c>
      <c r="F2757" s="93">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$N2757*IF($O$2722=1,$O2757/$F$2722,1)</f>
        <v/>
      </c>
      <c r="T2757" s="95">
        <f>IF($G2757&lt;nr_MStartP,$S2757,$T2745*(1+IF($G2757&lt;nr_MStartP1,$M$2722,$N$2722)))</f>
        <v/>
      </c>
      <c r="U2757" s="95">
        <f>IF($L$2722,$T2757,$N2757)</f>
        <v/>
      </c>
    </row>
    <row r="2758">
      <c r="A2758" s="90" t="n">
        <v>34</v>
      </c>
      <c r="B2758" s="91">
        <f>EDATE($B2757,1)</f>
        <v/>
      </c>
      <c r="C2758" s="92">
        <f>EOMONTH($B2758,0)</f>
        <v/>
      </c>
      <c r="D2758" s="87">
        <f>$C2758-$B2758+1</f>
        <v/>
      </c>
      <c r="E2758" s="87">
        <f>MONTH($B2758)</f>
        <v/>
      </c>
      <c r="F2758" s="93">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$N2758*IF($O$2722=1,$O2758/$F$2722,1)</f>
        <v/>
      </c>
      <c r="T2758" s="95">
        <f>IF($G2758&lt;nr_MStartP,$S2758,$T2746*(1+IF($G2758&lt;nr_MStartP1,$M$2722,$N$2722)))</f>
        <v/>
      </c>
      <c r="U2758" s="95">
        <f>IF($L$2722,$T2758,$N2758)</f>
        <v/>
      </c>
    </row>
    <row r="2759">
      <c r="A2759" s="90" t="n">
        <v>35</v>
      </c>
      <c r="B2759" s="91">
        <f>EDATE($B2758,1)</f>
        <v/>
      </c>
      <c r="C2759" s="92">
        <f>EOMONTH($B2759,0)</f>
        <v/>
      </c>
      <c r="D2759" s="87">
        <f>$C2759-$B2759+1</f>
        <v/>
      </c>
      <c r="E2759" s="87">
        <f>MONTH($B2759)</f>
        <v/>
      </c>
      <c r="F2759" s="93">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$N2759*IF($O$2722=1,$O2759/$F$2722,1)</f>
        <v/>
      </c>
      <c r="T2759" s="95">
        <f>IF($G2759&lt;nr_MStartP,$S2759,$T2747*(1+IF($G2759&lt;nr_MStartP1,$M$2722,$N$2722)))</f>
        <v/>
      </c>
      <c r="U2759" s="95">
        <f>IF($L$2722,$T2759,$N2759)</f>
        <v/>
      </c>
    </row>
    <row r="2760">
      <c r="A2760" s="90" t="n">
        <v>36</v>
      </c>
      <c r="B2760" s="91">
        <f>EDATE($B2759,1)</f>
        <v/>
      </c>
      <c r="C2760" s="92">
        <f>EOMONTH($B2760,0)</f>
        <v/>
      </c>
      <c r="D2760" s="87">
        <f>$C2760-$B2760+1</f>
        <v/>
      </c>
      <c r="E2760" s="87">
        <f>MONTH($B2760)</f>
        <v/>
      </c>
      <c r="F2760" s="93">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$N2760*IF($O$2722=1,$O2760/$F$2722,1)</f>
        <v/>
      </c>
      <c r="T2760" s="95">
        <f>IF($G2760&lt;nr_MStartP,$S2760,$T2748*(1+IF($G2760&lt;nr_MStartP1,$M$2722,$N$2722)))</f>
        <v/>
      </c>
      <c r="U2760" s="95">
        <f>IF($L$2722,$T2760,$N2760)</f>
        <v/>
      </c>
    </row>
    <row r="2761">
      <c r="A2761" s="90" t="n">
        <v>37</v>
      </c>
      <c r="B2761" s="91">
        <f>EDATE($B2760,1)</f>
        <v/>
      </c>
      <c r="C2761" s="92">
        <f>EOMONTH($B2761,0)</f>
        <v/>
      </c>
      <c r="D2761" s="87">
        <f>$C2761-$B2761+1</f>
        <v/>
      </c>
      <c r="E2761" s="87">
        <f>MONTH($B2761)</f>
        <v/>
      </c>
      <c r="F2761" s="93">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$N2761*IF($O$2722=1,$O2761/$F$2722,1)</f>
        <v/>
      </c>
      <c r="T2761" s="95">
        <f>IF($G2761&lt;nr_MStartP,$S2761,$T2749*(1+IF($G2761&lt;nr_MStartP1,$M$2722,$N$2722)))</f>
        <v/>
      </c>
      <c r="U2761" s="95">
        <f>IF($L$2722,$T2761,$N2761)</f>
        <v/>
      </c>
    </row>
    <row r="2762">
      <c r="A2762" s="90" t="n">
        <v>38</v>
      </c>
      <c r="B2762" s="91">
        <f>EDATE($B2761,1)</f>
        <v/>
      </c>
      <c r="C2762" s="92">
        <f>EOMONTH($B2762,0)</f>
        <v/>
      </c>
      <c r="D2762" s="87">
        <f>$C2762-$B2762+1</f>
        <v/>
      </c>
      <c r="E2762" s="87">
        <f>MONTH($B2762)</f>
        <v/>
      </c>
      <c r="F2762" s="93">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$N2762*IF($O$2722=1,$O2762/$F$2722,1)</f>
        <v/>
      </c>
      <c r="T2762" s="95">
        <f>IF($G2762&lt;nr_MStartP,$S2762,$T2750*(1+IF($G2762&lt;nr_MStartP1,$M$2722,$N$2722)))</f>
        <v/>
      </c>
      <c r="U2762" s="95">
        <f>IF($L$2722,$T2762,$N2762)</f>
        <v/>
      </c>
    </row>
    <row r="2763">
      <c r="A2763" s="90" t="n">
        <v>39</v>
      </c>
      <c r="B2763" s="91">
        <f>EDATE($B2762,1)</f>
        <v/>
      </c>
      <c r="C2763" s="92">
        <f>EOMONTH($B2763,0)</f>
        <v/>
      </c>
      <c r="D2763" s="87">
        <f>$C2763-$B2763+1</f>
        <v/>
      </c>
      <c r="E2763" s="87">
        <f>MONTH($B2763)</f>
        <v/>
      </c>
      <c r="F2763" s="93">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$N2763*IF($O$2722=1,$O2763/$F$2722,1)</f>
        <v/>
      </c>
      <c r="T2763" s="95">
        <f>IF($G2763&lt;nr_MStartP,$S2763,$T2751*(1+IF($G2763&lt;nr_MStartP1,$M$2722,$N$2722)))</f>
        <v/>
      </c>
      <c r="U2763" s="95">
        <f>IF($L$2722,$T2763,$N2763)</f>
        <v/>
      </c>
    </row>
    <row r="2764">
      <c r="A2764" s="90" t="n">
        <v>40</v>
      </c>
      <c r="B2764" s="91">
        <f>EDATE($B2763,1)</f>
        <v/>
      </c>
      <c r="C2764" s="92">
        <f>EOMONTH($B2764,0)</f>
        <v/>
      </c>
      <c r="D2764" s="87">
        <f>$C2764-$B2764+1</f>
        <v/>
      </c>
      <c r="E2764" s="87">
        <f>MONTH($B2764)</f>
        <v/>
      </c>
      <c r="F2764" s="93">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$N2764*IF($O$2722=1,$O2764/$F$2722,1)</f>
        <v/>
      </c>
      <c r="T2764" s="95">
        <f>IF($G2764&lt;nr_MStartP,$S2764,$T2752*(1+IF($G2764&lt;nr_MStartP1,$M$2722,$N$2722)))</f>
        <v/>
      </c>
      <c r="U2764" s="95">
        <f>IF($L$2722,$T2764,$N2764)</f>
        <v/>
      </c>
    </row>
    <row r="2765">
      <c r="A2765" s="90" t="n">
        <v>41</v>
      </c>
      <c r="B2765" s="91">
        <f>EDATE($B2764,1)</f>
        <v/>
      </c>
      <c r="C2765" s="92">
        <f>EOMONTH($B2765,0)</f>
        <v/>
      </c>
      <c r="D2765" s="87">
        <f>$C2765-$B2765+1</f>
        <v/>
      </c>
      <c r="E2765" s="87">
        <f>MONTH($B2765)</f>
        <v/>
      </c>
      <c r="F2765" s="93">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$N2765*IF($O$2722=1,$O2765/$F$2722,1)</f>
        <v/>
      </c>
      <c r="T2765" s="95">
        <f>IF($G2765&lt;nr_MStartP,$S2765,$T2753*(1+IF($G2765&lt;nr_MStartP1,$M$2722,$N$2722)))</f>
        <v/>
      </c>
      <c r="U2765" s="95">
        <f>IF($L$2722,$T2765,$N2765)</f>
        <v/>
      </c>
    </row>
    <row r="2766">
      <c r="A2766" s="90" t="n">
        <v>42</v>
      </c>
      <c r="B2766" s="91">
        <f>EDATE($B2765,1)</f>
        <v/>
      </c>
      <c r="C2766" s="92">
        <f>EOMONTH($B2766,0)</f>
        <v/>
      </c>
      <c r="D2766" s="87">
        <f>$C2766-$B2766+1</f>
        <v/>
      </c>
      <c r="E2766" s="87">
        <f>MONTH($B2766)</f>
        <v/>
      </c>
      <c r="F2766" s="93">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$N2766*IF($O$2722=1,$O2766/$F$2722,1)</f>
        <v/>
      </c>
      <c r="T2766" s="95">
        <f>IF($G2766&lt;nr_MStartP,$S2766,$T2754*(1+IF($G2766&lt;nr_MStartP1,$M$2722,$N$2722)))</f>
        <v/>
      </c>
      <c r="U2766" s="95">
        <f>IF($L$2722,$T2766,$N2766)</f>
        <v/>
      </c>
    </row>
    <row r="2767">
      <c r="A2767" s="90" t="n">
        <v>43</v>
      </c>
      <c r="B2767" s="91">
        <f>EDATE($B2766,1)</f>
        <v/>
      </c>
      <c r="C2767" s="92">
        <f>EOMONTH($B2767,0)</f>
        <v/>
      </c>
      <c r="D2767" s="87">
        <f>$C2767-$B2767+1</f>
        <v/>
      </c>
      <c r="E2767" s="87">
        <f>MONTH($B2767)</f>
        <v/>
      </c>
      <c r="F2767" s="93">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$N2767*IF($O$2722=1,$O2767/$F$2722,1)</f>
        <v/>
      </c>
      <c r="T2767" s="95">
        <f>IF($G2767&lt;nr_MStartP,$S2767,$T2755*(1+IF($G2767&lt;nr_MStartP1,$M$2722,$N$2722)))</f>
        <v/>
      </c>
      <c r="U2767" s="95">
        <f>IF($L$2722,$T2767,$N2767)</f>
        <v/>
      </c>
    </row>
    <row r="2768">
      <c r="A2768" s="90" t="n">
        <v>44</v>
      </c>
      <c r="B2768" s="91">
        <f>EDATE($B2767,1)</f>
        <v/>
      </c>
      <c r="C2768" s="92">
        <f>EOMONTH($B2768,0)</f>
        <v/>
      </c>
      <c r="D2768" s="87">
        <f>$C2768-$B2768+1</f>
        <v/>
      </c>
      <c r="E2768" s="87">
        <f>MONTH($B2768)</f>
        <v/>
      </c>
      <c r="F2768" s="93">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$N2768*IF($O$2722=1,$O2768/$F$2722,1)</f>
        <v/>
      </c>
      <c r="T2768" s="95">
        <f>IF($G2768&lt;nr_MStartP,$S2768,$T2756*(1+IF($G2768&lt;nr_MStartP1,$M$2722,$N$2722)))</f>
        <v/>
      </c>
      <c r="U2768" s="95">
        <f>IF($L$2722,$T2768,$N2768)</f>
        <v/>
      </c>
    </row>
    <row r="2769">
      <c r="A2769" s="90" t="n">
        <v>45</v>
      </c>
      <c r="B2769" s="91">
        <f>EDATE($B2768,1)</f>
        <v/>
      </c>
      <c r="C2769" s="92">
        <f>EOMONTH($B2769,0)</f>
        <v/>
      </c>
      <c r="D2769" s="87">
        <f>$C2769-$B2769+1</f>
        <v/>
      </c>
      <c r="E2769" s="87">
        <f>MONTH($B2769)</f>
        <v/>
      </c>
      <c r="F2769" s="93">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$N2769*IF($O$2722=1,$O2769/$F$2722,1)</f>
        <v/>
      </c>
      <c r="T2769" s="95">
        <f>IF($G2769&lt;nr_MStartP,$S2769,$T2757*(1+IF($G2769&lt;nr_MStartP1,$M$2722,$N$2722)))</f>
        <v/>
      </c>
      <c r="U2769" s="95">
        <f>IF($L$2722,$T2769,$N2769)</f>
        <v/>
      </c>
    </row>
    <row r="2770">
      <c r="A2770" s="90" t="n">
        <v>46</v>
      </c>
      <c r="B2770" s="91">
        <f>EDATE($B2769,1)</f>
        <v/>
      </c>
      <c r="C2770" s="92">
        <f>EOMONTH($B2770,0)</f>
        <v/>
      </c>
      <c r="D2770" s="87">
        <f>$C2770-$B2770+1</f>
        <v/>
      </c>
      <c r="E2770" s="87">
        <f>MONTH($B2770)</f>
        <v/>
      </c>
      <c r="F2770" s="93">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$N2770*IF($O$2722=1,$O2770/$F$2722,1)</f>
        <v/>
      </c>
      <c r="T2770" s="95">
        <f>IF($G2770&lt;nr_MStartP,$S2770,$T2758*(1+IF($G2770&lt;nr_MStartP1,$M$2722,$N$2722)))</f>
        <v/>
      </c>
      <c r="U2770" s="95">
        <f>IF($L$2722,$T2770,$N2770)</f>
        <v/>
      </c>
    </row>
    <row r="2771">
      <c r="A2771" s="90" t="n">
        <v>47</v>
      </c>
      <c r="B2771" s="91">
        <f>EDATE($B2770,1)</f>
        <v/>
      </c>
      <c r="C2771" s="92">
        <f>EOMONTH($B2771,0)</f>
        <v/>
      </c>
      <c r="D2771" s="87">
        <f>$C2771-$B2771+1</f>
        <v/>
      </c>
      <c r="E2771" s="87">
        <f>MONTH($B2771)</f>
        <v/>
      </c>
      <c r="F2771" s="93">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$N2771*IF($O$2722=1,$O2771/$F$2722,1)</f>
        <v/>
      </c>
      <c r="T2771" s="95">
        <f>IF($G2771&lt;nr_MStartP,$S2771,$T2759*(1+IF($G2771&lt;nr_MStartP1,$M$2722,$N$2722)))</f>
        <v/>
      </c>
      <c r="U2771" s="95">
        <f>IF($L$2722,$T2771,$N2771)</f>
        <v/>
      </c>
    </row>
    <row r="2772">
      <c r="A2772" s="90" t="n">
        <v>48</v>
      </c>
      <c r="B2772" s="91">
        <f>EDATE($B2771,1)</f>
        <v/>
      </c>
      <c r="C2772" s="92">
        <f>EOMONTH($B2772,0)</f>
        <v/>
      </c>
      <c r="D2772" s="87">
        <f>$C2772-$B2772+1</f>
        <v/>
      </c>
      <c r="E2772" s="87">
        <f>MONTH($B2772)</f>
        <v/>
      </c>
      <c r="F2772" s="93">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$N2772*IF($O$2722=1,$O2772/$F$2722,1)</f>
        <v/>
      </c>
      <c r="T2772" s="95">
        <f>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04">
        <f>SUMPRODUCT($H$2725:$H$2772,$Q$2725:$Q$2772,$O$2725:$O$2772)/SUMPRODUCT($H$2725:$H$2772,$Q$2725:$Q$2772)</f>
        <v/>
      </c>
      <c r="G2773" s="20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04">
        <f>IF(N(INDEX(lr_mind,51))=0,1,INDEX(lr_mind,51))</f>
        <v/>
      </c>
      <c r="G2776" s="204">
        <f>IF(N(INDEX(lr_m0,51))=0,1,INDEX(lr_m0,51))</f>
        <v/>
      </c>
      <c r="H2776" s="73">
        <f>IF(N(INDEX(lr_m0asof,51))=0,DATE(nr_PlanYear-1,10,1),INDEX(lr_m0asof,51))</f>
        <v/>
      </c>
      <c r="I2776" s="204">
        <f>IF(N(INDEX(lr_m1,51))=0,1,INDEX(lr_m1,51))</f>
        <v/>
      </c>
      <c r="J2776" s="204">
        <f>INDEX(lr_mprior,51)</f>
        <v/>
      </c>
      <c r="K2776" s="20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93">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$N2779*IF($O$2776=1,$O2779/$F$2776,1)</f>
        <v/>
      </c>
      <c r="T2779" s="95">
        <f>IF($G2779&lt;nr_MStartP,$S2779,$T2767*(1+IF($G2779&lt;nr_MStartP1,$M$2776,$N$2776)))</f>
        <v/>
      </c>
      <c r="U2779" s="95">
        <f>IF($L$2776,$T2779,$N2779)</f>
        <v/>
      </c>
    </row>
    <row r="2780">
      <c r="A2780" s="90" t="n">
        <v>2</v>
      </c>
      <c r="B2780" s="91">
        <f>EDATE($B2779,1)</f>
        <v/>
      </c>
      <c r="C2780" s="92">
        <f>EOMONTH($B2780,0)</f>
        <v/>
      </c>
      <c r="D2780" s="87">
        <f>$C2780-$B2780+1</f>
        <v/>
      </c>
      <c r="E2780" s="87">
        <f>MONTH($B2780)</f>
        <v/>
      </c>
      <c r="F2780" s="93">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$N2780*IF($O$2776=1,$O2780/$F$2776,1)</f>
        <v/>
      </c>
      <c r="T2780" s="95">
        <f>IF($G2780&lt;nr_MStartP,$S2780,$T2768*(1+IF($G2780&lt;nr_MStartP1,$M$2776,$N$2776)))</f>
        <v/>
      </c>
      <c r="U2780" s="95">
        <f>IF($L$2776,$T2780,$N2780)</f>
        <v/>
      </c>
    </row>
    <row r="2781">
      <c r="A2781" s="90" t="n">
        <v>3</v>
      </c>
      <c r="B2781" s="91">
        <f>EDATE($B2780,1)</f>
        <v/>
      </c>
      <c r="C2781" s="92">
        <f>EOMONTH($B2781,0)</f>
        <v/>
      </c>
      <c r="D2781" s="87">
        <f>$C2781-$B2781+1</f>
        <v/>
      </c>
      <c r="E2781" s="87">
        <f>MONTH($B2781)</f>
        <v/>
      </c>
      <c r="F2781" s="93">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$N2781*IF($O$2776=1,$O2781/$F$2776,1)</f>
        <v/>
      </c>
      <c r="T2781" s="95">
        <f>IF($G2781&lt;nr_MStartP,$S2781,$T2769*(1+IF($G2781&lt;nr_MStartP1,$M$2776,$N$2776)))</f>
        <v/>
      </c>
      <c r="U2781" s="95">
        <f>IF($L$2776,$T2781,$N2781)</f>
        <v/>
      </c>
    </row>
    <row r="2782">
      <c r="A2782" s="90" t="n">
        <v>4</v>
      </c>
      <c r="B2782" s="91">
        <f>EDATE($B2781,1)</f>
        <v/>
      </c>
      <c r="C2782" s="92">
        <f>EOMONTH($B2782,0)</f>
        <v/>
      </c>
      <c r="D2782" s="87">
        <f>$C2782-$B2782+1</f>
        <v/>
      </c>
      <c r="E2782" s="87">
        <f>MONTH($B2782)</f>
        <v/>
      </c>
      <c r="F2782" s="93">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$N2782*IF($O$2776=1,$O2782/$F$2776,1)</f>
        <v/>
      </c>
      <c r="T2782" s="95">
        <f>IF($G2782&lt;nr_MStartP,$S2782,$T2770*(1+IF($G2782&lt;nr_MStartP1,$M$2776,$N$2776)))</f>
        <v/>
      </c>
      <c r="U2782" s="95">
        <f>IF($L$2776,$T2782,$N2782)</f>
        <v/>
      </c>
    </row>
    <row r="2783">
      <c r="A2783" s="90" t="n">
        <v>5</v>
      </c>
      <c r="B2783" s="91">
        <f>EDATE($B2782,1)</f>
        <v/>
      </c>
      <c r="C2783" s="92">
        <f>EOMONTH($B2783,0)</f>
        <v/>
      </c>
      <c r="D2783" s="87">
        <f>$C2783-$B2783+1</f>
        <v/>
      </c>
      <c r="E2783" s="87">
        <f>MONTH($B2783)</f>
        <v/>
      </c>
      <c r="F2783" s="93">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$N2783*IF($O$2776=1,$O2783/$F$2776,1)</f>
        <v/>
      </c>
      <c r="T2783" s="95">
        <f>IF($G2783&lt;nr_MStartP,$S2783,$T2771*(1+IF($G2783&lt;nr_MStartP1,$M$2776,$N$2776)))</f>
        <v/>
      </c>
      <c r="U2783" s="95">
        <f>IF($L$2776,$T2783,$N2783)</f>
        <v/>
      </c>
    </row>
    <row r="2784">
      <c r="A2784" s="90" t="n">
        <v>6</v>
      </c>
      <c r="B2784" s="91">
        <f>EDATE($B2783,1)</f>
        <v/>
      </c>
      <c r="C2784" s="92">
        <f>EOMONTH($B2784,0)</f>
        <v/>
      </c>
      <c r="D2784" s="87">
        <f>$C2784-$B2784+1</f>
        <v/>
      </c>
      <c r="E2784" s="87">
        <f>MONTH($B2784)</f>
        <v/>
      </c>
      <c r="F2784" s="93">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$N2784*IF($O$2776=1,$O2784/$F$2776,1)</f>
        <v/>
      </c>
      <c r="T2784" s="95">
        <f>IF($G2784&lt;nr_MStartP,$S2784,$T2772*(1+IF($G2784&lt;nr_MStartP1,$M$2776,$N$2776)))</f>
        <v/>
      </c>
      <c r="U2784" s="95">
        <f>IF($L$2776,$T2784,$N2784)</f>
        <v/>
      </c>
    </row>
    <row r="2785">
      <c r="A2785" s="90" t="n">
        <v>7</v>
      </c>
      <c r="B2785" s="91">
        <f>EDATE($B2784,1)</f>
        <v/>
      </c>
      <c r="C2785" s="92">
        <f>EOMONTH($B2785,0)</f>
        <v/>
      </c>
      <c r="D2785" s="87">
        <f>$C2785-$B2785+1</f>
        <v/>
      </c>
      <c r="E2785" s="87">
        <f>MONTH($B2785)</f>
        <v/>
      </c>
      <c r="F2785" s="93">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$N2785*IF($O$2776=1,$O2785/$F$2776,1)</f>
        <v/>
      </c>
      <c r="T2785" s="95">
        <f>IF($G2785&lt;nr_MStartP,$S2785,$T2773*(1+IF($G2785&lt;nr_MStartP1,$M$2776,$N$2776)))</f>
        <v/>
      </c>
      <c r="U2785" s="95">
        <f>IF($L$2776,$T2785,$N2785)</f>
        <v/>
      </c>
    </row>
    <row r="2786">
      <c r="A2786" s="90" t="n">
        <v>8</v>
      </c>
      <c r="B2786" s="91">
        <f>EDATE($B2785,1)</f>
        <v/>
      </c>
      <c r="C2786" s="92">
        <f>EOMONTH($B2786,0)</f>
        <v/>
      </c>
      <c r="D2786" s="87">
        <f>$C2786-$B2786+1</f>
        <v/>
      </c>
      <c r="E2786" s="87">
        <f>MONTH($B2786)</f>
        <v/>
      </c>
      <c r="F2786" s="93">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$N2786*IF($O$2776=1,$O2786/$F$2776,1)</f>
        <v/>
      </c>
      <c r="T2786" s="95">
        <f>IF($G2786&lt;nr_MStartP,$S2786,$T2774*(1+IF($G2786&lt;nr_MStartP1,$M$2776,$N$2776)))</f>
        <v/>
      </c>
      <c r="U2786" s="95">
        <f>IF($L$2776,$T2786,$N2786)</f>
        <v/>
      </c>
    </row>
    <row r="2787">
      <c r="A2787" s="90" t="n">
        <v>9</v>
      </c>
      <c r="B2787" s="91">
        <f>EDATE($B2786,1)</f>
        <v/>
      </c>
      <c r="C2787" s="92">
        <f>EOMONTH($B2787,0)</f>
        <v/>
      </c>
      <c r="D2787" s="87">
        <f>$C2787-$B2787+1</f>
        <v/>
      </c>
      <c r="E2787" s="87">
        <f>MONTH($B2787)</f>
        <v/>
      </c>
      <c r="F2787" s="93">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$N2787*IF($O$2776=1,$O2787/$F$2776,1)</f>
        <v/>
      </c>
      <c r="T2787" s="95">
        <f>IF($G2787&lt;nr_MStartP,$S2787,$T2775*(1+IF($G2787&lt;nr_MStartP1,$M$2776,$N$2776)))</f>
        <v/>
      </c>
      <c r="U2787" s="95">
        <f>IF($L$2776,$T2787,$N2787)</f>
        <v/>
      </c>
    </row>
    <row r="2788">
      <c r="A2788" s="90" t="n">
        <v>10</v>
      </c>
      <c r="B2788" s="91">
        <f>EDATE($B2787,1)</f>
        <v/>
      </c>
      <c r="C2788" s="92">
        <f>EOMONTH($B2788,0)</f>
        <v/>
      </c>
      <c r="D2788" s="87">
        <f>$C2788-$B2788+1</f>
        <v/>
      </c>
      <c r="E2788" s="87">
        <f>MONTH($B2788)</f>
        <v/>
      </c>
      <c r="F2788" s="93">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$N2788*IF($O$2776=1,$O2788/$F$2776,1)</f>
        <v/>
      </c>
      <c r="T2788" s="95">
        <f>IF($G2788&lt;nr_MStartP,$S2788,$T2776*(1+IF($G2788&lt;nr_MStartP1,$M$2776,$N$2776)))</f>
        <v/>
      </c>
      <c r="U2788" s="95">
        <f>IF($L$2776,$T2788,$N2788)</f>
        <v/>
      </c>
    </row>
    <row r="2789">
      <c r="A2789" s="90" t="n">
        <v>11</v>
      </c>
      <c r="B2789" s="91">
        <f>EDATE($B2788,1)</f>
        <v/>
      </c>
      <c r="C2789" s="92">
        <f>EOMONTH($B2789,0)</f>
        <v/>
      </c>
      <c r="D2789" s="87">
        <f>$C2789-$B2789+1</f>
        <v/>
      </c>
      <c r="E2789" s="87">
        <f>MONTH($B2789)</f>
        <v/>
      </c>
      <c r="F2789" s="93">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$N2789*IF($O$2776=1,$O2789/$F$2776,1)</f>
        <v/>
      </c>
      <c r="T2789" s="95">
        <f>IF($G2789&lt;nr_MStartP,$S2789,$T2777*(1+IF($G2789&lt;nr_MStartP1,$M$2776,$N$2776)))</f>
        <v/>
      </c>
      <c r="U2789" s="95">
        <f>IF($L$2776,$T2789,$N2789)</f>
        <v/>
      </c>
    </row>
    <row r="2790">
      <c r="A2790" s="90" t="n">
        <v>12</v>
      </c>
      <c r="B2790" s="91">
        <f>EDATE($B2789,1)</f>
        <v/>
      </c>
      <c r="C2790" s="92">
        <f>EOMONTH($B2790,0)</f>
        <v/>
      </c>
      <c r="D2790" s="87">
        <f>$C2790-$B2790+1</f>
        <v/>
      </c>
      <c r="E2790" s="87">
        <f>MONTH($B2790)</f>
        <v/>
      </c>
      <c r="F2790" s="93">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$N2790*IF($O$2776=1,$O2790/$F$2776,1)</f>
        <v/>
      </c>
      <c r="T2790" s="95">
        <f>IF($G2790&lt;nr_MStartP,$S2790,$T2778*(1+IF($G2790&lt;nr_MStartP1,$M$2776,$N$2776)))</f>
        <v/>
      </c>
      <c r="U2790" s="95">
        <f>IF($L$2776,$T2790,$N2790)</f>
        <v/>
      </c>
    </row>
    <row r="2791">
      <c r="A2791" s="90" t="n">
        <v>13</v>
      </c>
      <c r="B2791" s="91">
        <f>EDATE($B2790,1)</f>
        <v/>
      </c>
      <c r="C2791" s="92">
        <f>EOMONTH($B2791,0)</f>
        <v/>
      </c>
      <c r="D2791" s="87">
        <f>$C2791-$B2791+1</f>
        <v/>
      </c>
      <c r="E2791" s="87">
        <f>MONTH($B2791)</f>
        <v/>
      </c>
      <c r="F2791" s="93">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$N2791*IF($O$2776=1,$O2791/$F$2776,1)</f>
        <v/>
      </c>
      <c r="T2791" s="95">
        <f>IF($G2791&lt;nr_MStartP,$S2791,$T2779*(1+IF($G2791&lt;nr_MStartP1,$M$2776,$N$2776)))</f>
        <v/>
      </c>
      <c r="U2791" s="95">
        <f>IF($L$2776,$T2791,$N2791)</f>
        <v/>
      </c>
    </row>
    <row r="2792">
      <c r="A2792" s="90" t="n">
        <v>14</v>
      </c>
      <c r="B2792" s="91">
        <f>EDATE($B2791,1)</f>
        <v/>
      </c>
      <c r="C2792" s="92">
        <f>EOMONTH($B2792,0)</f>
        <v/>
      </c>
      <c r="D2792" s="87">
        <f>$C2792-$B2792+1</f>
        <v/>
      </c>
      <c r="E2792" s="87">
        <f>MONTH($B2792)</f>
        <v/>
      </c>
      <c r="F2792" s="93">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$N2792*IF($O$2776=1,$O2792/$F$2776,1)</f>
        <v/>
      </c>
      <c r="T2792" s="95">
        <f>IF($G2792&lt;nr_MStartP,$S2792,$T2780*(1+IF($G2792&lt;nr_MStartP1,$M$2776,$N$2776)))</f>
        <v/>
      </c>
      <c r="U2792" s="95">
        <f>IF($L$2776,$T2792,$N2792)</f>
        <v/>
      </c>
    </row>
    <row r="2793">
      <c r="A2793" s="90" t="n">
        <v>15</v>
      </c>
      <c r="B2793" s="91">
        <f>EDATE($B2792,1)</f>
        <v/>
      </c>
      <c r="C2793" s="92">
        <f>EOMONTH($B2793,0)</f>
        <v/>
      </c>
      <c r="D2793" s="87">
        <f>$C2793-$B2793+1</f>
        <v/>
      </c>
      <c r="E2793" s="87">
        <f>MONTH($B2793)</f>
        <v/>
      </c>
      <c r="F2793" s="93">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$N2793*IF($O$2776=1,$O2793/$F$2776,1)</f>
        <v/>
      </c>
      <c r="T2793" s="95">
        <f>IF($G2793&lt;nr_MStartP,$S2793,$T2781*(1+IF($G2793&lt;nr_MStartP1,$M$2776,$N$2776)))</f>
        <v/>
      </c>
      <c r="U2793" s="95">
        <f>IF($L$2776,$T2793,$N2793)</f>
        <v/>
      </c>
    </row>
    <row r="2794">
      <c r="A2794" s="90" t="n">
        <v>16</v>
      </c>
      <c r="B2794" s="91">
        <f>EDATE($B2793,1)</f>
        <v/>
      </c>
      <c r="C2794" s="92">
        <f>EOMONTH($B2794,0)</f>
        <v/>
      </c>
      <c r="D2794" s="87">
        <f>$C2794-$B2794+1</f>
        <v/>
      </c>
      <c r="E2794" s="87">
        <f>MONTH($B2794)</f>
        <v/>
      </c>
      <c r="F2794" s="93">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$N2794*IF($O$2776=1,$O2794/$F$2776,1)</f>
        <v/>
      </c>
      <c r="T2794" s="95">
        <f>IF($G2794&lt;nr_MStartP,$S2794,$T2782*(1+IF($G2794&lt;nr_MStartP1,$M$2776,$N$2776)))</f>
        <v/>
      </c>
      <c r="U2794" s="95">
        <f>IF($L$2776,$T2794,$N2794)</f>
        <v/>
      </c>
    </row>
    <row r="2795">
      <c r="A2795" s="90" t="n">
        <v>17</v>
      </c>
      <c r="B2795" s="91">
        <f>EDATE($B2794,1)</f>
        <v/>
      </c>
      <c r="C2795" s="92">
        <f>EOMONTH($B2795,0)</f>
        <v/>
      </c>
      <c r="D2795" s="87">
        <f>$C2795-$B2795+1</f>
        <v/>
      </c>
      <c r="E2795" s="87">
        <f>MONTH($B2795)</f>
        <v/>
      </c>
      <c r="F2795" s="93">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$N2795*IF($O$2776=1,$O2795/$F$2776,1)</f>
        <v/>
      </c>
      <c r="T2795" s="95">
        <f>IF($G2795&lt;nr_MStartP,$S2795,$T2783*(1+IF($G2795&lt;nr_MStartP1,$M$2776,$N$2776)))</f>
        <v/>
      </c>
      <c r="U2795" s="95">
        <f>IF($L$2776,$T2795,$N2795)</f>
        <v/>
      </c>
    </row>
    <row r="2796">
      <c r="A2796" s="90" t="n">
        <v>18</v>
      </c>
      <c r="B2796" s="91">
        <f>EDATE($B2795,1)</f>
        <v/>
      </c>
      <c r="C2796" s="92">
        <f>EOMONTH($B2796,0)</f>
        <v/>
      </c>
      <c r="D2796" s="87">
        <f>$C2796-$B2796+1</f>
        <v/>
      </c>
      <c r="E2796" s="87">
        <f>MONTH($B2796)</f>
        <v/>
      </c>
      <c r="F2796" s="93">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$N2796*IF($O$2776=1,$O2796/$F$2776,1)</f>
        <v/>
      </c>
      <c r="T2796" s="95">
        <f>IF($G2796&lt;nr_MStartP,$S2796,$T2784*(1+IF($G2796&lt;nr_MStartP1,$M$2776,$N$2776)))</f>
        <v/>
      </c>
      <c r="U2796" s="95">
        <f>IF($L$2776,$T2796,$N2796)</f>
        <v/>
      </c>
    </row>
    <row r="2797">
      <c r="A2797" s="90" t="n">
        <v>19</v>
      </c>
      <c r="B2797" s="91">
        <f>EDATE($B2796,1)</f>
        <v/>
      </c>
      <c r="C2797" s="92">
        <f>EOMONTH($B2797,0)</f>
        <v/>
      </c>
      <c r="D2797" s="87">
        <f>$C2797-$B2797+1</f>
        <v/>
      </c>
      <c r="E2797" s="87">
        <f>MONTH($B2797)</f>
        <v/>
      </c>
      <c r="F2797" s="93">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$N2797*IF($O$2776=1,$O2797/$F$2776,1)</f>
        <v/>
      </c>
      <c r="T2797" s="95">
        <f>IF($G2797&lt;nr_MStartP,$S2797,$T2785*(1+IF($G2797&lt;nr_MStartP1,$M$2776,$N$2776)))</f>
        <v/>
      </c>
      <c r="U2797" s="95">
        <f>IF($L$2776,$T2797,$N2797)</f>
        <v/>
      </c>
    </row>
    <row r="2798">
      <c r="A2798" s="90" t="n">
        <v>20</v>
      </c>
      <c r="B2798" s="91">
        <f>EDATE($B2797,1)</f>
        <v/>
      </c>
      <c r="C2798" s="92">
        <f>EOMONTH($B2798,0)</f>
        <v/>
      </c>
      <c r="D2798" s="87">
        <f>$C2798-$B2798+1</f>
        <v/>
      </c>
      <c r="E2798" s="87">
        <f>MONTH($B2798)</f>
        <v/>
      </c>
      <c r="F2798" s="93">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$N2798*IF($O$2776=1,$O2798/$F$2776,1)</f>
        <v/>
      </c>
      <c r="T2798" s="95">
        <f>IF($G2798&lt;nr_MStartP,$S2798,$T2786*(1+IF($G2798&lt;nr_MStartP1,$M$2776,$N$2776)))</f>
        <v/>
      </c>
      <c r="U2798" s="95">
        <f>IF($L$2776,$T2798,$N2798)</f>
        <v/>
      </c>
    </row>
    <row r="2799">
      <c r="A2799" s="90" t="n">
        <v>21</v>
      </c>
      <c r="B2799" s="91">
        <f>EDATE($B2798,1)</f>
        <v/>
      </c>
      <c r="C2799" s="92">
        <f>EOMONTH($B2799,0)</f>
        <v/>
      </c>
      <c r="D2799" s="87">
        <f>$C2799-$B2799+1</f>
        <v/>
      </c>
      <c r="E2799" s="87">
        <f>MONTH($B2799)</f>
        <v/>
      </c>
      <c r="F2799" s="93">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$N2799*IF($O$2776=1,$O2799/$F$2776,1)</f>
        <v/>
      </c>
      <c r="T2799" s="95">
        <f>IF($G2799&lt;nr_MStartP,$S2799,$T2787*(1+IF($G2799&lt;nr_MStartP1,$M$2776,$N$2776)))</f>
        <v/>
      </c>
      <c r="U2799" s="95">
        <f>IF($L$2776,$T2799,$N2799)</f>
        <v/>
      </c>
    </row>
    <row r="2800">
      <c r="A2800" s="90" t="n">
        <v>22</v>
      </c>
      <c r="B2800" s="91">
        <f>EDATE($B2799,1)</f>
        <v/>
      </c>
      <c r="C2800" s="92">
        <f>EOMONTH($B2800,0)</f>
        <v/>
      </c>
      <c r="D2800" s="87">
        <f>$C2800-$B2800+1</f>
        <v/>
      </c>
      <c r="E2800" s="87">
        <f>MONTH($B2800)</f>
        <v/>
      </c>
      <c r="F2800" s="93">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$N2800*IF($O$2776=1,$O2800/$F$2776,1)</f>
        <v/>
      </c>
      <c r="T2800" s="95">
        <f>IF($G2800&lt;nr_MStartP,$S2800,$T2788*(1+IF($G2800&lt;nr_MStartP1,$M$2776,$N$2776)))</f>
        <v/>
      </c>
      <c r="U2800" s="95">
        <f>IF($L$2776,$T2800,$N2800)</f>
        <v/>
      </c>
    </row>
    <row r="2801">
      <c r="A2801" s="90" t="n">
        <v>23</v>
      </c>
      <c r="B2801" s="91">
        <f>EDATE($B2800,1)</f>
        <v/>
      </c>
      <c r="C2801" s="92">
        <f>EOMONTH($B2801,0)</f>
        <v/>
      </c>
      <c r="D2801" s="87">
        <f>$C2801-$B2801+1</f>
        <v/>
      </c>
      <c r="E2801" s="87">
        <f>MONTH($B2801)</f>
        <v/>
      </c>
      <c r="F2801" s="93">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$N2801*IF($O$2776=1,$O2801/$F$2776,1)</f>
        <v/>
      </c>
      <c r="T2801" s="95">
        <f>IF($G2801&lt;nr_MStartP,$S2801,$T2789*(1+IF($G2801&lt;nr_MStartP1,$M$2776,$N$2776)))</f>
        <v/>
      </c>
      <c r="U2801" s="95">
        <f>IF($L$2776,$T2801,$N2801)</f>
        <v/>
      </c>
    </row>
    <row r="2802">
      <c r="A2802" s="90" t="n">
        <v>24</v>
      </c>
      <c r="B2802" s="91">
        <f>EDATE($B2801,1)</f>
        <v/>
      </c>
      <c r="C2802" s="92">
        <f>EOMONTH($B2802,0)</f>
        <v/>
      </c>
      <c r="D2802" s="87">
        <f>$C2802-$B2802+1</f>
        <v/>
      </c>
      <c r="E2802" s="87">
        <f>MONTH($B2802)</f>
        <v/>
      </c>
      <c r="F2802" s="93">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$N2802*IF($O$2776=1,$O2802/$F$2776,1)</f>
        <v/>
      </c>
      <c r="T2802" s="95">
        <f>IF($G2802&lt;nr_MStartP,$S2802,$T2790*(1+IF($G2802&lt;nr_MStartP1,$M$2776,$N$2776)))</f>
        <v/>
      </c>
      <c r="U2802" s="95">
        <f>IF($L$2776,$T2802,$N2802)</f>
        <v/>
      </c>
    </row>
    <row r="2803">
      <c r="A2803" s="90" t="n">
        <v>25</v>
      </c>
      <c r="B2803" s="91">
        <f>EDATE($B2802,1)</f>
        <v/>
      </c>
      <c r="C2803" s="92">
        <f>EOMONTH($B2803,0)</f>
        <v/>
      </c>
      <c r="D2803" s="87">
        <f>$C2803-$B2803+1</f>
        <v/>
      </c>
      <c r="E2803" s="87">
        <f>MONTH($B2803)</f>
        <v/>
      </c>
      <c r="F2803" s="93">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$N2803*IF($O$2776=1,$O2803/$F$2776,1)</f>
        <v/>
      </c>
      <c r="T2803" s="95">
        <f>IF($G2803&lt;nr_MStartP,$S2803,$T2791*(1+IF($G2803&lt;nr_MStartP1,$M$2776,$N$2776)))</f>
        <v/>
      </c>
      <c r="U2803" s="95">
        <f>IF($L$2776,$T2803,$N2803)</f>
        <v/>
      </c>
    </row>
    <row r="2804">
      <c r="A2804" s="90" t="n">
        <v>26</v>
      </c>
      <c r="B2804" s="91">
        <f>EDATE($B2803,1)</f>
        <v/>
      </c>
      <c r="C2804" s="92">
        <f>EOMONTH($B2804,0)</f>
        <v/>
      </c>
      <c r="D2804" s="87">
        <f>$C2804-$B2804+1</f>
        <v/>
      </c>
      <c r="E2804" s="87">
        <f>MONTH($B2804)</f>
        <v/>
      </c>
      <c r="F2804" s="93">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$N2804*IF($O$2776=1,$O2804/$F$2776,1)</f>
        <v/>
      </c>
      <c r="T2804" s="95">
        <f>IF($G2804&lt;nr_MStartP,$S2804,$T2792*(1+IF($G2804&lt;nr_MStartP1,$M$2776,$N$2776)))</f>
        <v/>
      </c>
      <c r="U2804" s="95">
        <f>IF($L$2776,$T2804,$N2804)</f>
        <v/>
      </c>
    </row>
    <row r="2805">
      <c r="A2805" s="90" t="n">
        <v>27</v>
      </c>
      <c r="B2805" s="91">
        <f>EDATE($B2804,1)</f>
        <v/>
      </c>
      <c r="C2805" s="92">
        <f>EOMONTH($B2805,0)</f>
        <v/>
      </c>
      <c r="D2805" s="87">
        <f>$C2805-$B2805+1</f>
        <v/>
      </c>
      <c r="E2805" s="87">
        <f>MONTH($B2805)</f>
        <v/>
      </c>
      <c r="F2805" s="93">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$N2805*IF($O$2776=1,$O2805/$F$2776,1)</f>
        <v/>
      </c>
      <c r="T2805" s="95">
        <f>IF($G2805&lt;nr_MStartP,$S2805,$T2793*(1+IF($G2805&lt;nr_MStartP1,$M$2776,$N$2776)))</f>
        <v/>
      </c>
      <c r="U2805" s="95">
        <f>IF($L$2776,$T2805,$N2805)</f>
        <v/>
      </c>
    </row>
    <row r="2806">
      <c r="A2806" s="90" t="n">
        <v>28</v>
      </c>
      <c r="B2806" s="91">
        <f>EDATE($B2805,1)</f>
        <v/>
      </c>
      <c r="C2806" s="92">
        <f>EOMONTH($B2806,0)</f>
        <v/>
      </c>
      <c r="D2806" s="87">
        <f>$C2806-$B2806+1</f>
        <v/>
      </c>
      <c r="E2806" s="87">
        <f>MONTH($B2806)</f>
        <v/>
      </c>
      <c r="F2806" s="93">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$N2806*IF($O$2776=1,$O2806/$F$2776,1)</f>
        <v/>
      </c>
      <c r="T2806" s="95">
        <f>IF($G2806&lt;nr_MStartP,$S2806,$T2794*(1+IF($G2806&lt;nr_MStartP1,$M$2776,$N$2776)))</f>
        <v/>
      </c>
      <c r="U2806" s="95">
        <f>IF($L$2776,$T2806,$N2806)</f>
        <v/>
      </c>
    </row>
    <row r="2807">
      <c r="A2807" s="90" t="n">
        <v>29</v>
      </c>
      <c r="B2807" s="91">
        <f>EDATE($B2806,1)</f>
        <v/>
      </c>
      <c r="C2807" s="92">
        <f>EOMONTH($B2807,0)</f>
        <v/>
      </c>
      <c r="D2807" s="87">
        <f>$C2807-$B2807+1</f>
        <v/>
      </c>
      <c r="E2807" s="87">
        <f>MONTH($B2807)</f>
        <v/>
      </c>
      <c r="F2807" s="93">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$N2807*IF($O$2776=1,$O2807/$F$2776,1)</f>
        <v/>
      </c>
      <c r="T2807" s="95">
        <f>IF($G2807&lt;nr_MStartP,$S2807,$T2795*(1+IF($G2807&lt;nr_MStartP1,$M$2776,$N$2776)))</f>
        <v/>
      </c>
      <c r="U2807" s="95">
        <f>IF($L$2776,$T2807,$N2807)</f>
        <v/>
      </c>
    </row>
    <row r="2808">
      <c r="A2808" s="90" t="n">
        <v>30</v>
      </c>
      <c r="B2808" s="91">
        <f>EDATE($B2807,1)</f>
        <v/>
      </c>
      <c r="C2808" s="92">
        <f>EOMONTH($B2808,0)</f>
        <v/>
      </c>
      <c r="D2808" s="87">
        <f>$C2808-$B2808+1</f>
        <v/>
      </c>
      <c r="E2808" s="87">
        <f>MONTH($B2808)</f>
        <v/>
      </c>
      <c r="F2808" s="93">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$N2808*IF($O$2776=1,$O2808/$F$2776,1)</f>
        <v/>
      </c>
      <c r="T2808" s="95">
        <f>IF($G2808&lt;nr_MStartP,$S2808,$T2796*(1+IF($G2808&lt;nr_MStartP1,$M$2776,$N$2776)))</f>
        <v/>
      </c>
      <c r="U2808" s="95">
        <f>IF($L$2776,$T2808,$N2808)</f>
        <v/>
      </c>
    </row>
    <row r="2809">
      <c r="A2809" s="90" t="n">
        <v>31</v>
      </c>
      <c r="B2809" s="91">
        <f>EDATE($B2808,1)</f>
        <v/>
      </c>
      <c r="C2809" s="92">
        <f>EOMONTH($B2809,0)</f>
        <v/>
      </c>
      <c r="D2809" s="87">
        <f>$C2809-$B2809+1</f>
        <v/>
      </c>
      <c r="E2809" s="87">
        <f>MONTH($B2809)</f>
        <v/>
      </c>
      <c r="F2809" s="93">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$N2809*IF($O$2776=1,$O2809/$F$2776,1)</f>
        <v/>
      </c>
      <c r="T2809" s="95">
        <f>IF($G2809&lt;nr_MStartP,$S2809,$T2797*(1+IF($G2809&lt;nr_MStartP1,$M$2776,$N$2776)))</f>
        <v/>
      </c>
      <c r="U2809" s="95">
        <f>IF($L$2776,$T2809,$N2809)</f>
        <v/>
      </c>
    </row>
    <row r="2810">
      <c r="A2810" s="90" t="n">
        <v>32</v>
      </c>
      <c r="B2810" s="91">
        <f>EDATE($B2809,1)</f>
        <v/>
      </c>
      <c r="C2810" s="92">
        <f>EOMONTH($B2810,0)</f>
        <v/>
      </c>
      <c r="D2810" s="87">
        <f>$C2810-$B2810+1</f>
        <v/>
      </c>
      <c r="E2810" s="87">
        <f>MONTH($B2810)</f>
        <v/>
      </c>
      <c r="F2810" s="93">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$N2810*IF($O$2776=1,$O2810/$F$2776,1)</f>
        <v/>
      </c>
      <c r="T2810" s="95">
        <f>IF($G2810&lt;nr_MStartP,$S2810,$T2798*(1+IF($G2810&lt;nr_MStartP1,$M$2776,$N$2776)))</f>
        <v/>
      </c>
      <c r="U2810" s="95">
        <f>IF($L$2776,$T2810,$N2810)</f>
        <v/>
      </c>
    </row>
    <row r="2811">
      <c r="A2811" s="90" t="n">
        <v>33</v>
      </c>
      <c r="B2811" s="91">
        <f>EDATE($B2810,1)</f>
        <v/>
      </c>
      <c r="C2811" s="92">
        <f>EOMONTH($B2811,0)</f>
        <v/>
      </c>
      <c r="D2811" s="87">
        <f>$C2811-$B2811+1</f>
        <v/>
      </c>
      <c r="E2811" s="87">
        <f>MONTH($B2811)</f>
        <v/>
      </c>
      <c r="F2811" s="93">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$N2811*IF($O$2776=1,$O2811/$F$2776,1)</f>
        <v/>
      </c>
      <c r="T2811" s="95">
        <f>IF($G2811&lt;nr_MStartP,$S2811,$T2799*(1+IF($G2811&lt;nr_MStartP1,$M$2776,$N$2776)))</f>
        <v/>
      </c>
      <c r="U2811" s="95">
        <f>IF($L$2776,$T2811,$N2811)</f>
        <v/>
      </c>
    </row>
    <row r="2812">
      <c r="A2812" s="90" t="n">
        <v>34</v>
      </c>
      <c r="B2812" s="91">
        <f>EDATE($B2811,1)</f>
        <v/>
      </c>
      <c r="C2812" s="92">
        <f>EOMONTH($B2812,0)</f>
        <v/>
      </c>
      <c r="D2812" s="87">
        <f>$C2812-$B2812+1</f>
        <v/>
      </c>
      <c r="E2812" s="87">
        <f>MONTH($B2812)</f>
        <v/>
      </c>
      <c r="F2812" s="93">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$N2812*IF($O$2776=1,$O2812/$F$2776,1)</f>
        <v/>
      </c>
      <c r="T2812" s="95">
        <f>IF($G2812&lt;nr_MStartP,$S2812,$T2800*(1+IF($G2812&lt;nr_MStartP1,$M$2776,$N$2776)))</f>
        <v/>
      </c>
      <c r="U2812" s="95">
        <f>IF($L$2776,$T2812,$N2812)</f>
        <v/>
      </c>
    </row>
    <row r="2813">
      <c r="A2813" s="90" t="n">
        <v>35</v>
      </c>
      <c r="B2813" s="91">
        <f>EDATE($B2812,1)</f>
        <v/>
      </c>
      <c r="C2813" s="92">
        <f>EOMONTH($B2813,0)</f>
        <v/>
      </c>
      <c r="D2813" s="87">
        <f>$C2813-$B2813+1</f>
        <v/>
      </c>
      <c r="E2813" s="87">
        <f>MONTH($B2813)</f>
        <v/>
      </c>
      <c r="F2813" s="93">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$N2813*IF($O$2776=1,$O2813/$F$2776,1)</f>
        <v/>
      </c>
      <c r="T2813" s="95">
        <f>IF($G2813&lt;nr_MStartP,$S2813,$T2801*(1+IF($G2813&lt;nr_MStartP1,$M$2776,$N$2776)))</f>
        <v/>
      </c>
      <c r="U2813" s="95">
        <f>IF($L$2776,$T2813,$N2813)</f>
        <v/>
      </c>
    </row>
    <row r="2814">
      <c r="A2814" s="90" t="n">
        <v>36</v>
      </c>
      <c r="B2814" s="91">
        <f>EDATE($B2813,1)</f>
        <v/>
      </c>
      <c r="C2814" s="92">
        <f>EOMONTH($B2814,0)</f>
        <v/>
      </c>
      <c r="D2814" s="87">
        <f>$C2814-$B2814+1</f>
        <v/>
      </c>
      <c r="E2814" s="87">
        <f>MONTH($B2814)</f>
        <v/>
      </c>
      <c r="F2814" s="93">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$N2814*IF($O$2776=1,$O2814/$F$2776,1)</f>
        <v/>
      </c>
      <c r="T2814" s="95">
        <f>IF($G2814&lt;nr_MStartP,$S2814,$T2802*(1+IF($G2814&lt;nr_MStartP1,$M$2776,$N$2776)))</f>
        <v/>
      </c>
      <c r="U2814" s="95">
        <f>IF($L$2776,$T2814,$N2814)</f>
        <v/>
      </c>
    </row>
    <row r="2815">
      <c r="A2815" s="90" t="n">
        <v>37</v>
      </c>
      <c r="B2815" s="91">
        <f>EDATE($B2814,1)</f>
        <v/>
      </c>
      <c r="C2815" s="92">
        <f>EOMONTH($B2815,0)</f>
        <v/>
      </c>
      <c r="D2815" s="87">
        <f>$C2815-$B2815+1</f>
        <v/>
      </c>
      <c r="E2815" s="87">
        <f>MONTH($B2815)</f>
        <v/>
      </c>
      <c r="F2815" s="93">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$N2815*IF($O$2776=1,$O2815/$F$2776,1)</f>
        <v/>
      </c>
      <c r="T2815" s="95">
        <f>IF($G2815&lt;nr_MStartP,$S2815,$T2803*(1+IF($G2815&lt;nr_MStartP1,$M$2776,$N$2776)))</f>
        <v/>
      </c>
      <c r="U2815" s="95">
        <f>IF($L$2776,$T2815,$N2815)</f>
        <v/>
      </c>
    </row>
    <row r="2816">
      <c r="A2816" s="90" t="n">
        <v>38</v>
      </c>
      <c r="B2816" s="91">
        <f>EDATE($B2815,1)</f>
        <v/>
      </c>
      <c r="C2816" s="92">
        <f>EOMONTH($B2816,0)</f>
        <v/>
      </c>
      <c r="D2816" s="87">
        <f>$C2816-$B2816+1</f>
        <v/>
      </c>
      <c r="E2816" s="87">
        <f>MONTH($B2816)</f>
        <v/>
      </c>
      <c r="F2816" s="93">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$N2816*IF($O$2776=1,$O2816/$F$2776,1)</f>
        <v/>
      </c>
      <c r="T2816" s="95">
        <f>IF($G2816&lt;nr_MStartP,$S2816,$T2804*(1+IF($G2816&lt;nr_MStartP1,$M$2776,$N$2776)))</f>
        <v/>
      </c>
      <c r="U2816" s="95">
        <f>IF($L$2776,$T2816,$N2816)</f>
        <v/>
      </c>
    </row>
    <row r="2817">
      <c r="A2817" s="90" t="n">
        <v>39</v>
      </c>
      <c r="B2817" s="91">
        <f>EDATE($B2816,1)</f>
        <v/>
      </c>
      <c r="C2817" s="92">
        <f>EOMONTH($B2817,0)</f>
        <v/>
      </c>
      <c r="D2817" s="87">
        <f>$C2817-$B2817+1</f>
        <v/>
      </c>
      <c r="E2817" s="87">
        <f>MONTH($B2817)</f>
        <v/>
      </c>
      <c r="F2817" s="93">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$N2817*IF($O$2776=1,$O2817/$F$2776,1)</f>
        <v/>
      </c>
      <c r="T2817" s="95">
        <f>IF($G2817&lt;nr_MStartP,$S2817,$T2805*(1+IF($G2817&lt;nr_MStartP1,$M$2776,$N$2776)))</f>
        <v/>
      </c>
      <c r="U2817" s="95">
        <f>IF($L$2776,$T2817,$N2817)</f>
        <v/>
      </c>
    </row>
    <row r="2818">
      <c r="A2818" s="90" t="n">
        <v>40</v>
      </c>
      <c r="B2818" s="91">
        <f>EDATE($B2817,1)</f>
        <v/>
      </c>
      <c r="C2818" s="92">
        <f>EOMONTH($B2818,0)</f>
        <v/>
      </c>
      <c r="D2818" s="87">
        <f>$C2818-$B2818+1</f>
        <v/>
      </c>
      <c r="E2818" s="87">
        <f>MONTH($B2818)</f>
        <v/>
      </c>
      <c r="F2818" s="93">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$N2818*IF($O$2776=1,$O2818/$F$2776,1)</f>
        <v/>
      </c>
      <c r="T2818" s="95">
        <f>IF($G2818&lt;nr_MStartP,$S2818,$T2806*(1+IF($G2818&lt;nr_MStartP1,$M$2776,$N$2776)))</f>
        <v/>
      </c>
      <c r="U2818" s="95">
        <f>IF($L$2776,$T2818,$N2818)</f>
        <v/>
      </c>
    </row>
    <row r="2819">
      <c r="A2819" s="90" t="n">
        <v>41</v>
      </c>
      <c r="B2819" s="91">
        <f>EDATE($B2818,1)</f>
        <v/>
      </c>
      <c r="C2819" s="92">
        <f>EOMONTH($B2819,0)</f>
        <v/>
      </c>
      <c r="D2819" s="87">
        <f>$C2819-$B2819+1</f>
        <v/>
      </c>
      <c r="E2819" s="87">
        <f>MONTH($B2819)</f>
        <v/>
      </c>
      <c r="F2819" s="93">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$N2819*IF($O$2776=1,$O2819/$F$2776,1)</f>
        <v/>
      </c>
      <c r="T2819" s="95">
        <f>IF($G2819&lt;nr_MStartP,$S2819,$T2807*(1+IF($G2819&lt;nr_MStartP1,$M$2776,$N$2776)))</f>
        <v/>
      </c>
      <c r="U2819" s="95">
        <f>IF($L$2776,$T2819,$N2819)</f>
        <v/>
      </c>
    </row>
    <row r="2820">
      <c r="A2820" s="90" t="n">
        <v>42</v>
      </c>
      <c r="B2820" s="91">
        <f>EDATE($B2819,1)</f>
        <v/>
      </c>
      <c r="C2820" s="92">
        <f>EOMONTH($B2820,0)</f>
        <v/>
      </c>
      <c r="D2820" s="87">
        <f>$C2820-$B2820+1</f>
        <v/>
      </c>
      <c r="E2820" s="87">
        <f>MONTH($B2820)</f>
        <v/>
      </c>
      <c r="F2820" s="93">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$N2820*IF($O$2776=1,$O2820/$F$2776,1)</f>
        <v/>
      </c>
      <c r="T2820" s="95">
        <f>IF($G2820&lt;nr_MStartP,$S2820,$T2808*(1+IF($G2820&lt;nr_MStartP1,$M$2776,$N$2776)))</f>
        <v/>
      </c>
      <c r="U2820" s="95">
        <f>IF($L$2776,$T2820,$N2820)</f>
        <v/>
      </c>
    </row>
    <row r="2821">
      <c r="A2821" s="90" t="n">
        <v>43</v>
      </c>
      <c r="B2821" s="91">
        <f>EDATE($B2820,1)</f>
        <v/>
      </c>
      <c r="C2821" s="92">
        <f>EOMONTH($B2821,0)</f>
        <v/>
      </c>
      <c r="D2821" s="87">
        <f>$C2821-$B2821+1</f>
        <v/>
      </c>
      <c r="E2821" s="87">
        <f>MONTH($B2821)</f>
        <v/>
      </c>
      <c r="F2821" s="93">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$N2821*IF($O$2776=1,$O2821/$F$2776,1)</f>
        <v/>
      </c>
      <c r="T2821" s="95">
        <f>IF($G2821&lt;nr_MStartP,$S2821,$T2809*(1+IF($G2821&lt;nr_MStartP1,$M$2776,$N$2776)))</f>
        <v/>
      </c>
      <c r="U2821" s="95">
        <f>IF($L$2776,$T2821,$N2821)</f>
        <v/>
      </c>
    </row>
    <row r="2822">
      <c r="A2822" s="90" t="n">
        <v>44</v>
      </c>
      <c r="B2822" s="91">
        <f>EDATE($B2821,1)</f>
        <v/>
      </c>
      <c r="C2822" s="92">
        <f>EOMONTH($B2822,0)</f>
        <v/>
      </c>
      <c r="D2822" s="87">
        <f>$C2822-$B2822+1</f>
        <v/>
      </c>
      <c r="E2822" s="87">
        <f>MONTH($B2822)</f>
        <v/>
      </c>
      <c r="F2822" s="93">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$N2822*IF($O$2776=1,$O2822/$F$2776,1)</f>
        <v/>
      </c>
      <c r="T2822" s="95">
        <f>IF($G2822&lt;nr_MStartP,$S2822,$T2810*(1+IF($G2822&lt;nr_MStartP1,$M$2776,$N$2776)))</f>
        <v/>
      </c>
      <c r="U2822" s="95">
        <f>IF($L$2776,$T2822,$N2822)</f>
        <v/>
      </c>
    </row>
    <row r="2823">
      <c r="A2823" s="90" t="n">
        <v>45</v>
      </c>
      <c r="B2823" s="91">
        <f>EDATE($B2822,1)</f>
        <v/>
      </c>
      <c r="C2823" s="92">
        <f>EOMONTH($B2823,0)</f>
        <v/>
      </c>
      <c r="D2823" s="87">
        <f>$C2823-$B2823+1</f>
        <v/>
      </c>
      <c r="E2823" s="87">
        <f>MONTH($B2823)</f>
        <v/>
      </c>
      <c r="F2823" s="93">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$N2823*IF($O$2776=1,$O2823/$F$2776,1)</f>
        <v/>
      </c>
      <c r="T2823" s="95">
        <f>IF($G2823&lt;nr_MStartP,$S2823,$T2811*(1+IF($G2823&lt;nr_MStartP1,$M$2776,$N$2776)))</f>
        <v/>
      </c>
      <c r="U2823" s="95">
        <f>IF($L$2776,$T2823,$N2823)</f>
        <v/>
      </c>
    </row>
    <row r="2824">
      <c r="A2824" s="90" t="n">
        <v>46</v>
      </c>
      <c r="B2824" s="91">
        <f>EDATE($B2823,1)</f>
        <v/>
      </c>
      <c r="C2824" s="92">
        <f>EOMONTH($B2824,0)</f>
        <v/>
      </c>
      <c r="D2824" s="87">
        <f>$C2824-$B2824+1</f>
        <v/>
      </c>
      <c r="E2824" s="87">
        <f>MONTH($B2824)</f>
        <v/>
      </c>
      <c r="F2824" s="93">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$N2824*IF($O$2776=1,$O2824/$F$2776,1)</f>
        <v/>
      </c>
      <c r="T2824" s="95">
        <f>IF($G2824&lt;nr_MStartP,$S2824,$T2812*(1+IF($G2824&lt;nr_MStartP1,$M$2776,$N$2776)))</f>
        <v/>
      </c>
      <c r="U2824" s="95">
        <f>IF($L$2776,$T2824,$N2824)</f>
        <v/>
      </c>
    </row>
    <row r="2825">
      <c r="A2825" s="90" t="n">
        <v>47</v>
      </c>
      <c r="B2825" s="91">
        <f>EDATE($B2824,1)</f>
        <v/>
      </c>
      <c r="C2825" s="92">
        <f>EOMONTH($B2825,0)</f>
        <v/>
      </c>
      <c r="D2825" s="87">
        <f>$C2825-$B2825+1</f>
        <v/>
      </c>
      <c r="E2825" s="87">
        <f>MONTH($B2825)</f>
        <v/>
      </c>
      <c r="F2825" s="93">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$N2825*IF($O$2776=1,$O2825/$F$2776,1)</f>
        <v/>
      </c>
      <c r="T2825" s="95">
        <f>IF($G2825&lt;nr_MStartP,$S2825,$T2813*(1+IF($G2825&lt;nr_MStartP1,$M$2776,$N$2776)))</f>
        <v/>
      </c>
      <c r="U2825" s="95">
        <f>IF($L$2776,$T2825,$N2825)</f>
        <v/>
      </c>
    </row>
    <row r="2826">
      <c r="A2826" s="90" t="n">
        <v>48</v>
      </c>
      <c r="B2826" s="91">
        <f>EDATE($B2825,1)</f>
        <v/>
      </c>
      <c r="C2826" s="92">
        <f>EOMONTH($B2826,0)</f>
        <v/>
      </c>
      <c r="D2826" s="87">
        <f>$C2826-$B2826+1</f>
        <v/>
      </c>
      <c r="E2826" s="87">
        <f>MONTH($B2826)</f>
        <v/>
      </c>
      <c r="F2826" s="93">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$N2826*IF($O$2776=1,$O2826/$F$2776,1)</f>
        <v/>
      </c>
      <c r="T2826" s="95">
        <f>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04">
        <f>SUMPRODUCT($H$2779:$H$2826,$Q$2779:$Q$2826,$O$2779:$O$2826)/SUMPRODUCT($H$2779:$H$2826,$Q$2779:$Q$2826)</f>
        <v/>
      </c>
      <c r="G2827" s="20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04">
        <f>IF(N(INDEX(lr_mind,52))=0,1,INDEX(lr_mind,52))</f>
        <v/>
      </c>
      <c r="G2830" s="204">
        <f>IF(N(INDEX(lr_m0,52))=0,1,INDEX(lr_m0,52))</f>
        <v/>
      </c>
      <c r="H2830" s="73">
        <f>IF(N(INDEX(lr_m0asof,52))=0,DATE(nr_PlanYear-1,10,1),INDEX(lr_m0asof,52))</f>
        <v/>
      </c>
      <c r="I2830" s="204">
        <f>IF(N(INDEX(lr_m1,52))=0,1,INDEX(lr_m1,52))</f>
        <v/>
      </c>
      <c r="J2830" s="204">
        <f>INDEX(lr_mprior,52)</f>
        <v/>
      </c>
      <c r="K2830" s="20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93">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$N2833*IF($O$2830=1,$O2833/$F$2830,1)</f>
        <v/>
      </c>
      <c r="T2833" s="95">
        <f>IF($G2833&lt;nr_MStartP,$S2833,$T2821*(1+IF($G2833&lt;nr_MStartP1,$M$2830,$N$2830)))</f>
        <v/>
      </c>
      <c r="U2833" s="95">
        <f>IF($L$2830,$T2833,$N2833)</f>
        <v/>
      </c>
    </row>
    <row r="2834">
      <c r="A2834" s="90" t="n">
        <v>2</v>
      </c>
      <c r="B2834" s="91">
        <f>EDATE($B2833,1)</f>
        <v/>
      </c>
      <c r="C2834" s="92">
        <f>EOMONTH($B2834,0)</f>
        <v/>
      </c>
      <c r="D2834" s="87">
        <f>$C2834-$B2834+1</f>
        <v/>
      </c>
      <c r="E2834" s="87">
        <f>MONTH($B2834)</f>
        <v/>
      </c>
      <c r="F2834" s="93">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$N2834*IF($O$2830=1,$O2834/$F$2830,1)</f>
        <v/>
      </c>
      <c r="T2834" s="95">
        <f>IF($G2834&lt;nr_MStartP,$S2834,$T2822*(1+IF($G2834&lt;nr_MStartP1,$M$2830,$N$2830)))</f>
        <v/>
      </c>
      <c r="U2834" s="95">
        <f>IF($L$2830,$T2834,$N2834)</f>
        <v/>
      </c>
    </row>
    <row r="2835">
      <c r="A2835" s="90" t="n">
        <v>3</v>
      </c>
      <c r="B2835" s="91">
        <f>EDATE($B2834,1)</f>
        <v/>
      </c>
      <c r="C2835" s="92">
        <f>EOMONTH($B2835,0)</f>
        <v/>
      </c>
      <c r="D2835" s="87">
        <f>$C2835-$B2835+1</f>
        <v/>
      </c>
      <c r="E2835" s="87">
        <f>MONTH($B2835)</f>
        <v/>
      </c>
      <c r="F2835" s="93">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$N2835*IF($O$2830=1,$O2835/$F$2830,1)</f>
        <v/>
      </c>
      <c r="T2835" s="95">
        <f>IF($G2835&lt;nr_MStartP,$S2835,$T2823*(1+IF($G2835&lt;nr_MStartP1,$M$2830,$N$2830)))</f>
        <v/>
      </c>
      <c r="U2835" s="95">
        <f>IF($L$2830,$T2835,$N2835)</f>
        <v/>
      </c>
    </row>
    <row r="2836">
      <c r="A2836" s="90" t="n">
        <v>4</v>
      </c>
      <c r="B2836" s="91">
        <f>EDATE($B2835,1)</f>
        <v/>
      </c>
      <c r="C2836" s="92">
        <f>EOMONTH($B2836,0)</f>
        <v/>
      </c>
      <c r="D2836" s="87">
        <f>$C2836-$B2836+1</f>
        <v/>
      </c>
      <c r="E2836" s="87">
        <f>MONTH($B2836)</f>
        <v/>
      </c>
      <c r="F2836" s="93">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$N2836*IF($O$2830=1,$O2836/$F$2830,1)</f>
        <v/>
      </c>
      <c r="T2836" s="95">
        <f>IF($G2836&lt;nr_MStartP,$S2836,$T2824*(1+IF($G2836&lt;nr_MStartP1,$M$2830,$N$2830)))</f>
        <v/>
      </c>
      <c r="U2836" s="95">
        <f>IF($L$2830,$T2836,$N2836)</f>
        <v/>
      </c>
    </row>
    <row r="2837">
      <c r="A2837" s="90" t="n">
        <v>5</v>
      </c>
      <c r="B2837" s="91">
        <f>EDATE($B2836,1)</f>
        <v/>
      </c>
      <c r="C2837" s="92">
        <f>EOMONTH($B2837,0)</f>
        <v/>
      </c>
      <c r="D2837" s="87">
        <f>$C2837-$B2837+1</f>
        <v/>
      </c>
      <c r="E2837" s="87">
        <f>MONTH($B2837)</f>
        <v/>
      </c>
      <c r="F2837" s="93">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$N2837*IF($O$2830=1,$O2837/$F$2830,1)</f>
        <v/>
      </c>
      <c r="T2837" s="95">
        <f>IF($G2837&lt;nr_MStartP,$S2837,$T2825*(1+IF($G2837&lt;nr_MStartP1,$M$2830,$N$2830)))</f>
        <v/>
      </c>
      <c r="U2837" s="95">
        <f>IF($L$2830,$T2837,$N2837)</f>
        <v/>
      </c>
    </row>
    <row r="2838">
      <c r="A2838" s="90" t="n">
        <v>6</v>
      </c>
      <c r="B2838" s="91">
        <f>EDATE($B2837,1)</f>
        <v/>
      </c>
      <c r="C2838" s="92">
        <f>EOMONTH($B2838,0)</f>
        <v/>
      </c>
      <c r="D2838" s="87">
        <f>$C2838-$B2838+1</f>
        <v/>
      </c>
      <c r="E2838" s="87">
        <f>MONTH($B2838)</f>
        <v/>
      </c>
      <c r="F2838" s="93">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$N2838*IF($O$2830=1,$O2838/$F$2830,1)</f>
        <v/>
      </c>
      <c r="T2838" s="95">
        <f>IF($G2838&lt;nr_MStartP,$S2838,$T2826*(1+IF($G2838&lt;nr_MStartP1,$M$2830,$N$2830)))</f>
        <v/>
      </c>
      <c r="U2838" s="95">
        <f>IF($L$2830,$T2838,$N2838)</f>
        <v/>
      </c>
    </row>
    <row r="2839">
      <c r="A2839" s="90" t="n">
        <v>7</v>
      </c>
      <c r="B2839" s="91">
        <f>EDATE($B2838,1)</f>
        <v/>
      </c>
      <c r="C2839" s="92">
        <f>EOMONTH($B2839,0)</f>
        <v/>
      </c>
      <c r="D2839" s="87">
        <f>$C2839-$B2839+1</f>
        <v/>
      </c>
      <c r="E2839" s="87">
        <f>MONTH($B2839)</f>
        <v/>
      </c>
      <c r="F2839" s="93">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$N2839*IF($O$2830=1,$O2839/$F$2830,1)</f>
        <v/>
      </c>
      <c r="T2839" s="95">
        <f>IF($G2839&lt;nr_MStartP,$S2839,$T2827*(1+IF($G2839&lt;nr_MStartP1,$M$2830,$N$2830)))</f>
        <v/>
      </c>
      <c r="U2839" s="95">
        <f>IF($L$2830,$T2839,$N2839)</f>
        <v/>
      </c>
    </row>
    <row r="2840">
      <c r="A2840" s="90" t="n">
        <v>8</v>
      </c>
      <c r="B2840" s="91">
        <f>EDATE($B2839,1)</f>
        <v/>
      </c>
      <c r="C2840" s="92">
        <f>EOMONTH($B2840,0)</f>
        <v/>
      </c>
      <c r="D2840" s="87">
        <f>$C2840-$B2840+1</f>
        <v/>
      </c>
      <c r="E2840" s="87">
        <f>MONTH($B2840)</f>
        <v/>
      </c>
      <c r="F2840" s="93">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$N2840*IF($O$2830=1,$O2840/$F$2830,1)</f>
        <v/>
      </c>
      <c r="T2840" s="95">
        <f>IF($G2840&lt;nr_MStartP,$S2840,$T2828*(1+IF($G2840&lt;nr_MStartP1,$M$2830,$N$2830)))</f>
        <v/>
      </c>
      <c r="U2840" s="95">
        <f>IF($L$2830,$T2840,$N2840)</f>
        <v/>
      </c>
    </row>
    <row r="2841">
      <c r="A2841" s="90" t="n">
        <v>9</v>
      </c>
      <c r="B2841" s="91">
        <f>EDATE($B2840,1)</f>
        <v/>
      </c>
      <c r="C2841" s="92">
        <f>EOMONTH($B2841,0)</f>
        <v/>
      </c>
      <c r="D2841" s="87">
        <f>$C2841-$B2841+1</f>
        <v/>
      </c>
      <c r="E2841" s="87">
        <f>MONTH($B2841)</f>
        <v/>
      </c>
      <c r="F2841" s="93">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$N2841*IF($O$2830=1,$O2841/$F$2830,1)</f>
        <v/>
      </c>
      <c r="T2841" s="95">
        <f>IF($G2841&lt;nr_MStartP,$S2841,$T2829*(1+IF($G2841&lt;nr_MStartP1,$M$2830,$N$2830)))</f>
        <v/>
      </c>
      <c r="U2841" s="95">
        <f>IF($L$2830,$T2841,$N2841)</f>
        <v/>
      </c>
    </row>
    <row r="2842">
      <c r="A2842" s="90" t="n">
        <v>10</v>
      </c>
      <c r="B2842" s="91">
        <f>EDATE($B2841,1)</f>
        <v/>
      </c>
      <c r="C2842" s="92">
        <f>EOMONTH($B2842,0)</f>
        <v/>
      </c>
      <c r="D2842" s="87">
        <f>$C2842-$B2842+1</f>
        <v/>
      </c>
      <c r="E2842" s="87">
        <f>MONTH($B2842)</f>
        <v/>
      </c>
      <c r="F2842" s="93">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$N2842*IF($O$2830=1,$O2842/$F$2830,1)</f>
        <v/>
      </c>
      <c r="T2842" s="95">
        <f>IF($G2842&lt;nr_MStartP,$S2842,$T2830*(1+IF($G2842&lt;nr_MStartP1,$M$2830,$N$2830)))</f>
        <v/>
      </c>
      <c r="U2842" s="95">
        <f>IF($L$2830,$T2842,$N2842)</f>
        <v/>
      </c>
    </row>
    <row r="2843">
      <c r="A2843" s="90" t="n">
        <v>11</v>
      </c>
      <c r="B2843" s="91">
        <f>EDATE($B2842,1)</f>
        <v/>
      </c>
      <c r="C2843" s="92">
        <f>EOMONTH($B2843,0)</f>
        <v/>
      </c>
      <c r="D2843" s="87">
        <f>$C2843-$B2843+1</f>
        <v/>
      </c>
      <c r="E2843" s="87">
        <f>MONTH($B2843)</f>
        <v/>
      </c>
      <c r="F2843" s="93">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$N2843*IF($O$2830=1,$O2843/$F$2830,1)</f>
        <v/>
      </c>
      <c r="T2843" s="95">
        <f>IF($G2843&lt;nr_MStartP,$S2843,$T2831*(1+IF($G2843&lt;nr_MStartP1,$M$2830,$N$2830)))</f>
        <v/>
      </c>
      <c r="U2843" s="95">
        <f>IF($L$2830,$T2843,$N2843)</f>
        <v/>
      </c>
    </row>
    <row r="2844">
      <c r="A2844" s="90" t="n">
        <v>12</v>
      </c>
      <c r="B2844" s="91">
        <f>EDATE($B2843,1)</f>
        <v/>
      </c>
      <c r="C2844" s="92">
        <f>EOMONTH($B2844,0)</f>
        <v/>
      </c>
      <c r="D2844" s="87">
        <f>$C2844-$B2844+1</f>
        <v/>
      </c>
      <c r="E2844" s="87">
        <f>MONTH($B2844)</f>
        <v/>
      </c>
      <c r="F2844" s="93">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$N2844*IF($O$2830=1,$O2844/$F$2830,1)</f>
        <v/>
      </c>
      <c r="T2844" s="95">
        <f>IF($G2844&lt;nr_MStartP,$S2844,$T2832*(1+IF($G2844&lt;nr_MStartP1,$M$2830,$N$2830)))</f>
        <v/>
      </c>
      <c r="U2844" s="95">
        <f>IF($L$2830,$T2844,$N2844)</f>
        <v/>
      </c>
    </row>
    <row r="2845">
      <c r="A2845" s="90" t="n">
        <v>13</v>
      </c>
      <c r="B2845" s="91">
        <f>EDATE($B2844,1)</f>
        <v/>
      </c>
      <c r="C2845" s="92">
        <f>EOMONTH($B2845,0)</f>
        <v/>
      </c>
      <c r="D2845" s="87">
        <f>$C2845-$B2845+1</f>
        <v/>
      </c>
      <c r="E2845" s="87">
        <f>MONTH($B2845)</f>
        <v/>
      </c>
      <c r="F2845" s="93">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$N2845*IF($O$2830=1,$O2845/$F$2830,1)</f>
        <v/>
      </c>
      <c r="T2845" s="95">
        <f>IF($G2845&lt;nr_MStartP,$S2845,$T2833*(1+IF($G2845&lt;nr_MStartP1,$M$2830,$N$2830)))</f>
        <v/>
      </c>
      <c r="U2845" s="95">
        <f>IF($L$2830,$T2845,$N2845)</f>
        <v/>
      </c>
    </row>
    <row r="2846">
      <c r="A2846" s="90" t="n">
        <v>14</v>
      </c>
      <c r="B2846" s="91">
        <f>EDATE($B2845,1)</f>
        <v/>
      </c>
      <c r="C2846" s="92">
        <f>EOMONTH($B2846,0)</f>
        <v/>
      </c>
      <c r="D2846" s="87">
        <f>$C2846-$B2846+1</f>
        <v/>
      </c>
      <c r="E2846" s="87">
        <f>MONTH($B2846)</f>
        <v/>
      </c>
      <c r="F2846" s="93">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$N2846*IF($O$2830=1,$O2846/$F$2830,1)</f>
        <v/>
      </c>
      <c r="T2846" s="95">
        <f>IF($G2846&lt;nr_MStartP,$S2846,$T2834*(1+IF($G2846&lt;nr_MStartP1,$M$2830,$N$2830)))</f>
        <v/>
      </c>
      <c r="U2846" s="95">
        <f>IF($L$2830,$T2846,$N2846)</f>
        <v/>
      </c>
    </row>
    <row r="2847">
      <c r="A2847" s="90" t="n">
        <v>15</v>
      </c>
      <c r="B2847" s="91">
        <f>EDATE($B2846,1)</f>
        <v/>
      </c>
      <c r="C2847" s="92">
        <f>EOMONTH($B2847,0)</f>
        <v/>
      </c>
      <c r="D2847" s="87">
        <f>$C2847-$B2847+1</f>
        <v/>
      </c>
      <c r="E2847" s="87">
        <f>MONTH($B2847)</f>
        <v/>
      </c>
      <c r="F2847" s="93">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$N2847*IF($O$2830=1,$O2847/$F$2830,1)</f>
        <v/>
      </c>
      <c r="T2847" s="95">
        <f>IF($G2847&lt;nr_MStartP,$S2847,$T2835*(1+IF($G2847&lt;nr_MStartP1,$M$2830,$N$2830)))</f>
        <v/>
      </c>
      <c r="U2847" s="95">
        <f>IF($L$2830,$T2847,$N2847)</f>
        <v/>
      </c>
    </row>
    <row r="2848">
      <c r="A2848" s="90" t="n">
        <v>16</v>
      </c>
      <c r="B2848" s="91">
        <f>EDATE($B2847,1)</f>
        <v/>
      </c>
      <c r="C2848" s="92">
        <f>EOMONTH($B2848,0)</f>
        <v/>
      </c>
      <c r="D2848" s="87">
        <f>$C2848-$B2848+1</f>
        <v/>
      </c>
      <c r="E2848" s="87">
        <f>MONTH($B2848)</f>
        <v/>
      </c>
      <c r="F2848" s="93">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$N2848*IF($O$2830=1,$O2848/$F$2830,1)</f>
        <v/>
      </c>
      <c r="T2848" s="95">
        <f>IF($G2848&lt;nr_MStartP,$S2848,$T2836*(1+IF($G2848&lt;nr_MStartP1,$M$2830,$N$2830)))</f>
        <v/>
      </c>
      <c r="U2848" s="95">
        <f>IF($L$2830,$T2848,$N2848)</f>
        <v/>
      </c>
    </row>
    <row r="2849">
      <c r="A2849" s="90" t="n">
        <v>17</v>
      </c>
      <c r="B2849" s="91">
        <f>EDATE($B2848,1)</f>
        <v/>
      </c>
      <c r="C2849" s="92">
        <f>EOMONTH($B2849,0)</f>
        <v/>
      </c>
      <c r="D2849" s="87">
        <f>$C2849-$B2849+1</f>
        <v/>
      </c>
      <c r="E2849" s="87">
        <f>MONTH($B2849)</f>
        <v/>
      </c>
      <c r="F2849" s="93">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$N2849*IF($O$2830=1,$O2849/$F$2830,1)</f>
        <v/>
      </c>
      <c r="T2849" s="95">
        <f>IF($G2849&lt;nr_MStartP,$S2849,$T2837*(1+IF($G2849&lt;nr_MStartP1,$M$2830,$N$2830)))</f>
        <v/>
      </c>
      <c r="U2849" s="95">
        <f>IF($L$2830,$T2849,$N2849)</f>
        <v/>
      </c>
    </row>
    <row r="2850">
      <c r="A2850" s="90" t="n">
        <v>18</v>
      </c>
      <c r="B2850" s="91">
        <f>EDATE($B2849,1)</f>
        <v/>
      </c>
      <c r="C2850" s="92">
        <f>EOMONTH($B2850,0)</f>
        <v/>
      </c>
      <c r="D2850" s="87">
        <f>$C2850-$B2850+1</f>
        <v/>
      </c>
      <c r="E2850" s="87">
        <f>MONTH($B2850)</f>
        <v/>
      </c>
      <c r="F2850" s="93">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$N2850*IF($O$2830=1,$O2850/$F$2830,1)</f>
        <v/>
      </c>
      <c r="T2850" s="95">
        <f>IF($G2850&lt;nr_MStartP,$S2850,$T2838*(1+IF($G2850&lt;nr_MStartP1,$M$2830,$N$2830)))</f>
        <v/>
      </c>
      <c r="U2850" s="95">
        <f>IF($L$2830,$T2850,$N2850)</f>
        <v/>
      </c>
    </row>
    <row r="2851">
      <c r="A2851" s="90" t="n">
        <v>19</v>
      </c>
      <c r="B2851" s="91">
        <f>EDATE($B2850,1)</f>
        <v/>
      </c>
      <c r="C2851" s="92">
        <f>EOMONTH($B2851,0)</f>
        <v/>
      </c>
      <c r="D2851" s="87">
        <f>$C2851-$B2851+1</f>
        <v/>
      </c>
      <c r="E2851" s="87">
        <f>MONTH($B2851)</f>
        <v/>
      </c>
      <c r="F2851" s="93">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$N2851*IF($O$2830=1,$O2851/$F$2830,1)</f>
        <v/>
      </c>
      <c r="T2851" s="95">
        <f>IF($G2851&lt;nr_MStartP,$S2851,$T2839*(1+IF($G2851&lt;nr_MStartP1,$M$2830,$N$2830)))</f>
        <v/>
      </c>
      <c r="U2851" s="95">
        <f>IF($L$2830,$T2851,$N2851)</f>
        <v/>
      </c>
    </row>
    <row r="2852">
      <c r="A2852" s="90" t="n">
        <v>20</v>
      </c>
      <c r="B2852" s="91">
        <f>EDATE($B2851,1)</f>
        <v/>
      </c>
      <c r="C2852" s="92">
        <f>EOMONTH($B2852,0)</f>
        <v/>
      </c>
      <c r="D2852" s="87">
        <f>$C2852-$B2852+1</f>
        <v/>
      </c>
      <c r="E2852" s="87">
        <f>MONTH($B2852)</f>
        <v/>
      </c>
      <c r="F2852" s="93">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$N2852*IF($O$2830=1,$O2852/$F$2830,1)</f>
        <v/>
      </c>
      <c r="T2852" s="95">
        <f>IF($G2852&lt;nr_MStartP,$S2852,$T2840*(1+IF($G2852&lt;nr_MStartP1,$M$2830,$N$2830)))</f>
        <v/>
      </c>
      <c r="U2852" s="95">
        <f>IF($L$2830,$T2852,$N2852)</f>
        <v/>
      </c>
    </row>
    <row r="2853">
      <c r="A2853" s="90" t="n">
        <v>21</v>
      </c>
      <c r="B2853" s="91">
        <f>EDATE($B2852,1)</f>
        <v/>
      </c>
      <c r="C2853" s="92">
        <f>EOMONTH($B2853,0)</f>
        <v/>
      </c>
      <c r="D2853" s="87">
        <f>$C2853-$B2853+1</f>
        <v/>
      </c>
      <c r="E2853" s="87">
        <f>MONTH($B2853)</f>
        <v/>
      </c>
      <c r="F2853" s="93">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$N2853*IF($O$2830=1,$O2853/$F$2830,1)</f>
        <v/>
      </c>
      <c r="T2853" s="95">
        <f>IF($G2853&lt;nr_MStartP,$S2853,$T2841*(1+IF($G2853&lt;nr_MStartP1,$M$2830,$N$2830)))</f>
        <v/>
      </c>
      <c r="U2853" s="95">
        <f>IF($L$2830,$T2853,$N2853)</f>
        <v/>
      </c>
    </row>
    <row r="2854">
      <c r="A2854" s="90" t="n">
        <v>22</v>
      </c>
      <c r="B2854" s="91">
        <f>EDATE($B2853,1)</f>
        <v/>
      </c>
      <c r="C2854" s="92">
        <f>EOMONTH($B2854,0)</f>
        <v/>
      </c>
      <c r="D2854" s="87">
        <f>$C2854-$B2854+1</f>
        <v/>
      </c>
      <c r="E2854" s="87">
        <f>MONTH($B2854)</f>
        <v/>
      </c>
      <c r="F2854" s="93">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$N2854*IF($O$2830=1,$O2854/$F$2830,1)</f>
        <v/>
      </c>
      <c r="T2854" s="95">
        <f>IF($G2854&lt;nr_MStartP,$S2854,$T2842*(1+IF($G2854&lt;nr_MStartP1,$M$2830,$N$2830)))</f>
        <v/>
      </c>
      <c r="U2854" s="95">
        <f>IF($L$2830,$T2854,$N2854)</f>
        <v/>
      </c>
    </row>
    <row r="2855">
      <c r="A2855" s="90" t="n">
        <v>23</v>
      </c>
      <c r="B2855" s="91">
        <f>EDATE($B2854,1)</f>
        <v/>
      </c>
      <c r="C2855" s="92">
        <f>EOMONTH($B2855,0)</f>
        <v/>
      </c>
      <c r="D2855" s="87">
        <f>$C2855-$B2855+1</f>
        <v/>
      </c>
      <c r="E2855" s="87">
        <f>MONTH($B2855)</f>
        <v/>
      </c>
      <c r="F2855" s="93">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$N2855*IF($O$2830=1,$O2855/$F$2830,1)</f>
        <v/>
      </c>
      <c r="T2855" s="95">
        <f>IF($G2855&lt;nr_MStartP,$S2855,$T2843*(1+IF($G2855&lt;nr_MStartP1,$M$2830,$N$2830)))</f>
        <v/>
      </c>
      <c r="U2855" s="95">
        <f>IF($L$2830,$T2855,$N2855)</f>
        <v/>
      </c>
    </row>
    <row r="2856">
      <c r="A2856" s="90" t="n">
        <v>24</v>
      </c>
      <c r="B2856" s="91">
        <f>EDATE($B2855,1)</f>
        <v/>
      </c>
      <c r="C2856" s="92">
        <f>EOMONTH($B2856,0)</f>
        <v/>
      </c>
      <c r="D2856" s="87">
        <f>$C2856-$B2856+1</f>
        <v/>
      </c>
      <c r="E2856" s="87">
        <f>MONTH($B2856)</f>
        <v/>
      </c>
      <c r="F2856" s="93">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$N2856*IF($O$2830=1,$O2856/$F$2830,1)</f>
        <v/>
      </c>
      <c r="T2856" s="95">
        <f>IF($G2856&lt;nr_MStartP,$S2856,$T2844*(1+IF($G2856&lt;nr_MStartP1,$M$2830,$N$2830)))</f>
        <v/>
      </c>
      <c r="U2856" s="95">
        <f>IF($L$2830,$T2856,$N2856)</f>
        <v/>
      </c>
    </row>
    <row r="2857">
      <c r="A2857" s="90" t="n">
        <v>25</v>
      </c>
      <c r="B2857" s="91">
        <f>EDATE($B2856,1)</f>
        <v/>
      </c>
      <c r="C2857" s="92">
        <f>EOMONTH($B2857,0)</f>
        <v/>
      </c>
      <c r="D2857" s="87">
        <f>$C2857-$B2857+1</f>
        <v/>
      </c>
      <c r="E2857" s="87">
        <f>MONTH($B2857)</f>
        <v/>
      </c>
      <c r="F2857" s="93">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$N2857*IF($O$2830=1,$O2857/$F$2830,1)</f>
        <v/>
      </c>
      <c r="T2857" s="95">
        <f>IF($G2857&lt;nr_MStartP,$S2857,$T2845*(1+IF($G2857&lt;nr_MStartP1,$M$2830,$N$2830)))</f>
        <v/>
      </c>
      <c r="U2857" s="95">
        <f>IF($L$2830,$T2857,$N2857)</f>
        <v/>
      </c>
    </row>
    <row r="2858">
      <c r="A2858" s="90" t="n">
        <v>26</v>
      </c>
      <c r="B2858" s="91">
        <f>EDATE($B2857,1)</f>
        <v/>
      </c>
      <c r="C2858" s="92">
        <f>EOMONTH($B2858,0)</f>
        <v/>
      </c>
      <c r="D2858" s="87">
        <f>$C2858-$B2858+1</f>
        <v/>
      </c>
      <c r="E2858" s="87">
        <f>MONTH($B2858)</f>
        <v/>
      </c>
      <c r="F2858" s="93">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$N2858*IF($O$2830=1,$O2858/$F$2830,1)</f>
        <v/>
      </c>
      <c r="T2858" s="95">
        <f>IF($G2858&lt;nr_MStartP,$S2858,$T2846*(1+IF($G2858&lt;nr_MStartP1,$M$2830,$N$2830)))</f>
        <v/>
      </c>
      <c r="U2858" s="95">
        <f>IF($L$2830,$T2858,$N2858)</f>
        <v/>
      </c>
    </row>
    <row r="2859">
      <c r="A2859" s="90" t="n">
        <v>27</v>
      </c>
      <c r="B2859" s="91">
        <f>EDATE($B2858,1)</f>
        <v/>
      </c>
      <c r="C2859" s="92">
        <f>EOMONTH($B2859,0)</f>
        <v/>
      </c>
      <c r="D2859" s="87">
        <f>$C2859-$B2859+1</f>
        <v/>
      </c>
      <c r="E2859" s="87">
        <f>MONTH($B2859)</f>
        <v/>
      </c>
      <c r="F2859" s="93">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$N2859*IF($O$2830=1,$O2859/$F$2830,1)</f>
        <v/>
      </c>
      <c r="T2859" s="95">
        <f>IF($G2859&lt;nr_MStartP,$S2859,$T2847*(1+IF($G2859&lt;nr_MStartP1,$M$2830,$N$2830)))</f>
        <v/>
      </c>
      <c r="U2859" s="95">
        <f>IF($L$2830,$T2859,$N2859)</f>
        <v/>
      </c>
    </row>
    <row r="2860">
      <c r="A2860" s="90" t="n">
        <v>28</v>
      </c>
      <c r="B2860" s="91">
        <f>EDATE($B2859,1)</f>
        <v/>
      </c>
      <c r="C2860" s="92">
        <f>EOMONTH($B2860,0)</f>
        <v/>
      </c>
      <c r="D2860" s="87">
        <f>$C2860-$B2860+1</f>
        <v/>
      </c>
      <c r="E2860" s="87">
        <f>MONTH($B2860)</f>
        <v/>
      </c>
      <c r="F2860" s="93">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$N2860*IF($O$2830=1,$O2860/$F$2830,1)</f>
        <v/>
      </c>
      <c r="T2860" s="95">
        <f>IF($G2860&lt;nr_MStartP,$S2860,$T2848*(1+IF($G2860&lt;nr_MStartP1,$M$2830,$N$2830)))</f>
        <v/>
      </c>
      <c r="U2860" s="95">
        <f>IF($L$2830,$T2860,$N2860)</f>
        <v/>
      </c>
    </row>
    <row r="2861">
      <c r="A2861" s="90" t="n">
        <v>29</v>
      </c>
      <c r="B2861" s="91">
        <f>EDATE($B2860,1)</f>
        <v/>
      </c>
      <c r="C2861" s="92">
        <f>EOMONTH($B2861,0)</f>
        <v/>
      </c>
      <c r="D2861" s="87">
        <f>$C2861-$B2861+1</f>
        <v/>
      </c>
      <c r="E2861" s="87">
        <f>MONTH($B2861)</f>
        <v/>
      </c>
      <c r="F2861" s="93">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$N2861*IF($O$2830=1,$O2861/$F$2830,1)</f>
        <v/>
      </c>
      <c r="T2861" s="95">
        <f>IF($G2861&lt;nr_MStartP,$S2861,$T2849*(1+IF($G2861&lt;nr_MStartP1,$M$2830,$N$2830)))</f>
        <v/>
      </c>
      <c r="U2861" s="95">
        <f>IF($L$2830,$T2861,$N2861)</f>
        <v/>
      </c>
    </row>
    <row r="2862">
      <c r="A2862" s="90" t="n">
        <v>30</v>
      </c>
      <c r="B2862" s="91">
        <f>EDATE($B2861,1)</f>
        <v/>
      </c>
      <c r="C2862" s="92">
        <f>EOMONTH($B2862,0)</f>
        <v/>
      </c>
      <c r="D2862" s="87">
        <f>$C2862-$B2862+1</f>
        <v/>
      </c>
      <c r="E2862" s="87">
        <f>MONTH($B2862)</f>
        <v/>
      </c>
      <c r="F2862" s="93">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$N2862*IF($O$2830=1,$O2862/$F$2830,1)</f>
        <v/>
      </c>
      <c r="T2862" s="95">
        <f>IF($G2862&lt;nr_MStartP,$S2862,$T2850*(1+IF($G2862&lt;nr_MStartP1,$M$2830,$N$2830)))</f>
        <v/>
      </c>
      <c r="U2862" s="95">
        <f>IF($L$2830,$T2862,$N2862)</f>
        <v/>
      </c>
    </row>
    <row r="2863">
      <c r="A2863" s="90" t="n">
        <v>31</v>
      </c>
      <c r="B2863" s="91">
        <f>EDATE($B2862,1)</f>
        <v/>
      </c>
      <c r="C2863" s="92">
        <f>EOMONTH($B2863,0)</f>
        <v/>
      </c>
      <c r="D2863" s="87">
        <f>$C2863-$B2863+1</f>
        <v/>
      </c>
      <c r="E2863" s="87">
        <f>MONTH($B2863)</f>
        <v/>
      </c>
      <c r="F2863" s="93">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$N2863*IF($O$2830=1,$O2863/$F$2830,1)</f>
        <v/>
      </c>
      <c r="T2863" s="95">
        <f>IF($G2863&lt;nr_MStartP,$S2863,$T2851*(1+IF($G2863&lt;nr_MStartP1,$M$2830,$N$2830)))</f>
        <v/>
      </c>
      <c r="U2863" s="95">
        <f>IF($L$2830,$T2863,$N2863)</f>
        <v/>
      </c>
    </row>
    <row r="2864">
      <c r="A2864" s="90" t="n">
        <v>32</v>
      </c>
      <c r="B2864" s="91">
        <f>EDATE($B2863,1)</f>
        <v/>
      </c>
      <c r="C2864" s="92">
        <f>EOMONTH($B2864,0)</f>
        <v/>
      </c>
      <c r="D2864" s="87">
        <f>$C2864-$B2864+1</f>
        <v/>
      </c>
      <c r="E2864" s="87">
        <f>MONTH($B2864)</f>
        <v/>
      </c>
      <c r="F2864" s="93">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$N2864*IF($O$2830=1,$O2864/$F$2830,1)</f>
        <v/>
      </c>
      <c r="T2864" s="95">
        <f>IF($G2864&lt;nr_MStartP,$S2864,$T2852*(1+IF($G2864&lt;nr_MStartP1,$M$2830,$N$2830)))</f>
        <v/>
      </c>
      <c r="U2864" s="95">
        <f>IF($L$2830,$T2864,$N2864)</f>
        <v/>
      </c>
    </row>
    <row r="2865">
      <c r="A2865" s="90" t="n">
        <v>33</v>
      </c>
      <c r="B2865" s="91">
        <f>EDATE($B2864,1)</f>
        <v/>
      </c>
      <c r="C2865" s="92">
        <f>EOMONTH($B2865,0)</f>
        <v/>
      </c>
      <c r="D2865" s="87">
        <f>$C2865-$B2865+1</f>
        <v/>
      </c>
      <c r="E2865" s="87">
        <f>MONTH($B2865)</f>
        <v/>
      </c>
      <c r="F2865" s="93">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$N2865*IF($O$2830=1,$O2865/$F$2830,1)</f>
        <v/>
      </c>
      <c r="T2865" s="95">
        <f>IF($G2865&lt;nr_MStartP,$S2865,$T2853*(1+IF($G2865&lt;nr_MStartP1,$M$2830,$N$2830)))</f>
        <v/>
      </c>
      <c r="U2865" s="95">
        <f>IF($L$2830,$T2865,$N2865)</f>
        <v/>
      </c>
    </row>
    <row r="2866">
      <c r="A2866" s="90" t="n">
        <v>34</v>
      </c>
      <c r="B2866" s="91">
        <f>EDATE($B2865,1)</f>
        <v/>
      </c>
      <c r="C2866" s="92">
        <f>EOMONTH($B2866,0)</f>
        <v/>
      </c>
      <c r="D2866" s="87">
        <f>$C2866-$B2866+1</f>
        <v/>
      </c>
      <c r="E2866" s="87">
        <f>MONTH($B2866)</f>
        <v/>
      </c>
      <c r="F2866" s="93">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$N2866*IF($O$2830=1,$O2866/$F$2830,1)</f>
        <v/>
      </c>
      <c r="T2866" s="95">
        <f>IF($G2866&lt;nr_MStartP,$S2866,$T2854*(1+IF($G2866&lt;nr_MStartP1,$M$2830,$N$2830)))</f>
        <v/>
      </c>
      <c r="U2866" s="95">
        <f>IF($L$2830,$T2866,$N2866)</f>
        <v/>
      </c>
    </row>
    <row r="2867">
      <c r="A2867" s="90" t="n">
        <v>35</v>
      </c>
      <c r="B2867" s="91">
        <f>EDATE($B2866,1)</f>
        <v/>
      </c>
      <c r="C2867" s="92">
        <f>EOMONTH($B2867,0)</f>
        <v/>
      </c>
      <c r="D2867" s="87">
        <f>$C2867-$B2867+1</f>
        <v/>
      </c>
      <c r="E2867" s="87">
        <f>MONTH($B2867)</f>
        <v/>
      </c>
      <c r="F2867" s="93">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$N2867*IF($O$2830=1,$O2867/$F$2830,1)</f>
        <v/>
      </c>
      <c r="T2867" s="95">
        <f>IF($G2867&lt;nr_MStartP,$S2867,$T2855*(1+IF($G2867&lt;nr_MStartP1,$M$2830,$N$2830)))</f>
        <v/>
      </c>
      <c r="U2867" s="95">
        <f>IF($L$2830,$T2867,$N2867)</f>
        <v/>
      </c>
    </row>
    <row r="2868">
      <c r="A2868" s="90" t="n">
        <v>36</v>
      </c>
      <c r="B2868" s="91">
        <f>EDATE($B2867,1)</f>
        <v/>
      </c>
      <c r="C2868" s="92">
        <f>EOMONTH($B2868,0)</f>
        <v/>
      </c>
      <c r="D2868" s="87">
        <f>$C2868-$B2868+1</f>
        <v/>
      </c>
      <c r="E2868" s="87">
        <f>MONTH($B2868)</f>
        <v/>
      </c>
      <c r="F2868" s="93">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$N2868*IF($O$2830=1,$O2868/$F$2830,1)</f>
        <v/>
      </c>
      <c r="T2868" s="95">
        <f>IF($G2868&lt;nr_MStartP,$S2868,$T2856*(1+IF($G2868&lt;nr_MStartP1,$M$2830,$N$2830)))</f>
        <v/>
      </c>
      <c r="U2868" s="95">
        <f>IF($L$2830,$T2868,$N2868)</f>
        <v/>
      </c>
    </row>
    <row r="2869">
      <c r="A2869" s="90" t="n">
        <v>37</v>
      </c>
      <c r="B2869" s="91">
        <f>EDATE($B2868,1)</f>
        <v/>
      </c>
      <c r="C2869" s="92">
        <f>EOMONTH($B2869,0)</f>
        <v/>
      </c>
      <c r="D2869" s="87">
        <f>$C2869-$B2869+1</f>
        <v/>
      </c>
      <c r="E2869" s="87">
        <f>MONTH($B2869)</f>
        <v/>
      </c>
      <c r="F2869" s="93">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$N2869*IF($O$2830=1,$O2869/$F$2830,1)</f>
        <v/>
      </c>
      <c r="T2869" s="95">
        <f>IF($G2869&lt;nr_MStartP,$S2869,$T2857*(1+IF($G2869&lt;nr_MStartP1,$M$2830,$N$2830)))</f>
        <v/>
      </c>
      <c r="U2869" s="95">
        <f>IF($L$2830,$T2869,$N2869)</f>
        <v/>
      </c>
    </row>
    <row r="2870">
      <c r="A2870" s="90" t="n">
        <v>38</v>
      </c>
      <c r="B2870" s="91">
        <f>EDATE($B2869,1)</f>
        <v/>
      </c>
      <c r="C2870" s="92">
        <f>EOMONTH($B2870,0)</f>
        <v/>
      </c>
      <c r="D2870" s="87">
        <f>$C2870-$B2870+1</f>
        <v/>
      </c>
      <c r="E2870" s="87">
        <f>MONTH($B2870)</f>
        <v/>
      </c>
      <c r="F2870" s="93">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$N2870*IF($O$2830=1,$O2870/$F$2830,1)</f>
        <v/>
      </c>
      <c r="T2870" s="95">
        <f>IF($G2870&lt;nr_MStartP,$S2870,$T2858*(1+IF($G2870&lt;nr_MStartP1,$M$2830,$N$2830)))</f>
        <v/>
      </c>
      <c r="U2870" s="95">
        <f>IF($L$2830,$T2870,$N2870)</f>
        <v/>
      </c>
    </row>
    <row r="2871">
      <c r="A2871" s="90" t="n">
        <v>39</v>
      </c>
      <c r="B2871" s="91">
        <f>EDATE($B2870,1)</f>
        <v/>
      </c>
      <c r="C2871" s="92">
        <f>EOMONTH($B2871,0)</f>
        <v/>
      </c>
      <c r="D2871" s="87">
        <f>$C2871-$B2871+1</f>
        <v/>
      </c>
      <c r="E2871" s="87">
        <f>MONTH($B2871)</f>
        <v/>
      </c>
      <c r="F2871" s="93">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$N2871*IF($O$2830=1,$O2871/$F$2830,1)</f>
        <v/>
      </c>
      <c r="T2871" s="95">
        <f>IF($G2871&lt;nr_MStartP,$S2871,$T2859*(1+IF($G2871&lt;nr_MStartP1,$M$2830,$N$2830)))</f>
        <v/>
      </c>
      <c r="U2871" s="95">
        <f>IF($L$2830,$T2871,$N2871)</f>
        <v/>
      </c>
    </row>
    <row r="2872">
      <c r="A2872" s="90" t="n">
        <v>40</v>
      </c>
      <c r="B2872" s="91">
        <f>EDATE($B2871,1)</f>
        <v/>
      </c>
      <c r="C2872" s="92">
        <f>EOMONTH($B2872,0)</f>
        <v/>
      </c>
      <c r="D2872" s="87">
        <f>$C2872-$B2872+1</f>
        <v/>
      </c>
      <c r="E2872" s="87">
        <f>MONTH($B2872)</f>
        <v/>
      </c>
      <c r="F2872" s="93">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$N2872*IF($O$2830=1,$O2872/$F$2830,1)</f>
        <v/>
      </c>
      <c r="T2872" s="95">
        <f>IF($G2872&lt;nr_MStartP,$S2872,$T2860*(1+IF($G2872&lt;nr_MStartP1,$M$2830,$N$2830)))</f>
        <v/>
      </c>
      <c r="U2872" s="95">
        <f>IF($L$2830,$T2872,$N2872)</f>
        <v/>
      </c>
    </row>
    <row r="2873">
      <c r="A2873" s="90" t="n">
        <v>41</v>
      </c>
      <c r="B2873" s="91">
        <f>EDATE($B2872,1)</f>
        <v/>
      </c>
      <c r="C2873" s="92">
        <f>EOMONTH($B2873,0)</f>
        <v/>
      </c>
      <c r="D2873" s="87">
        <f>$C2873-$B2873+1</f>
        <v/>
      </c>
      <c r="E2873" s="87">
        <f>MONTH($B2873)</f>
        <v/>
      </c>
      <c r="F2873" s="93">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$N2873*IF($O$2830=1,$O2873/$F$2830,1)</f>
        <v/>
      </c>
      <c r="T2873" s="95">
        <f>IF($G2873&lt;nr_MStartP,$S2873,$T2861*(1+IF($G2873&lt;nr_MStartP1,$M$2830,$N$2830)))</f>
        <v/>
      </c>
      <c r="U2873" s="95">
        <f>IF($L$2830,$T2873,$N2873)</f>
        <v/>
      </c>
    </row>
    <row r="2874">
      <c r="A2874" s="90" t="n">
        <v>42</v>
      </c>
      <c r="B2874" s="91">
        <f>EDATE($B2873,1)</f>
        <v/>
      </c>
      <c r="C2874" s="92">
        <f>EOMONTH($B2874,0)</f>
        <v/>
      </c>
      <c r="D2874" s="87">
        <f>$C2874-$B2874+1</f>
        <v/>
      </c>
      <c r="E2874" s="87">
        <f>MONTH($B2874)</f>
        <v/>
      </c>
      <c r="F2874" s="93">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$N2874*IF($O$2830=1,$O2874/$F$2830,1)</f>
        <v/>
      </c>
      <c r="T2874" s="95">
        <f>IF($G2874&lt;nr_MStartP,$S2874,$T2862*(1+IF($G2874&lt;nr_MStartP1,$M$2830,$N$2830)))</f>
        <v/>
      </c>
      <c r="U2874" s="95">
        <f>IF($L$2830,$T2874,$N2874)</f>
        <v/>
      </c>
    </row>
    <row r="2875">
      <c r="A2875" s="90" t="n">
        <v>43</v>
      </c>
      <c r="B2875" s="91">
        <f>EDATE($B2874,1)</f>
        <v/>
      </c>
      <c r="C2875" s="92">
        <f>EOMONTH($B2875,0)</f>
        <v/>
      </c>
      <c r="D2875" s="87">
        <f>$C2875-$B2875+1</f>
        <v/>
      </c>
      <c r="E2875" s="87">
        <f>MONTH($B2875)</f>
        <v/>
      </c>
      <c r="F2875" s="93">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$N2875*IF($O$2830=1,$O2875/$F$2830,1)</f>
        <v/>
      </c>
      <c r="T2875" s="95">
        <f>IF($G2875&lt;nr_MStartP,$S2875,$T2863*(1+IF($G2875&lt;nr_MStartP1,$M$2830,$N$2830)))</f>
        <v/>
      </c>
      <c r="U2875" s="95">
        <f>IF($L$2830,$T2875,$N2875)</f>
        <v/>
      </c>
    </row>
    <row r="2876">
      <c r="A2876" s="90" t="n">
        <v>44</v>
      </c>
      <c r="B2876" s="91">
        <f>EDATE($B2875,1)</f>
        <v/>
      </c>
      <c r="C2876" s="92">
        <f>EOMONTH($B2876,0)</f>
        <v/>
      </c>
      <c r="D2876" s="87">
        <f>$C2876-$B2876+1</f>
        <v/>
      </c>
      <c r="E2876" s="87">
        <f>MONTH($B2876)</f>
        <v/>
      </c>
      <c r="F2876" s="93">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$N2876*IF($O$2830=1,$O2876/$F$2830,1)</f>
        <v/>
      </c>
      <c r="T2876" s="95">
        <f>IF($G2876&lt;nr_MStartP,$S2876,$T2864*(1+IF($G2876&lt;nr_MStartP1,$M$2830,$N$2830)))</f>
        <v/>
      </c>
      <c r="U2876" s="95">
        <f>IF($L$2830,$T2876,$N2876)</f>
        <v/>
      </c>
    </row>
    <row r="2877">
      <c r="A2877" s="90" t="n">
        <v>45</v>
      </c>
      <c r="B2877" s="91">
        <f>EDATE($B2876,1)</f>
        <v/>
      </c>
      <c r="C2877" s="92">
        <f>EOMONTH($B2877,0)</f>
        <v/>
      </c>
      <c r="D2877" s="87">
        <f>$C2877-$B2877+1</f>
        <v/>
      </c>
      <c r="E2877" s="87">
        <f>MONTH($B2877)</f>
        <v/>
      </c>
      <c r="F2877" s="93">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$N2877*IF($O$2830=1,$O2877/$F$2830,1)</f>
        <v/>
      </c>
      <c r="T2877" s="95">
        <f>IF($G2877&lt;nr_MStartP,$S2877,$T2865*(1+IF($G2877&lt;nr_MStartP1,$M$2830,$N$2830)))</f>
        <v/>
      </c>
      <c r="U2877" s="95">
        <f>IF($L$2830,$T2877,$N2877)</f>
        <v/>
      </c>
    </row>
    <row r="2878">
      <c r="A2878" s="90" t="n">
        <v>46</v>
      </c>
      <c r="B2878" s="91">
        <f>EDATE($B2877,1)</f>
        <v/>
      </c>
      <c r="C2878" s="92">
        <f>EOMONTH($B2878,0)</f>
        <v/>
      </c>
      <c r="D2878" s="87">
        <f>$C2878-$B2878+1</f>
        <v/>
      </c>
      <c r="E2878" s="87">
        <f>MONTH($B2878)</f>
        <v/>
      </c>
      <c r="F2878" s="93">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$N2878*IF($O$2830=1,$O2878/$F$2830,1)</f>
        <v/>
      </c>
      <c r="T2878" s="95">
        <f>IF($G2878&lt;nr_MStartP,$S2878,$T2866*(1+IF($G2878&lt;nr_MStartP1,$M$2830,$N$2830)))</f>
        <v/>
      </c>
      <c r="U2878" s="95">
        <f>IF($L$2830,$T2878,$N2878)</f>
        <v/>
      </c>
    </row>
    <row r="2879">
      <c r="A2879" s="90" t="n">
        <v>47</v>
      </c>
      <c r="B2879" s="91">
        <f>EDATE($B2878,1)</f>
        <v/>
      </c>
      <c r="C2879" s="92">
        <f>EOMONTH($B2879,0)</f>
        <v/>
      </c>
      <c r="D2879" s="87">
        <f>$C2879-$B2879+1</f>
        <v/>
      </c>
      <c r="E2879" s="87">
        <f>MONTH($B2879)</f>
        <v/>
      </c>
      <c r="F2879" s="93">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$N2879*IF($O$2830=1,$O2879/$F$2830,1)</f>
        <v/>
      </c>
      <c r="T2879" s="95">
        <f>IF($G2879&lt;nr_MStartP,$S2879,$T2867*(1+IF($G2879&lt;nr_MStartP1,$M$2830,$N$2830)))</f>
        <v/>
      </c>
      <c r="U2879" s="95">
        <f>IF($L$2830,$T2879,$N2879)</f>
        <v/>
      </c>
    </row>
    <row r="2880">
      <c r="A2880" s="90" t="n">
        <v>48</v>
      </c>
      <c r="B2880" s="91">
        <f>EDATE($B2879,1)</f>
        <v/>
      </c>
      <c r="C2880" s="92">
        <f>EOMONTH($B2880,0)</f>
        <v/>
      </c>
      <c r="D2880" s="87">
        <f>$C2880-$B2880+1</f>
        <v/>
      </c>
      <c r="E2880" s="87">
        <f>MONTH($B2880)</f>
        <v/>
      </c>
      <c r="F2880" s="93">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$N2880*IF($O$2830=1,$O2880/$F$2830,1)</f>
        <v/>
      </c>
      <c r="T2880" s="95">
        <f>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04">
        <f>SUMPRODUCT($H$2833:$H$2880,$Q$2833:$Q$2880,$O$2833:$O$2880)/SUMPRODUCT($H$2833:$H$2880,$Q$2833:$Q$2880)</f>
        <v/>
      </c>
      <c r="G2881" s="20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04">
        <f>IF(N(INDEX(lr_mind,53))=0,1,INDEX(lr_mind,53))</f>
        <v/>
      </c>
      <c r="G2884" s="204">
        <f>IF(N(INDEX(lr_m0,53))=0,1,INDEX(lr_m0,53))</f>
        <v/>
      </c>
      <c r="H2884" s="73">
        <f>IF(N(INDEX(lr_m0asof,53))=0,DATE(nr_PlanYear-1,10,1),INDEX(lr_m0asof,53))</f>
        <v/>
      </c>
      <c r="I2884" s="204">
        <f>IF(N(INDEX(lr_m1,53))=0,1,INDEX(lr_m1,53))</f>
        <v/>
      </c>
      <c r="J2884" s="204">
        <f>INDEX(lr_mprior,53)</f>
        <v/>
      </c>
      <c r="K2884" s="20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93">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$N2887*IF($O$2884=1,$O2887/$F$2884,1)</f>
        <v/>
      </c>
      <c r="T2887" s="95">
        <f>IF($G2887&lt;nr_MStartP,$S2887,$T2875*(1+IF($G2887&lt;nr_MStartP1,$M$2884,$N$2884)))</f>
        <v/>
      </c>
      <c r="U2887" s="95">
        <f>IF($L$2884,$T2887,$N2887)</f>
        <v/>
      </c>
    </row>
    <row r="2888">
      <c r="A2888" s="90" t="n">
        <v>2</v>
      </c>
      <c r="B2888" s="91">
        <f>EDATE($B2887,1)</f>
        <v/>
      </c>
      <c r="C2888" s="92">
        <f>EOMONTH($B2888,0)</f>
        <v/>
      </c>
      <c r="D2888" s="87">
        <f>$C2888-$B2888+1</f>
        <v/>
      </c>
      <c r="E2888" s="87">
        <f>MONTH($B2888)</f>
        <v/>
      </c>
      <c r="F2888" s="93">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$N2888*IF($O$2884=1,$O2888/$F$2884,1)</f>
        <v/>
      </c>
      <c r="T2888" s="95">
        <f>IF($G2888&lt;nr_MStartP,$S2888,$T2876*(1+IF($G2888&lt;nr_MStartP1,$M$2884,$N$2884)))</f>
        <v/>
      </c>
      <c r="U2888" s="95">
        <f>IF($L$2884,$T2888,$N2888)</f>
        <v/>
      </c>
    </row>
    <row r="2889">
      <c r="A2889" s="90" t="n">
        <v>3</v>
      </c>
      <c r="B2889" s="91">
        <f>EDATE($B2888,1)</f>
        <v/>
      </c>
      <c r="C2889" s="92">
        <f>EOMONTH($B2889,0)</f>
        <v/>
      </c>
      <c r="D2889" s="87">
        <f>$C2889-$B2889+1</f>
        <v/>
      </c>
      <c r="E2889" s="87">
        <f>MONTH($B2889)</f>
        <v/>
      </c>
      <c r="F2889" s="93">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$N2889*IF($O$2884=1,$O2889/$F$2884,1)</f>
        <v/>
      </c>
      <c r="T2889" s="95">
        <f>IF($G2889&lt;nr_MStartP,$S2889,$T2877*(1+IF($G2889&lt;nr_MStartP1,$M$2884,$N$2884)))</f>
        <v/>
      </c>
      <c r="U2889" s="95">
        <f>IF($L$2884,$T2889,$N2889)</f>
        <v/>
      </c>
    </row>
    <row r="2890">
      <c r="A2890" s="90" t="n">
        <v>4</v>
      </c>
      <c r="B2890" s="91">
        <f>EDATE($B2889,1)</f>
        <v/>
      </c>
      <c r="C2890" s="92">
        <f>EOMONTH($B2890,0)</f>
        <v/>
      </c>
      <c r="D2890" s="87">
        <f>$C2890-$B2890+1</f>
        <v/>
      </c>
      <c r="E2890" s="87">
        <f>MONTH($B2890)</f>
        <v/>
      </c>
      <c r="F2890" s="93">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$N2890*IF($O$2884=1,$O2890/$F$2884,1)</f>
        <v/>
      </c>
      <c r="T2890" s="95">
        <f>IF($G2890&lt;nr_MStartP,$S2890,$T2878*(1+IF($G2890&lt;nr_MStartP1,$M$2884,$N$2884)))</f>
        <v/>
      </c>
      <c r="U2890" s="95">
        <f>IF($L$2884,$T2890,$N2890)</f>
        <v/>
      </c>
    </row>
    <row r="2891">
      <c r="A2891" s="90" t="n">
        <v>5</v>
      </c>
      <c r="B2891" s="91">
        <f>EDATE($B2890,1)</f>
        <v/>
      </c>
      <c r="C2891" s="92">
        <f>EOMONTH($B2891,0)</f>
        <v/>
      </c>
      <c r="D2891" s="87">
        <f>$C2891-$B2891+1</f>
        <v/>
      </c>
      <c r="E2891" s="87">
        <f>MONTH($B2891)</f>
        <v/>
      </c>
      <c r="F2891" s="93">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$N2891*IF($O$2884=1,$O2891/$F$2884,1)</f>
        <v/>
      </c>
      <c r="T2891" s="95">
        <f>IF($G2891&lt;nr_MStartP,$S2891,$T2879*(1+IF($G2891&lt;nr_MStartP1,$M$2884,$N$2884)))</f>
        <v/>
      </c>
      <c r="U2891" s="95">
        <f>IF($L$2884,$T2891,$N2891)</f>
        <v/>
      </c>
    </row>
    <row r="2892">
      <c r="A2892" s="90" t="n">
        <v>6</v>
      </c>
      <c r="B2892" s="91">
        <f>EDATE($B2891,1)</f>
        <v/>
      </c>
      <c r="C2892" s="92">
        <f>EOMONTH($B2892,0)</f>
        <v/>
      </c>
      <c r="D2892" s="87">
        <f>$C2892-$B2892+1</f>
        <v/>
      </c>
      <c r="E2892" s="87">
        <f>MONTH($B2892)</f>
        <v/>
      </c>
      <c r="F2892" s="93">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$N2892*IF($O$2884=1,$O2892/$F$2884,1)</f>
        <v/>
      </c>
      <c r="T2892" s="95">
        <f>IF($G2892&lt;nr_MStartP,$S2892,$T2880*(1+IF($G2892&lt;nr_MStartP1,$M$2884,$N$2884)))</f>
        <v/>
      </c>
      <c r="U2892" s="95">
        <f>IF($L$2884,$T2892,$N2892)</f>
        <v/>
      </c>
    </row>
    <row r="2893">
      <c r="A2893" s="90" t="n">
        <v>7</v>
      </c>
      <c r="B2893" s="91">
        <f>EDATE($B2892,1)</f>
        <v/>
      </c>
      <c r="C2893" s="92">
        <f>EOMONTH($B2893,0)</f>
        <v/>
      </c>
      <c r="D2893" s="87">
        <f>$C2893-$B2893+1</f>
        <v/>
      </c>
      <c r="E2893" s="87">
        <f>MONTH($B2893)</f>
        <v/>
      </c>
      <c r="F2893" s="93">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$N2893*IF($O$2884=1,$O2893/$F$2884,1)</f>
        <v/>
      </c>
      <c r="T2893" s="95">
        <f>IF($G2893&lt;nr_MStartP,$S2893,$T2881*(1+IF($G2893&lt;nr_MStartP1,$M$2884,$N$2884)))</f>
        <v/>
      </c>
      <c r="U2893" s="95">
        <f>IF($L$2884,$T2893,$N2893)</f>
        <v/>
      </c>
    </row>
    <row r="2894">
      <c r="A2894" s="90" t="n">
        <v>8</v>
      </c>
      <c r="B2894" s="91">
        <f>EDATE($B2893,1)</f>
        <v/>
      </c>
      <c r="C2894" s="92">
        <f>EOMONTH($B2894,0)</f>
        <v/>
      </c>
      <c r="D2894" s="87">
        <f>$C2894-$B2894+1</f>
        <v/>
      </c>
      <c r="E2894" s="87">
        <f>MONTH($B2894)</f>
        <v/>
      </c>
      <c r="F2894" s="93">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$N2894*IF($O$2884=1,$O2894/$F$2884,1)</f>
        <v/>
      </c>
      <c r="T2894" s="95">
        <f>IF($G2894&lt;nr_MStartP,$S2894,$T2882*(1+IF($G2894&lt;nr_MStartP1,$M$2884,$N$2884)))</f>
        <v/>
      </c>
      <c r="U2894" s="95">
        <f>IF($L$2884,$T2894,$N2894)</f>
        <v/>
      </c>
    </row>
    <row r="2895">
      <c r="A2895" s="90" t="n">
        <v>9</v>
      </c>
      <c r="B2895" s="91">
        <f>EDATE($B2894,1)</f>
        <v/>
      </c>
      <c r="C2895" s="92">
        <f>EOMONTH($B2895,0)</f>
        <v/>
      </c>
      <c r="D2895" s="87">
        <f>$C2895-$B2895+1</f>
        <v/>
      </c>
      <c r="E2895" s="87">
        <f>MONTH($B2895)</f>
        <v/>
      </c>
      <c r="F2895" s="93">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$N2895*IF($O$2884=1,$O2895/$F$2884,1)</f>
        <v/>
      </c>
      <c r="T2895" s="95">
        <f>IF($G2895&lt;nr_MStartP,$S2895,$T2883*(1+IF($G2895&lt;nr_MStartP1,$M$2884,$N$2884)))</f>
        <v/>
      </c>
      <c r="U2895" s="95">
        <f>IF($L$2884,$T2895,$N2895)</f>
        <v/>
      </c>
    </row>
    <row r="2896">
      <c r="A2896" s="90" t="n">
        <v>10</v>
      </c>
      <c r="B2896" s="91">
        <f>EDATE($B2895,1)</f>
        <v/>
      </c>
      <c r="C2896" s="92">
        <f>EOMONTH($B2896,0)</f>
        <v/>
      </c>
      <c r="D2896" s="87">
        <f>$C2896-$B2896+1</f>
        <v/>
      </c>
      <c r="E2896" s="87">
        <f>MONTH($B2896)</f>
        <v/>
      </c>
      <c r="F2896" s="93">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$N2896*IF($O$2884=1,$O2896/$F$2884,1)</f>
        <v/>
      </c>
      <c r="T2896" s="95">
        <f>IF($G2896&lt;nr_MStartP,$S2896,$T2884*(1+IF($G2896&lt;nr_MStartP1,$M$2884,$N$2884)))</f>
        <v/>
      </c>
      <c r="U2896" s="95">
        <f>IF($L$2884,$T2896,$N2896)</f>
        <v/>
      </c>
    </row>
    <row r="2897">
      <c r="A2897" s="90" t="n">
        <v>11</v>
      </c>
      <c r="B2897" s="91">
        <f>EDATE($B2896,1)</f>
        <v/>
      </c>
      <c r="C2897" s="92">
        <f>EOMONTH($B2897,0)</f>
        <v/>
      </c>
      <c r="D2897" s="87">
        <f>$C2897-$B2897+1</f>
        <v/>
      </c>
      <c r="E2897" s="87">
        <f>MONTH($B2897)</f>
        <v/>
      </c>
      <c r="F2897" s="93">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$N2897*IF($O$2884=1,$O2897/$F$2884,1)</f>
        <v/>
      </c>
      <c r="T2897" s="95">
        <f>IF($G2897&lt;nr_MStartP,$S2897,$T2885*(1+IF($G2897&lt;nr_MStartP1,$M$2884,$N$2884)))</f>
        <v/>
      </c>
      <c r="U2897" s="95">
        <f>IF($L$2884,$T2897,$N2897)</f>
        <v/>
      </c>
    </row>
    <row r="2898">
      <c r="A2898" s="90" t="n">
        <v>12</v>
      </c>
      <c r="B2898" s="91">
        <f>EDATE($B2897,1)</f>
        <v/>
      </c>
      <c r="C2898" s="92">
        <f>EOMONTH($B2898,0)</f>
        <v/>
      </c>
      <c r="D2898" s="87">
        <f>$C2898-$B2898+1</f>
        <v/>
      </c>
      <c r="E2898" s="87">
        <f>MONTH($B2898)</f>
        <v/>
      </c>
      <c r="F2898" s="93">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$N2898*IF($O$2884=1,$O2898/$F$2884,1)</f>
        <v/>
      </c>
      <c r="T2898" s="95">
        <f>IF($G2898&lt;nr_MStartP,$S2898,$T2886*(1+IF($G2898&lt;nr_MStartP1,$M$2884,$N$2884)))</f>
        <v/>
      </c>
      <c r="U2898" s="95">
        <f>IF($L$2884,$T2898,$N2898)</f>
        <v/>
      </c>
    </row>
    <row r="2899">
      <c r="A2899" s="90" t="n">
        <v>13</v>
      </c>
      <c r="B2899" s="91">
        <f>EDATE($B2898,1)</f>
        <v/>
      </c>
      <c r="C2899" s="92">
        <f>EOMONTH($B2899,0)</f>
        <v/>
      </c>
      <c r="D2899" s="87">
        <f>$C2899-$B2899+1</f>
        <v/>
      </c>
      <c r="E2899" s="87">
        <f>MONTH($B2899)</f>
        <v/>
      </c>
      <c r="F2899" s="93">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$N2899*IF($O$2884=1,$O2899/$F$2884,1)</f>
        <v/>
      </c>
      <c r="T2899" s="95">
        <f>IF($G2899&lt;nr_MStartP,$S2899,$T2887*(1+IF($G2899&lt;nr_MStartP1,$M$2884,$N$2884)))</f>
        <v/>
      </c>
      <c r="U2899" s="95">
        <f>IF($L$2884,$T2899,$N2899)</f>
        <v/>
      </c>
    </row>
    <row r="2900">
      <c r="A2900" s="90" t="n">
        <v>14</v>
      </c>
      <c r="B2900" s="91">
        <f>EDATE($B2899,1)</f>
        <v/>
      </c>
      <c r="C2900" s="92">
        <f>EOMONTH($B2900,0)</f>
        <v/>
      </c>
      <c r="D2900" s="87">
        <f>$C2900-$B2900+1</f>
        <v/>
      </c>
      <c r="E2900" s="87">
        <f>MONTH($B2900)</f>
        <v/>
      </c>
      <c r="F2900" s="93">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$N2900*IF($O$2884=1,$O2900/$F$2884,1)</f>
        <v/>
      </c>
      <c r="T2900" s="95">
        <f>IF($G2900&lt;nr_MStartP,$S2900,$T2888*(1+IF($G2900&lt;nr_MStartP1,$M$2884,$N$2884)))</f>
        <v/>
      </c>
      <c r="U2900" s="95">
        <f>IF($L$2884,$T2900,$N2900)</f>
        <v/>
      </c>
    </row>
    <row r="2901">
      <c r="A2901" s="90" t="n">
        <v>15</v>
      </c>
      <c r="B2901" s="91">
        <f>EDATE($B2900,1)</f>
        <v/>
      </c>
      <c r="C2901" s="92">
        <f>EOMONTH($B2901,0)</f>
        <v/>
      </c>
      <c r="D2901" s="87">
        <f>$C2901-$B2901+1</f>
        <v/>
      </c>
      <c r="E2901" s="87">
        <f>MONTH($B2901)</f>
        <v/>
      </c>
      <c r="F2901" s="93">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$N2901*IF($O$2884=1,$O2901/$F$2884,1)</f>
        <v/>
      </c>
      <c r="T2901" s="95">
        <f>IF($G2901&lt;nr_MStartP,$S2901,$T2889*(1+IF($G2901&lt;nr_MStartP1,$M$2884,$N$2884)))</f>
        <v/>
      </c>
      <c r="U2901" s="95">
        <f>IF($L$2884,$T2901,$N2901)</f>
        <v/>
      </c>
    </row>
    <row r="2902">
      <c r="A2902" s="90" t="n">
        <v>16</v>
      </c>
      <c r="B2902" s="91">
        <f>EDATE($B2901,1)</f>
        <v/>
      </c>
      <c r="C2902" s="92">
        <f>EOMONTH($B2902,0)</f>
        <v/>
      </c>
      <c r="D2902" s="87">
        <f>$C2902-$B2902+1</f>
        <v/>
      </c>
      <c r="E2902" s="87">
        <f>MONTH($B2902)</f>
        <v/>
      </c>
      <c r="F2902" s="93">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$N2902*IF($O$2884=1,$O2902/$F$2884,1)</f>
        <v/>
      </c>
      <c r="T2902" s="95">
        <f>IF($G2902&lt;nr_MStartP,$S2902,$T2890*(1+IF($G2902&lt;nr_MStartP1,$M$2884,$N$2884)))</f>
        <v/>
      </c>
      <c r="U2902" s="95">
        <f>IF($L$2884,$T2902,$N2902)</f>
        <v/>
      </c>
    </row>
    <row r="2903">
      <c r="A2903" s="90" t="n">
        <v>17</v>
      </c>
      <c r="B2903" s="91">
        <f>EDATE($B2902,1)</f>
        <v/>
      </c>
      <c r="C2903" s="92">
        <f>EOMONTH($B2903,0)</f>
        <v/>
      </c>
      <c r="D2903" s="87">
        <f>$C2903-$B2903+1</f>
        <v/>
      </c>
      <c r="E2903" s="87">
        <f>MONTH($B2903)</f>
        <v/>
      </c>
      <c r="F2903" s="93">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$N2903*IF($O$2884=1,$O2903/$F$2884,1)</f>
        <v/>
      </c>
      <c r="T2903" s="95">
        <f>IF($G2903&lt;nr_MStartP,$S2903,$T2891*(1+IF($G2903&lt;nr_MStartP1,$M$2884,$N$2884)))</f>
        <v/>
      </c>
      <c r="U2903" s="95">
        <f>IF($L$2884,$T2903,$N2903)</f>
        <v/>
      </c>
    </row>
    <row r="2904">
      <c r="A2904" s="90" t="n">
        <v>18</v>
      </c>
      <c r="B2904" s="91">
        <f>EDATE($B2903,1)</f>
        <v/>
      </c>
      <c r="C2904" s="92">
        <f>EOMONTH($B2904,0)</f>
        <v/>
      </c>
      <c r="D2904" s="87">
        <f>$C2904-$B2904+1</f>
        <v/>
      </c>
      <c r="E2904" s="87">
        <f>MONTH($B2904)</f>
        <v/>
      </c>
      <c r="F2904" s="93">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$N2904*IF($O$2884=1,$O2904/$F$2884,1)</f>
        <v/>
      </c>
      <c r="T2904" s="95">
        <f>IF($G2904&lt;nr_MStartP,$S2904,$T2892*(1+IF($G2904&lt;nr_MStartP1,$M$2884,$N$2884)))</f>
        <v/>
      </c>
      <c r="U2904" s="95">
        <f>IF($L$2884,$T2904,$N2904)</f>
        <v/>
      </c>
    </row>
    <row r="2905">
      <c r="A2905" s="90" t="n">
        <v>19</v>
      </c>
      <c r="B2905" s="91">
        <f>EDATE($B2904,1)</f>
        <v/>
      </c>
      <c r="C2905" s="92">
        <f>EOMONTH($B2905,0)</f>
        <v/>
      </c>
      <c r="D2905" s="87">
        <f>$C2905-$B2905+1</f>
        <v/>
      </c>
      <c r="E2905" s="87">
        <f>MONTH($B2905)</f>
        <v/>
      </c>
      <c r="F2905" s="93">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$N2905*IF($O$2884=1,$O2905/$F$2884,1)</f>
        <v/>
      </c>
      <c r="T2905" s="95">
        <f>IF($G2905&lt;nr_MStartP,$S2905,$T2893*(1+IF($G2905&lt;nr_MStartP1,$M$2884,$N$2884)))</f>
        <v/>
      </c>
      <c r="U2905" s="95">
        <f>IF($L$2884,$T2905,$N2905)</f>
        <v/>
      </c>
    </row>
    <row r="2906">
      <c r="A2906" s="90" t="n">
        <v>20</v>
      </c>
      <c r="B2906" s="91">
        <f>EDATE($B2905,1)</f>
        <v/>
      </c>
      <c r="C2906" s="92">
        <f>EOMONTH($B2906,0)</f>
        <v/>
      </c>
      <c r="D2906" s="87">
        <f>$C2906-$B2906+1</f>
        <v/>
      </c>
      <c r="E2906" s="87">
        <f>MONTH($B2906)</f>
        <v/>
      </c>
      <c r="F2906" s="93">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$N2906*IF($O$2884=1,$O2906/$F$2884,1)</f>
        <v/>
      </c>
      <c r="T2906" s="95">
        <f>IF($G2906&lt;nr_MStartP,$S2906,$T2894*(1+IF($G2906&lt;nr_MStartP1,$M$2884,$N$2884)))</f>
        <v/>
      </c>
      <c r="U2906" s="95">
        <f>IF($L$2884,$T2906,$N2906)</f>
        <v/>
      </c>
    </row>
    <row r="2907">
      <c r="A2907" s="90" t="n">
        <v>21</v>
      </c>
      <c r="B2907" s="91">
        <f>EDATE($B2906,1)</f>
        <v/>
      </c>
      <c r="C2907" s="92">
        <f>EOMONTH($B2907,0)</f>
        <v/>
      </c>
      <c r="D2907" s="87">
        <f>$C2907-$B2907+1</f>
        <v/>
      </c>
      <c r="E2907" s="87">
        <f>MONTH($B2907)</f>
        <v/>
      </c>
      <c r="F2907" s="93">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$N2907*IF($O$2884=1,$O2907/$F$2884,1)</f>
        <v/>
      </c>
      <c r="T2907" s="95">
        <f>IF($G2907&lt;nr_MStartP,$S2907,$T2895*(1+IF($G2907&lt;nr_MStartP1,$M$2884,$N$2884)))</f>
        <v/>
      </c>
      <c r="U2907" s="95">
        <f>IF($L$2884,$T2907,$N2907)</f>
        <v/>
      </c>
    </row>
    <row r="2908">
      <c r="A2908" s="90" t="n">
        <v>22</v>
      </c>
      <c r="B2908" s="91">
        <f>EDATE($B2907,1)</f>
        <v/>
      </c>
      <c r="C2908" s="92">
        <f>EOMONTH($B2908,0)</f>
        <v/>
      </c>
      <c r="D2908" s="87">
        <f>$C2908-$B2908+1</f>
        <v/>
      </c>
      <c r="E2908" s="87">
        <f>MONTH($B2908)</f>
        <v/>
      </c>
      <c r="F2908" s="93">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$N2908*IF($O$2884=1,$O2908/$F$2884,1)</f>
        <v/>
      </c>
      <c r="T2908" s="95">
        <f>IF($G2908&lt;nr_MStartP,$S2908,$T2896*(1+IF($G2908&lt;nr_MStartP1,$M$2884,$N$2884)))</f>
        <v/>
      </c>
      <c r="U2908" s="95">
        <f>IF($L$2884,$T2908,$N2908)</f>
        <v/>
      </c>
    </row>
    <row r="2909">
      <c r="A2909" s="90" t="n">
        <v>23</v>
      </c>
      <c r="B2909" s="91">
        <f>EDATE($B2908,1)</f>
        <v/>
      </c>
      <c r="C2909" s="92">
        <f>EOMONTH($B2909,0)</f>
        <v/>
      </c>
      <c r="D2909" s="87">
        <f>$C2909-$B2909+1</f>
        <v/>
      </c>
      <c r="E2909" s="87">
        <f>MONTH($B2909)</f>
        <v/>
      </c>
      <c r="F2909" s="93">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$N2909*IF($O$2884=1,$O2909/$F$2884,1)</f>
        <v/>
      </c>
      <c r="T2909" s="95">
        <f>IF($G2909&lt;nr_MStartP,$S2909,$T2897*(1+IF($G2909&lt;nr_MStartP1,$M$2884,$N$2884)))</f>
        <v/>
      </c>
      <c r="U2909" s="95">
        <f>IF($L$2884,$T2909,$N2909)</f>
        <v/>
      </c>
    </row>
    <row r="2910">
      <c r="A2910" s="90" t="n">
        <v>24</v>
      </c>
      <c r="B2910" s="91">
        <f>EDATE($B2909,1)</f>
        <v/>
      </c>
      <c r="C2910" s="92">
        <f>EOMONTH($B2910,0)</f>
        <v/>
      </c>
      <c r="D2910" s="87">
        <f>$C2910-$B2910+1</f>
        <v/>
      </c>
      <c r="E2910" s="87">
        <f>MONTH($B2910)</f>
        <v/>
      </c>
      <c r="F2910" s="93">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$N2910*IF($O$2884=1,$O2910/$F$2884,1)</f>
        <v/>
      </c>
      <c r="T2910" s="95">
        <f>IF($G2910&lt;nr_MStartP,$S2910,$T2898*(1+IF($G2910&lt;nr_MStartP1,$M$2884,$N$2884)))</f>
        <v/>
      </c>
      <c r="U2910" s="95">
        <f>IF($L$2884,$T2910,$N2910)</f>
        <v/>
      </c>
    </row>
    <row r="2911">
      <c r="A2911" s="90" t="n">
        <v>25</v>
      </c>
      <c r="B2911" s="91">
        <f>EDATE($B2910,1)</f>
        <v/>
      </c>
      <c r="C2911" s="92">
        <f>EOMONTH($B2911,0)</f>
        <v/>
      </c>
      <c r="D2911" s="87">
        <f>$C2911-$B2911+1</f>
        <v/>
      </c>
      <c r="E2911" s="87">
        <f>MONTH($B2911)</f>
        <v/>
      </c>
      <c r="F2911" s="93">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$N2911*IF($O$2884=1,$O2911/$F$2884,1)</f>
        <v/>
      </c>
      <c r="T2911" s="95">
        <f>IF($G2911&lt;nr_MStartP,$S2911,$T2899*(1+IF($G2911&lt;nr_MStartP1,$M$2884,$N$2884)))</f>
        <v/>
      </c>
      <c r="U2911" s="95">
        <f>IF($L$2884,$T2911,$N2911)</f>
        <v/>
      </c>
    </row>
    <row r="2912">
      <c r="A2912" s="90" t="n">
        <v>26</v>
      </c>
      <c r="B2912" s="91">
        <f>EDATE($B2911,1)</f>
        <v/>
      </c>
      <c r="C2912" s="92">
        <f>EOMONTH($B2912,0)</f>
        <v/>
      </c>
      <c r="D2912" s="87">
        <f>$C2912-$B2912+1</f>
        <v/>
      </c>
      <c r="E2912" s="87">
        <f>MONTH($B2912)</f>
        <v/>
      </c>
      <c r="F2912" s="93">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$N2912*IF($O$2884=1,$O2912/$F$2884,1)</f>
        <v/>
      </c>
      <c r="T2912" s="95">
        <f>IF($G2912&lt;nr_MStartP,$S2912,$T2900*(1+IF($G2912&lt;nr_MStartP1,$M$2884,$N$2884)))</f>
        <v/>
      </c>
      <c r="U2912" s="95">
        <f>IF($L$2884,$T2912,$N2912)</f>
        <v/>
      </c>
    </row>
    <row r="2913">
      <c r="A2913" s="90" t="n">
        <v>27</v>
      </c>
      <c r="B2913" s="91">
        <f>EDATE($B2912,1)</f>
        <v/>
      </c>
      <c r="C2913" s="92">
        <f>EOMONTH($B2913,0)</f>
        <v/>
      </c>
      <c r="D2913" s="87">
        <f>$C2913-$B2913+1</f>
        <v/>
      </c>
      <c r="E2913" s="87">
        <f>MONTH($B2913)</f>
        <v/>
      </c>
      <c r="F2913" s="93">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$N2913*IF($O$2884=1,$O2913/$F$2884,1)</f>
        <v/>
      </c>
      <c r="T2913" s="95">
        <f>IF($G2913&lt;nr_MStartP,$S2913,$T2901*(1+IF($G2913&lt;nr_MStartP1,$M$2884,$N$2884)))</f>
        <v/>
      </c>
      <c r="U2913" s="95">
        <f>IF($L$2884,$T2913,$N2913)</f>
        <v/>
      </c>
    </row>
    <row r="2914">
      <c r="A2914" s="90" t="n">
        <v>28</v>
      </c>
      <c r="B2914" s="91">
        <f>EDATE($B2913,1)</f>
        <v/>
      </c>
      <c r="C2914" s="92">
        <f>EOMONTH($B2914,0)</f>
        <v/>
      </c>
      <c r="D2914" s="87">
        <f>$C2914-$B2914+1</f>
        <v/>
      </c>
      <c r="E2914" s="87">
        <f>MONTH($B2914)</f>
        <v/>
      </c>
      <c r="F2914" s="93">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$N2914*IF($O$2884=1,$O2914/$F$2884,1)</f>
        <v/>
      </c>
      <c r="T2914" s="95">
        <f>IF($G2914&lt;nr_MStartP,$S2914,$T2902*(1+IF($G2914&lt;nr_MStartP1,$M$2884,$N$2884)))</f>
        <v/>
      </c>
      <c r="U2914" s="95">
        <f>IF($L$2884,$T2914,$N2914)</f>
        <v/>
      </c>
    </row>
    <row r="2915">
      <c r="A2915" s="90" t="n">
        <v>29</v>
      </c>
      <c r="B2915" s="91">
        <f>EDATE($B2914,1)</f>
        <v/>
      </c>
      <c r="C2915" s="92">
        <f>EOMONTH($B2915,0)</f>
        <v/>
      </c>
      <c r="D2915" s="87">
        <f>$C2915-$B2915+1</f>
        <v/>
      </c>
      <c r="E2915" s="87">
        <f>MONTH($B2915)</f>
        <v/>
      </c>
      <c r="F2915" s="93">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$N2915*IF($O$2884=1,$O2915/$F$2884,1)</f>
        <v/>
      </c>
      <c r="T2915" s="95">
        <f>IF($G2915&lt;nr_MStartP,$S2915,$T2903*(1+IF($G2915&lt;nr_MStartP1,$M$2884,$N$2884)))</f>
        <v/>
      </c>
      <c r="U2915" s="95">
        <f>IF($L$2884,$T2915,$N2915)</f>
        <v/>
      </c>
    </row>
    <row r="2916">
      <c r="A2916" s="90" t="n">
        <v>30</v>
      </c>
      <c r="B2916" s="91">
        <f>EDATE($B2915,1)</f>
        <v/>
      </c>
      <c r="C2916" s="92">
        <f>EOMONTH($B2916,0)</f>
        <v/>
      </c>
      <c r="D2916" s="87">
        <f>$C2916-$B2916+1</f>
        <v/>
      </c>
      <c r="E2916" s="87">
        <f>MONTH($B2916)</f>
        <v/>
      </c>
      <c r="F2916" s="93">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$N2916*IF($O$2884=1,$O2916/$F$2884,1)</f>
        <v/>
      </c>
      <c r="T2916" s="95">
        <f>IF($G2916&lt;nr_MStartP,$S2916,$T2904*(1+IF($G2916&lt;nr_MStartP1,$M$2884,$N$2884)))</f>
        <v/>
      </c>
      <c r="U2916" s="95">
        <f>IF($L$2884,$T2916,$N2916)</f>
        <v/>
      </c>
    </row>
    <row r="2917">
      <c r="A2917" s="90" t="n">
        <v>31</v>
      </c>
      <c r="B2917" s="91">
        <f>EDATE($B2916,1)</f>
        <v/>
      </c>
      <c r="C2917" s="92">
        <f>EOMONTH($B2917,0)</f>
        <v/>
      </c>
      <c r="D2917" s="87">
        <f>$C2917-$B2917+1</f>
        <v/>
      </c>
      <c r="E2917" s="87">
        <f>MONTH($B2917)</f>
        <v/>
      </c>
      <c r="F2917" s="93">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$N2917*IF($O$2884=1,$O2917/$F$2884,1)</f>
        <v/>
      </c>
      <c r="T2917" s="95">
        <f>IF($G2917&lt;nr_MStartP,$S2917,$T2905*(1+IF($G2917&lt;nr_MStartP1,$M$2884,$N$2884)))</f>
        <v/>
      </c>
      <c r="U2917" s="95">
        <f>IF($L$2884,$T2917,$N2917)</f>
        <v/>
      </c>
    </row>
    <row r="2918">
      <c r="A2918" s="90" t="n">
        <v>32</v>
      </c>
      <c r="B2918" s="91">
        <f>EDATE($B2917,1)</f>
        <v/>
      </c>
      <c r="C2918" s="92">
        <f>EOMONTH($B2918,0)</f>
        <v/>
      </c>
      <c r="D2918" s="87">
        <f>$C2918-$B2918+1</f>
        <v/>
      </c>
      <c r="E2918" s="87">
        <f>MONTH($B2918)</f>
        <v/>
      </c>
      <c r="F2918" s="93">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$N2918*IF($O$2884=1,$O2918/$F$2884,1)</f>
        <v/>
      </c>
      <c r="T2918" s="95">
        <f>IF($G2918&lt;nr_MStartP,$S2918,$T2906*(1+IF($G2918&lt;nr_MStartP1,$M$2884,$N$2884)))</f>
        <v/>
      </c>
      <c r="U2918" s="95">
        <f>IF($L$2884,$T2918,$N2918)</f>
        <v/>
      </c>
    </row>
    <row r="2919">
      <c r="A2919" s="90" t="n">
        <v>33</v>
      </c>
      <c r="B2919" s="91">
        <f>EDATE($B2918,1)</f>
        <v/>
      </c>
      <c r="C2919" s="92">
        <f>EOMONTH($B2919,0)</f>
        <v/>
      </c>
      <c r="D2919" s="87">
        <f>$C2919-$B2919+1</f>
        <v/>
      </c>
      <c r="E2919" s="87">
        <f>MONTH($B2919)</f>
        <v/>
      </c>
      <c r="F2919" s="93">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$N2919*IF($O$2884=1,$O2919/$F$2884,1)</f>
        <v/>
      </c>
      <c r="T2919" s="95">
        <f>IF($G2919&lt;nr_MStartP,$S2919,$T2907*(1+IF($G2919&lt;nr_MStartP1,$M$2884,$N$2884)))</f>
        <v/>
      </c>
      <c r="U2919" s="95">
        <f>IF($L$2884,$T2919,$N2919)</f>
        <v/>
      </c>
    </row>
    <row r="2920">
      <c r="A2920" s="90" t="n">
        <v>34</v>
      </c>
      <c r="B2920" s="91">
        <f>EDATE($B2919,1)</f>
        <v/>
      </c>
      <c r="C2920" s="92">
        <f>EOMONTH($B2920,0)</f>
        <v/>
      </c>
      <c r="D2920" s="87">
        <f>$C2920-$B2920+1</f>
        <v/>
      </c>
      <c r="E2920" s="87">
        <f>MONTH($B2920)</f>
        <v/>
      </c>
      <c r="F2920" s="93">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$N2920*IF($O$2884=1,$O2920/$F$2884,1)</f>
        <v/>
      </c>
      <c r="T2920" s="95">
        <f>IF($G2920&lt;nr_MStartP,$S2920,$T2908*(1+IF($G2920&lt;nr_MStartP1,$M$2884,$N$2884)))</f>
        <v/>
      </c>
      <c r="U2920" s="95">
        <f>IF($L$2884,$T2920,$N2920)</f>
        <v/>
      </c>
    </row>
    <row r="2921">
      <c r="A2921" s="90" t="n">
        <v>35</v>
      </c>
      <c r="B2921" s="91">
        <f>EDATE($B2920,1)</f>
        <v/>
      </c>
      <c r="C2921" s="92">
        <f>EOMONTH($B2921,0)</f>
        <v/>
      </c>
      <c r="D2921" s="87">
        <f>$C2921-$B2921+1</f>
        <v/>
      </c>
      <c r="E2921" s="87">
        <f>MONTH($B2921)</f>
        <v/>
      </c>
      <c r="F2921" s="93">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$N2921*IF($O$2884=1,$O2921/$F$2884,1)</f>
        <v/>
      </c>
      <c r="T2921" s="95">
        <f>IF($G2921&lt;nr_MStartP,$S2921,$T2909*(1+IF($G2921&lt;nr_MStartP1,$M$2884,$N$2884)))</f>
        <v/>
      </c>
      <c r="U2921" s="95">
        <f>IF($L$2884,$T2921,$N2921)</f>
        <v/>
      </c>
    </row>
    <row r="2922">
      <c r="A2922" s="90" t="n">
        <v>36</v>
      </c>
      <c r="B2922" s="91">
        <f>EDATE($B2921,1)</f>
        <v/>
      </c>
      <c r="C2922" s="92">
        <f>EOMONTH($B2922,0)</f>
        <v/>
      </c>
      <c r="D2922" s="87">
        <f>$C2922-$B2922+1</f>
        <v/>
      </c>
      <c r="E2922" s="87">
        <f>MONTH($B2922)</f>
        <v/>
      </c>
      <c r="F2922" s="93">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$N2922*IF($O$2884=1,$O2922/$F$2884,1)</f>
        <v/>
      </c>
      <c r="T2922" s="95">
        <f>IF($G2922&lt;nr_MStartP,$S2922,$T2910*(1+IF($G2922&lt;nr_MStartP1,$M$2884,$N$2884)))</f>
        <v/>
      </c>
      <c r="U2922" s="95">
        <f>IF($L$2884,$T2922,$N2922)</f>
        <v/>
      </c>
    </row>
    <row r="2923">
      <c r="A2923" s="90" t="n">
        <v>37</v>
      </c>
      <c r="B2923" s="91">
        <f>EDATE($B2922,1)</f>
        <v/>
      </c>
      <c r="C2923" s="92">
        <f>EOMONTH($B2923,0)</f>
        <v/>
      </c>
      <c r="D2923" s="87">
        <f>$C2923-$B2923+1</f>
        <v/>
      </c>
      <c r="E2923" s="87">
        <f>MONTH($B2923)</f>
        <v/>
      </c>
      <c r="F2923" s="93">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$N2923*IF($O$2884=1,$O2923/$F$2884,1)</f>
        <v/>
      </c>
      <c r="T2923" s="95">
        <f>IF($G2923&lt;nr_MStartP,$S2923,$T2911*(1+IF($G2923&lt;nr_MStartP1,$M$2884,$N$2884)))</f>
        <v/>
      </c>
      <c r="U2923" s="95">
        <f>IF($L$2884,$T2923,$N2923)</f>
        <v/>
      </c>
    </row>
    <row r="2924">
      <c r="A2924" s="90" t="n">
        <v>38</v>
      </c>
      <c r="B2924" s="91">
        <f>EDATE($B2923,1)</f>
        <v/>
      </c>
      <c r="C2924" s="92">
        <f>EOMONTH($B2924,0)</f>
        <v/>
      </c>
      <c r="D2924" s="87">
        <f>$C2924-$B2924+1</f>
        <v/>
      </c>
      <c r="E2924" s="87">
        <f>MONTH($B2924)</f>
        <v/>
      </c>
      <c r="F2924" s="93">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$N2924*IF($O$2884=1,$O2924/$F$2884,1)</f>
        <v/>
      </c>
      <c r="T2924" s="95">
        <f>IF($G2924&lt;nr_MStartP,$S2924,$T2912*(1+IF($G2924&lt;nr_MStartP1,$M$2884,$N$2884)))</f>
        <v/>
      </c>
      <c r="U2924" s="95">
        <f>IF($L$2884,$T2924,$N2924)</f>
        <v/>
      </c>
    </row>
    <row r="2925">
      <c r="A2925" s="90" t="n">
        <v>39</v>
      </c>
      <c r="B2925" s="91">
        <f>EDATE($B2924,1)</f>
        <v/>
      </c>
      <c r="C2925" s="92">
        <f>EOMONTH($B2925,0)</f>
        <v/>
      </c>
      <c r="D2925" s="87">
        <f>$C2925-$B2925+1</f>
        <v/>
      </c>
      <c r="E2925" s="87">
        <f>MONTH($B2925)</f>
        <v/>
      </c>
      <c r="F2925" s="93">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$N2925*IF($O$2884=1,$O2925/$F$2884,1)</f>
        <v/>
      </c>
      <c r="T2925" s="95">
        <f>IF($G2925&lt;nr_MStartP,$S2925,$T2913*(1+IF($G2925&lt;nr_MStartP1,$M$2884,$N$2884)))</f>
        <v/>
      </c>
      <c r="U2925" s="95">
        <f>IF($L$2884,$T2925,$N2925)</f>
        <v/>
      </c>
    </row>
    <row r="2926">
      <c r="A2926" s="90" t="n">
        <v>40</v>
      </c>
      <c r="B2926" s="91">
        <f>EDATE($B2925,1)</f>
        <v/>
      </c>
      <c r="C2926" s="92">
        <f>EOMONTH($B2926,0)</f>
        <v/>
      </c>
      <c r="D2926" s="87">
        <f>$C2926-$B2926+1</f>
        <v/>
      </c>
      <c r="E2926" s="87">
        <f>MONTH($B2926)</f>
        <v/>
      </c>
      <c r="F2926" s="93">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$N2926*IF($O$2884=1,$O2926/$F$2884,1)</f>
        <v/>
      </c>
      <c r="T2926" s="95">
        <f>IF($G2926&lt;nr_MStartP,$S2926,$T2914*(1+IF($G2926&lt;nr_MStartP1,$M$2884,$N$2884)))</f>
        <v/>
      </c>
      <c r="U2926" s="95">
        <f>IF($L$2884,$T2926,$N2926)</f>
        <v/>
      </c>
    </row>
    <row r="2927">
      <c r="A2927" s="90" t="n">
        <v>41</v>
      </c>
      <c r="B2927" s="91">
        <f>EDATE($B2926,1)</f>
        <v/>
      </c>
      <c r="C2927" s="92">
        <f>EOMONTH($B2927,0)</f>
        <v/>
      </c>
      <c r="D2927" s="87">
        <f>$C2927-$B2927+1</f>
        <v/>
      </c>
      <c r="E2927" s="87">
        <f>MONTH($B2927)</f>
        <v/>
      </c>
      <c r="F2927" s="93">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$N2927*IF($O$2884=1,$O2927/$F$2884,1)</f>
        <v/>
      </c>
      <c r="T2927" s="95">
        <f>IF($G2927&lt;nr_MStartP,$S2927,$T2915*(1+IF($G2927&lt;nr_MStartP1,$M$2884,$N$2884)))</f>
        <v/>
      </c>
      <c r="U2927" s="95">
        <f>IF($L$2884,$T2927,$N2927)</f>
        <v/>
      </c>
    </row>
    <row r="2928">
      <c r="A2928" s="90" t="n">
        <v>42</v>
      </c>
      <c r="B2928" s="91">
        <f>EDATE($B2927,1)</f>
        <v/>
      </c>
      <c r="C2928" s="92">
        <f>EOMONTH($B2928,0)</f>
        <v/>
      </c>
      <c r="D2928" s="87">
        <f>$C2928-$B2928+1</f>
        <v/>
      </c>
      <c r="E2928" s="87">
        <f>MONTH($B2928)</f>
        <v/>
      </c>
      <c r="F2928" s="93">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$N2928*IF($O$2884=1,$O2928/$F$2884,1)</f>
        <v/>
      </c>
      <c r="T2928" s="95">
        <f>IF($G2928&lt;nr_MStartP,$S2928,$T2916*(1+IF($G2928&lt;nr_MStartP1,$M$2884,$N$2884)))</f>
        <v/>
      </c>
      <c r="U2928" s="95">
        <f>IF($L$2884,$T2928,$N2928)</f>
        <v/>
      </c>
    </row>
    <row r="2929">
      <c r="A2929" s="90" t="n">
        <v>43</v>
      </c>
      <c r="B2929" s="91">
        <f>EDATE($B2928,1)</f>
        <v/>
      </c>
      <c r="C2929" s="92">
        <f>EOMONTH($B2929,0)</f>
        <v/>
      </c>
      <c r="D2929" s="87">
        <f>$C2929-$B2929+1</f>
        <v/>
      </c>
      <c r="E2929" s="87">
        <f>MONTH($B2929)</f>
        <v/>
      </c>
      <c r="F2929" s="93">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$N2929*IF($O$2884=1,$O2929/$F$2884,1)</f>
        <v/>
      </c>
      <c r="T2929" s="95">
        <f>IF($G2929&lt;nr_MStartP,$S2929,$T2917*(1+IF($G2929&lt;nr_MStartP1,$M$2884,$N$2884)))</f>
        <v/>
      </c>
      <c r="U2929" s="95">
        <f>IF($L$2884,$T2929,$N2929)</f>
        <v/>
      </c>
    </row>
    <row r="2930">
      <c r="A2930" s="90" t="n">
        <v>44</v>
      </c>
      <c r="B2930" s="91">
        <f>EDATE($B2929,1)</f>
        <v/>
      </c>
      <c r="C2930" s="92">
        <f>EOMONTH($B2930,0)</f>
        <v/>
      </c>
      <c r="D2930" s="87">
        <f>$C2930-$B2930+1</f>
        <v/>
      </c>
      <c r="E2930" s="87">
        <f>MONTH($B2930)</f>
        <v/>
      </c>
      <c r="F2930" s="93">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$N2930*IF($O$2884=1,$O2930/$F$2884,1)</f>
        <v/>
      </c>
      <c r="T2930" s="95">
        <f>IF($G2930&lt;nr_MStartP,$S2930,$T2918*(1+IF($G2930&lt;nr_MStartP1,$M$2884,$N$2884)))</f>
        <v/>
      </c>
      <c r="U2930" s="95">
        <f>IF($L$2884,$T2930,$N2930)</f>
        <v/>
      </c>
    </row>
    <row r="2931">
      <c r="A2931" s="90" t="n">
        <v>45</v>
      </c>
      <c r="B2931" s="91">
        <f>EDATE($B2930,1)</f>
        <v/>
      </c>
      <c r="C2931" s="92">
        <f>EOMONTH($B2931,0)</f>
        <v/>
      </c>
      <c r="D2931" s="87">
        <f>$C2931-$B2931+1</f>
        <v/>
      </c>
      <c r="E2931" s="87">
        <f>MONTH($B2931)</f>
        <v/>
      </c>
      <c r="F2931" s="93">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$N2931*IF($O$2884=1,$O2931/$F$2884,1)</f>
        <v/>
      </c>
      <c r="T2931" s="95">
        <f>IF($G2931&lt;nr_MStartP,$S2931,$T2919*(1+IF($G2931&lt;nr_MStartP1,$M$2884,$N$2884)))</f>
        <v/>
      </c>
      <c r="U2931" s="95">
        <f>IF($L$2884,$T2931,$N2931)</f>
        <v/>
      </c>
    </row>
    <row r="2932">
      <c r="A2932" s="90" t="n">
        <v>46</v>
      </c>
      <c r="B2932" s="91">
        <f>EDATE($B2931,1)</f>
        <v/>
      </c>
      <c r="C2932" s="92">
        <f>EOMONTH($B2932,0)</f>
        <v/>
      </c>
      <c r="D2932" s="87">
        <f>$C2932-$B2932+1</f>
        <v/>
      </c>
      <c r="E2932" s="87">
        <f>MONTH($B2932)</f>
        <v/>
      </c>
      <c r="F2932" s="93">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$N2932*IF($O$2884=1,$O2932/$F$2884,1)</f>
        <v/>
      </c>
      <c r="T2932" s="95">
        <f>IF($G2932&lt;nr_MStartP,$S2932,$T2920*(1+IF($G2932&lt;nr_MStartP1,$M$2884,$N$2884)))</f>
        <v/>
      </c>
      <c r="U2932" s="95">
        <f>IF($L$2884,$T2932,$N2932)</f>
        <v/>
      </c>
    </row>
    <row r="2933">
      <c r="A2933" s="90" t="n">
        <v>47</v>
      </c>
      <c r="B2933" s="91">
        <f>EDATE($B2932,1)</f>
        <v/>
      </c>
      <c r="C2933" s="92">
        <f>EOMONTH($B2933,0)</f>
        <v/>
      </c>
      <c r="D2933" s="87">
        <f>$C2933-$B2933+1</f>
        <v/>
      </c>
      <c r="E2933" s="87">
        <f>MONTH($B2933)</f>
        <v/>
      </c>
      <c r="F2933" s="93">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$N2933*IF($O$2884=1,$O2933/$F$2884,1)</f>
        <v/>
      </c>
      <c r="T2933" s="95">
        <f>IF($G2933&lt;nr_MStartP,$S2933,$T2921*(1+IF($G2933&lt;nr_MStartP1,$M$2884,$N$2884)))</f>
        <v/>
      </c>
      <c r="U2933" s="95">
        <f>IF($L$2884,$T2933,$N2933)</f>
        <v/>
      </c>
    </row>
    <row r="2934">
      <c r="A2934" s="90" t="n">
        <v>48</v>
      </c>
      <c r="B2934" s="91">
        <f>EDATE($B2933,1)</f>
        <v/>
      </c>
      <c r="C2934" s="92">
        <f>EOMONTH($B2934,0)</f>
        <v/>
      </c>
      <c r="D2934" s="87">
        <f>$C2934-$B2934+1</f>
        <v/>
      </c>
      <c r="E2934" s="87">
        <f>MONTH($B2934)</f>
        <v/>
      </c>
      <c r="F2934" s="93">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$N2934*IF($O$2884=1,$O2934/$F$2884,1)</f>
        <v/>
      </c>
      <c r="T2934" s="95">
        <f>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04">
        <f>SUMPRODUCT($H$2887:$H$2934,$Q$2887:$Q$2934,$O$2887:$O$2934)/SUMPRODUCT($H$2887:$H$2934,$Q$2887:$Q$2934)</f>
        <v/>
      </c>
      <c r="G2935" s="20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04">
        <f>IF(N(INDEX(lr_mind,54))=0,1,INDEX(lr_mind,54))</f>
        <v/>
      </c>
      <c r="G2938" s="204">
        <f>IF(N(INDEX(lr_m0,54))=0,1,INDEX(lr_m0,54))</f>
        <v/>
      </c>
      <c r="H2938" s="73">
        <f>IF(N(INDEX(lr_m0asof,54))=0,DATE(nr_PlanYear-1,10,1),INDEX(lr_m0asof,54))</f>
        <v/>
      </c>
      <c r="I2938" s="204">
        <f>IF(N(INDEX(lr_m1,54))=0,1,INDEX(lr_m1,54))</f>
        <v/>
      </c>
      <c r="J2938" s="204">
        <f>INDEX(lr_mprior,54)</f>
        <v/>
      </c>
      <c r="K2938" s="20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93">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$N2941*IF($O$2938=1,$O2941/$F$2938,1)</f>
        <v/>
      </c>
      <c r="T2941" s="95">
        <f>IF($G2941&lt;nr_MStartP,$S2941,$T2929*(1+IF($G2941&lt;nr_MStartP1,$M$2938,$N$2938)))</f>
        <v/>
      </c>
      <c r="U2941" s="95">
        <f>IF($L$2938,$T2941,$N2941)</f>
        <v/>
      </c>
    </row>
    <row r="2942">
      <c r="A2942" s="90" t="n">
        <v>2</v>
      </c>
      <c r="B2942" s="91">
        <f>EDATE($B2941,1)</f>
        <v/>
      </c>
      <c r="C2942" s="92">
        <f>EOMONTH($B2942,0)</f>
        <v/>
      </c>
      <c r="D2942" s="87">
        <f>$C2942-$B2942+1</f>
        <v/>
      </c>
      <c r="E2942" s="87">
        <f>MONTH($B2942)</f>
        <v/>
      </c>
      <c r="F2942" s="93">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$N2942*IF($O$2938=1,$O2942/$F$2938,1)</f>
        <v/>
      </c>
      <c r="T2942" s="95">
        <f>IF($G2942&lt;nr_MStartP,$S2942,$T2930*(1+IF($G2942&lt;nr_MStartP1,$M$2938,$N$2938)))</f>
        <v/>
      </c>
      <c r="U2942" s="95">
        <f>IF($L$2938,$T2942,$N2942)</f>
        <v/>
      </c>
    </row>
    <row r="2943">
      <c r="A2943" s="90" t="n">
        <v>3</v>
      </c>
      <c r="B2943" s="91">
        <f>EDATE($B2942,1)</f>
        <v/>
      </c>
      <c r="C2943" s="92">
        <f>EOMONTH($B2943,0)</f>
        <v/>
      </c>
      <c r="D2943" s="87">
        <f>$C2943-$B2943+1</f>
        <v/>
      </c>
      <c r="E2943" s="87">
        <f>MONTH($B2943)</f>
        <v/>
      </c>
      <c r="F2943" s="93">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$N2943*IF($O$2938=1,$O2943/$F$2938,1)</f>
        <v/>
      </c>
      <c r="T2943" s="95">
        <f>IF($G2943&lt;nr_MStartP,$S2943,$T2931*(1+IF($G2943&lt;nr_MStartP1,$M$2938,$N$2938)))</f>
        <v/>
      </c>
      <c r="U2943" s="95">
        <f>IF($L$2938,$T2943,$N2943)</f>
        <v/>
      </c>
    </row>
    <row r="2944">
      <c r="A2944" s="90" t="n">
        <v>4</v>
      </c>
      <c r="B2944" s="91">
        <f>EDATE($B2943,1)</f>
        <v/>
      </c>
      <c r="C2944" s="92">
        <f>EOMONTH($B2944,0)</f>
        <v/>
      </c>
      <c r="D2944" s="87">
        <f>$C2944-$B2944+1</f>
        <v/>
      </c>
      <c r="E2944" s="87">
        <f>MONTH($B2944)</f>
        <v/>
      </c>
      <c r="F2944" s="93">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$N2944*IF($O$2938=1,$O2944/$F$2938,1)</f>
        <v/>
      </c>
      <c r="T2944" s="95">
        <f>IF($G2944&lt;nr_MStartP,$S2944,$T2932*(1+IF($G2944&lt;nr_MStartP1,$M$2938,$N$2938)))</f>
        <v/>
      </c>
      <c r="U2944" s="95">
        <f>IF($L$2938,$T2944,$N2944)</f>
        <v/>
      </c>
    </row>
    <row r="2945">
      <c r="A2945" s="90" t="n">
        <v>5</v>
      </c>
      <c r="B2945" s="91">
        <f>EDATE($B2944,1)</f>
        <v/>
      </c>
      <c r="C2945" s="92">
        <f>EOMONTH($B2945,0)</f>
        <v/>
      </c>
      <c r="D2945" s="87">
        <f>$C2945-$B2945+1</f>
        <v/>
      </c>
      <c r="E2945" s="87">
        <f>MONTH($B2945)</f>
        <v/>
      </c>
      <c r="F2945" s="93">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$N2945*IF($O$2938=1,$O2945/$F$2938,1)</f>
        <v/>
      </c>
      <c r="T2945" s="95">
        <f>IF($G2945&lt;nr_MStartP,$S2945,$T2933*(1+IF($G2945&lt;nr_MStartP1,$M$2938,$N$2938)))</f>
        <v/>
      </c>
      <c r="U2945" s="95">
        <f>IF($L$2938,$T2945,$N2945)</f>
        <v/>
      </c>
    </row>
    <row r="2946">
      <c r="A2946" s="90" t="n">
        <v>6</v>
      </c>
      <c r="B2946" s="91">
        <f>EDATE($B2945,1)</f>
        <v/>
      </c>
      <c r="C2946" s="92">
        <f>EOMONTH($B2946,0)</f>
        <v/>
      </c>
      <c r="D2946" s="87">
        <f>$C2946-$B2946+1</f>
        <v/>
      </c>
      <c r="E2946" s="87">
        <f>MONTH($B2946)</f>
        <v/>
      </c>
      <c r="F2946" s="93">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$N2946*IF($O$2938=1,$O2946/$F$2938,1)</f>
        <v/>
      </c>
      <c r="T2946" s="95">
        <f>IF($G2946&lt;nr_MStartP,$S2946,$T2934*(1+IF($G2946&lt;nr_MStartP1,$M$2938,$N$2938)))</f>
        <v/>
      </c>
      <c r="U2946" s="95">
        <f>IF($L$2938,$T2946,$N2946)</f>
        <v/>
      </c>
    </row>
    <row r="2947">
      <c r="A2947" s="90" t="n">
        <v>7</v>
      </c>
      <c r="B2947" s="91">
        <f>EDATE($B2946,1)</f>
        <v/>
      </c>
      <c r="C2947" s="92">
        <f>EOMONTH($B2947,0)</f>
        <v/>
      </c>
      <c r="D2947" s="87">
        <f>$C2947-$B2947+1</f>
        <v/>
      </c>
      <c r="E2947" s="87">
        <f>MONTH($B2947)</f>
        <v/>
      </c>
      <c r="F2947" s="93">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$N2947*IF($O$2938=1,$O2947/$F$2938,1)</f>
        <v/>
      </c>
      <c r="T2947" s="95">
        <f>IF($G2947&lt;nr_MStartP,$S2947,$T2935*(1+IF($G2947&lt;nr_MStartP1,$M$2938,$N$2938)))</f>
        <v/>
      </c>
      <c r="U2947" s="95">
        <f>IF($L$2938,$T2947,$N2947)</f>
        <v/>
      </c>
    </row>
    <row r="2948">
      <c r="A2948" s="90" t="n">
        <v>8</v>
      </c>
      <c r="B2948" s="91">
        <f>EDATE($B2947,1)</f>
        <v/>
      </c>
      <c r="C2948" s="92">
        <f>EOMONTH($B2948,0)</f>
        <v/>
      </c>
      <c r="D2948" s="87">
        <f>$C2948-$B2948+1</f>
        <v/>
      </c>
      <c r="E2948" s="87">
        <f>MONTH($B2948)</f>
        <v/>
      </c>
      <c r="F2948" s="93">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$N2948*IF($O$2938=1,$O2948/$F$2938,1)</f>
        <v/>
      </c>
      <c r="T2948" s="95">
        <f>IF($G2948&lt;nr_MStartP,$S2948,$T2936*(1+IF($G2948&lt;nr_MStartP1,$M$2938,$N$2938)))</f>
        <v/>
      </c>
      <c r="U2948" s="95">
        <f>IF($L$2938,$T2948,$N2948)</f>
        <v/>
      </c>
    </row>
    <row r="2949">
      <c r="A2949" s="90" t="n">
        <v>9</v>
      </c>
      <c r="B2949" s="91">
        <f>EDATE($B2948,1)</f>
        <v/>
      </c>
      <c r="C2949" s="92">
        <f>EOMONTH($B2949,0)</f>
        <v/>
      </c>
      <c r="D2949" s="87">
        <f>$C2949-$B2949+1</f>
        <v/>
      </c>
      <c r="E2949" s="87">
        <f>MONTH($B2949)</f>
        <v/>
      </c>
      <c r="F2949" s="93">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$N2949*IF($O$2938=1,$O2949/$F$2938,1)</f>
        <v/>
      </c>
      <c r="T2949" s="95">
        <f>IF($G2949&lt;nr_MStartP,$S2949,$T2937*(1+IF($G2949&lt;nr_MStartP1,$M$2938,$N$2938)))</f>
        <v/>
      </c>
      <c r="U2949" s="95">
        <f>IF($L$2938,$T2949,$N2949)</f>
        <v/>
      </c>
    </row>
    <row r="2950">
      <c r="A2950" s="90" t="n">
        <v>10</v>
      </c>
      <c r="B2950" s="91">
        <f>EDATE($B2949,1)</f>
        <v/>
      </c>
      <c r="C2950" s="92">
        <f>EOMONTH($B2950,0)</f>
        <v/>
      </c>
      <c r="D2950" s="87">
        <f>$C2950-$B2950+1</f>
        <v/>
      </c>
      <c r="E2950" s="87">
        <f>MONTH($B2950)</f>
        <v/>
      </c>
      <c r="F2950" s="93">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$N2950*IF($O$2938=1,$O2950/$F$2938,1)</f>
        <v/>
      </c>
      <c r="T2950" s="95">
        <f>IF($G2950&lt;nr_MStartP,$S2950,$T2938*(1+IF($G2950&lt;nr_MStartP1,$M$2938,$N$2938)))</f>
        <v/>
      </c>
      <c r="U2950" s="95">
        <f>IF($L$2938,$T2950,$N2950)</f>
        <v/>
      </c>
    </row>
    <row r="2951">
      <c r="A2951" s="90" t="n">
        <v>11</v>
      </c>
      <c r="B2951" s="91">
        <f>EDATE($B2950,1)</f>
        <v/>
      </c>
      <c r="C2951" s="92">
        <f>EOMONTH($B2951,0)</f>
        <v/>
      </c>
      <c r="D2951" s="87">
        <f>$C2951-$B2951+1</f>
        <v/>
      </c>
      <c r="E2951" s="87">
        <f>MONTH($B2951)</f>
        <v/>
      </c>
      <c r="F2951" s="93">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$N2951*IF($O$2938=1,$O2951/$F$2938,1)</f>
        <v/>
      </c>
      <c r="T2951" s="95">
        <f>IF($G2951&lt;nr_MStartP,$S2951,$T2939*(1+IF($G2951&lt;nr_MStartP1,$M$2938,$N$2938)))</f>
        <v/>
      </c>
      <c r="U2951" s="95">
        <f>IF($L$2938,$T2951,$N2951)</f>
        <v/>
      </c>
    </row>
    <row r="2952">
      <c r="A2952" s="90" t="n">
        <v>12</v>
      </c>
      <c r="B2952" s="91">
        <f>EDATE($B2951,1)</f>
        <v/>
      </c>
      <c r="C2952" s="92">
        <f>EOMONTH($B2952,0)</f>
        <v/>
      </c>
      <c r="D2952" s="87">
        <f>$C2952-$B2952+1</f>
        <v/>
      </c>
      <c r="E2952" s="87">
        <f>MONTH($B2952)</f>
        <v/>
      </c>
      <c r="F2952" s="93">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$N2952*IF($O$2938=1,$O2952/$F$2938,1)</f>
        <v/>
      </c>
      <c r="T2952" s="95">
        <f>IF($G2952&lt;nr_MStartP,$S2952,$T2940*(1+IF($G2952&lt;nr_MStartP1,$M$2938,$N$2938)))</f>
        <v/>
      </c>
      <c r="U2952" s="95">
        <f>IF($L$2938,$T2952,$N2952)</f>
        <v/>
      </c>
    </row>
    <row r="2953">
      <c r="A2953" s="90" t="n">
        <v>13</v>
      </c>
      <c r="B2953" s="91">
        <f>EDATE($B2952,1)</f>
        <v/>
      </c>
      <c r="C2953" s="92">
        <f>EOMONTH($B2953,0)</f>
        <v/>
      </c>
      <c r="D2953" s="87">
        <f>$C2953-$B2953+1</f>
        <v/>
      </c>
      <c r="E2953" s="87">
        <f>MONTH($B2953)</f>
        <v/>
      </c>
      <c r="F2953" s="93">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$N2953*IF($O$2938=1,$O2953/$F$2938,1)</f>
        <v/>
      </c>
      <c r="T2953" s="95">
        <f>IF($G2953&lt;nr_MStartP,$S2953,$T2941*(1+IF($G2953&lt;nr_MStartP1,$M$2938,$N$2938)))</f>
        <v/>
      </c>
      <c r="U2953" s="95">
        <f>IF($L$2938,$T2953,$N2953)</f>
        <v/>
      </c>
    </row>
    <row r="2954">
      <c r="A2954" s="90" t="n">
        <v>14</v>
      </c>
      <c r="B2954" s="91">
        <f>EDATE($B2953,1)</f>
        <v/>
      </c>
      <c r="C2954" s="92">
        <f>EOMONTH($B2954,0)</f>
        <v/>
      </c>
      <c r="D2954" s="87">
        <f>$C2954-$B2954+1</f>
        <v/>
      </c>
      <c r="E2954" s="87">
        <f>MONTH($B2954)</f>
        <v/>
      </c>
      <c r="F2954" s="93">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$N2954*IF($O$2938=1,$O2954/$F$2938,1)</f>
        <v/>
      </c>
      <c r="T2954" s="95">
        <f>IF($G2954&lt;nr_MStartP,$S2954,$T2942*(1+IF($G2954&lt;nr_MStartP1,$M$2938,$N$2938)))</f>
        <v/>
      </c>
      <c r="U2954" s="95">
        <f>IF($L$2938,$T2954,$N2954)</f>
        <v/>
      </c>
    </row>
    <row r="2955">
      <c r="A2955" s="90" t="n">
        <v>15</v>
      </c>
      <c r="B2955" s="91">
        <f>EDATE($B2954,1)</f>
        <v/>
      </c>
      <c r="C2955" s="92">
        <f>EOMONTH($B2955,0)</f>
        <v/>
      </c>
      <c r="D2955" s="87">
        <f>$C2955-$B2955+1</f>
        <v/>
      </c>
      <c r="E2955" s="87">
        <f>MONTH($B2955)</f>
        <v/>
      </c>
      <c r="F2955" s="93">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$N2955*IF($O$2938=1,$O2955/$F$2938,1)</f>
        <v/>
      </c>
      <c r="T2955" s="95">
        <f>IF($G2955&lt;nr_MStartP,$S2955,$T2943*(1+IF($G2955&lt;nr_MStartP1,$M$2938,$N$2938)))</f>
        <v/>
      </c>
      <c r="U2955" s="95">
        <f>IF($L$2938,$T2955,$N2955)</f>
        <v/>
      </c>
    </row>
    <row r="2956">
      <c r="A2956" s="90" t="n">
        <v>16</v>
      </c>
      <c r="B2956" s="91">
        <f>EDATE($B2955,1)</f>
        <v/>
      </c>
      <c r="C2956" s="92">
        <f>EOMONTH($B2956,0)</f>
        <v/>
      </c>
      <c r="D2956" s="87">
        <f>$C2956-$B2956+1</f>
        <v/>
      </c>
      <c r="E2956" s="87">
        <f>MONTH($B2956)</f>
        <v/>
      </c>
      <c r="F2956" s="93">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$N2956*IF($O$2938=1,$O2956/$F$2938,1)</f>
        <v/>
      </c>
      <c r="T2956" s="95">
        <f>IF($G2956&lt;nr_MStartP,$S2956,$T2944*(1+IF($G2956&lt;nr_MStartP1,$M$2938,$N$2938)))</f>
        <v/>
      </c>
      <c r="U2956" s="95">
        <f>IF($L$2938,$T2956,$N2956)</f>
        <v/>
      </c>
    </row>
    <row r="2957">
      <c r="A2957" s="90" t="n">
        <v>17</v>
      </c>
      <c r="B2957" s="91">
        <f>EDATE($B2956,1)</f>
        <v/>
      </c>
      <c r="C2957" s="92">
        <f>EOMONTH($B2957,0)</f>
        <v/>
      </c>
      <c r="D2957" s="87">
        <f>$C2957-$B2957+1</f>
        <v/>
      </c>
      <c r="E2957" s="87">
        <f>MONTH($B2957)</f>
        <v/>
      </c>
      <c r="F2957" s="93">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$N2957*IF($O$2938=1,$O2957/$F$2938,1)</f>
        <v/>
      </c>
      <c r="T2957" s="95">
        <f>IF($G2957&lt;nr_MStartP,$S2957,$T2945*(1+IF($G2957&lt;nr_MStartP1,$M$2938,$N$2938)))</f>
        <v/>
      </c>
      <c r="U2957" s="95">
        <f>IF($L$2938,$T2957,$N2957)</f>
        <v/>
      </c>
    </row>
    <row r="2958">
      <c r="A2958" s="90" t="n">
        <v>18</v>
      </c>
      <c r="B2958" s="91">
        <f>EDATE($B2957,1)</f>
        <v/>
      </c>
      <c r="C2958" s="92">
        <f>EOMONTH($B2958,0)</f>
        <v/>
      </c>
      <c r="D2958" s="87">
        <f>$C2958-$B2958+1</f>
        <v/>
      </c>
      <c r="E2958" s="87">
        <f>MONTH($B2958)</f>
        <v/>
      </c>
      <c r="F2958" s="93">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$N2958*IF($O$2938=1,$O2958/$F$2938,1)</f>
        <v/>
      </c>
      <c r="T2958" s="95">
        <f>IF($G2958&lt;nr_MStartP,$S2958,$T2946*(1+IF($G2958&lt;nr_MStartP1,$M$2938,$N$2938)))</f>
        <v/>
      </c>
      <c r="U2958" s="95">
        <f>IF($L$2938,$T2958,$N2958)</f>
        <v/>
      </c>
    </row>
    <row r="2959">
      <c r="A2959" s="90" t="n">
        <v>19</v>
      </c>
      <c r="B2959" s="91">
        <f>EDATE($B2958,1)</f>
        <v/>
      </c>
      <c r="C2959" s="92">
        <f>EOMONTH($B2959,0)</f>
        <v/>
      </c>
      <c r="D2959" s="87">
        <f>$C2959-$B2959+1</f>
        <v/>
      </c>
      <c r="E2959" s="87">
        <f>MONTH($B2959)</f>
        <v/>
      </c>
      <c r="F2959" s="93">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$N2959*IF($O$2938=1,$O2959/$F$2938,1)</f>
        <v/>
      </c>
      <c r="T2959" s="95">
        <f>IF($G2959&lt;nr_MStartP,$S2959,$T2947*(1+IF($G2959&lt;nr_MStartP1,$M$2938,$N$2938)))</f>
        <v/>
      </c>
      <c r="U2959" s="95">
        <f>IF($L$2938,$T2959,$N2959)</f>
        <v/>
      </c>
    </row>
    <row r="2960">
      <c r="A2960" s="90" t="n">
        <v>20</v>
      </c>
      <c r="B2960" s="91">
        <f>EDATE($B2959,1)</f>
        <v/>
      </c>
      <c r="C2960" s="92">
        <f>EOMONTH($B2960,0)</f>
        <v/>
      </c>
      <c r="D2960" s="87">
        <f>$C2960-$B2960+1</f>
        <v/>
      </c>
      <c r="E2960" s="87">
        <f>MONTH($B2960)</f>
        <v/>
      </c>
      <c r="F2960" s="93">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$N2960*IF($O$2938=1,$O2960/$F$2938,1)</f>
        <v/>
      </c>
      <c r="T2960" s="95">
        <f>IF($G2960&lt;nr_MStartP,$S2960,$T2948*(1+IF($G2960&lt;nr_MStartP1,$M$2938,$N$2938)))</f>
        <v/>
      </c>
      <c r="U2960" s="95">
        <f>IF($L$2938,$T2960,$N2960)</f>
        <v/>
      </c>
    </row>
    <row r="2961">
      <c r="A2961" s="90" t="n">
        <v>21</v>
      </c>
      <c r="B2961" s="91">
        <f>EDATE($B2960,1)</f>
        <v/>
      </c>
      <c r="C2961" s="92">
        <f>EOMONTH($B2961,0)</f>
        <v/>
      </c>
      <c r="D2961" s="87">
        <f>$C2961-$B2961+1</f>
        <v/>
      </c>
      <c r="E2961" s="87">
        <f>MONTH($B2961)</f>
        <v/>
      </c>
      <c r="F2961" s="93">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$N2961*IF($O$2938=1,$O2961/$F$2938,1)</f>
        <v/>
      </c>
      <c r="T2961" s="95">
        <f>IF($G2961&lt;nr_MStartP,$S2961,$T2949*(1+IF($G2961&lt;nr_MStartP1,$M$2938,$N$2938)))</f>
        <v/>
      </c>
      <c r="U2961" s="95">
        <f>IF($L$2938,$T2961,$N2961)</f>
        <v/>
      </c>
    </row>
    <row r="2962">
      <c r="A2962" s="90" t="n">
        <v>22</v>
      </c>
      <c r="B2962" s="91">
        <f>EDATE($B2961,1)</f>
        <v/>
      </c>
      <c r="C2962" s="92">
        <f>EOMONTH($B2962,0)</f>
        <v/>
      </c>
      <c r="D2962" s="87">
        <f>$C2962-$B2962+1</f>
        <v/>
      </c>
      <c r="E2962" s="87">
        <f>MONTH($B2962)</f>
        <v/>
      </c>
      <c r="F2962" s="93">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$N2962*IF($O$2938=1,$O2962/$F$2938,1)</f>
        <v/>
      </c>
      <c r="T2962" s="95">
        <f>IF($G2962&lt;nr_MStartP,$S2962,$T2950*(1+IF($G2962&lt;nr_MStartP1,$M$2938,$N$2938)))</f>
        <v/>
      </c>
      <c r="U2962" s="95">
        <f>IF($L$2938,$T2962,$N2962)</f>
        <v/>
      </c>
    </row>
    <row r="2963">
      <c r="A2963" s="90" t="n">
        <v>23</v>
      </c>
      <c r="B2963" s="91">
        <f>EDATE($B2962,1)</f>
        <v/>
      </c>
      <c r="C2963" s="92">
        <f>EOMONTH($B2963,0)</f>
        <v/>
      </c>
      <c r="D2963" s="87">
        <f>$C2963-$B2963+1</f>
        <v/>
      </c>
      <c r="E2963" s="87">
        <f>MONTH($B2963)</f>
        <v/>
      </c>
      <c r="F2963" s="93">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$N2963*IF($O$2938=1,$O2963/$F$2938,1)</f>
        <v/>
      </c>
      <c r="T2963" s="95">
        <f>IF($G2963&lt;nr_MStartP,$S2963,$T2951*(1+IF($G2963&lt;nr_MStartP1,$M$2938,$N$2938)))</f>
        <v/>
      </c>
      <c r="U2963" s="95">
        <f>IF($L$2938,$T2963,$N2963)</f>
        <v/>
      </c>
    </row>
    <row r="2964">
      <c r="A2964" s="90" t="n">
        <v>24</v>
      </c>
      <c r="B2964" s="91">
        <f>EDATE($B2963,1)</f>
        <v/>
      </c>
      <c r="C2964" s="92">
        <f>EOMONTH($B2964,0)</f>
        <v/>
      </c>
      <c r="D2964" s="87">
        <f>$C2964-$B2964+1</f>
        <v/>
      </c>
      <c r="E2964" s="87">
        <f>MONTH($B2964)</f>
        <v/>
      </c>
      <c r="F2964" s="93">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$N2964*IF($O$2938=1,$O2964/$F$2938,1)</f>
        <v/>
      </c>
      <c r="T2964" s="95">
        <f>IF($G2964&lt;nr_MStartP,$S2964,$T2952*(1+IF($G2964&lt;nr_MStartP1,$M$2938,$N$2938)))</f>
        <v/>
      </c>
      <c r="U2964" s="95">
        <f>IF($L$2938,$T2964,$N2964)</f>
        <v/>
      </c>
    </row>
    <row r="2965">
      <c r="A2965" s="90" t="n">
        <v>25</v>
      </c>
      <c r="B2965" s="91">
        <f>EDATE($B2964,1)</f>
        <v/>
      </c>
      <c r="C2965" s="92">
        <f>EOMONTH($B2965,0)</f>
        <v/>
      </c>
      <c r="D2965" s="87">
        <f>$C2965-$B2965+1</f>
        <v/>
      </c>
      <c r="E2965" s="87">
        <f>MONTH($B2965)</f>
        <v/>
      </c>
      <c r="F2965" s="93">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$N2965*IF($O$2938=1,$O2965/$F$2938,1)</f>
        <v/>
      </c>
      <c r="T2965" s="95">
        <f>IF($G2965&lt;nr_MStartP,$S2965,$T2953*(1+IF($G2965&lt;nr_MStartP1,$M$2938,$N$2938)))</f>
        <v/>
      </c>
      <c r="U2965" s="95">
        <f>IF($L$2938,$T2965,$N2965)</f>
        <v/>
      </c>
    </row>
    <row r="2966">
      <c r="A2966" s="90" t="n">
        <v>26</v>
      </c>
      <c r="B2966" s="91">
        <f>EDATE($B2965,1)</f>
        <v/>
      </c>
      <c r="C2966" s="92">
        <f>EOMONTH($B2966,0)</f>
        <v/>
      </c>
      <c r="D2966" s="87">
        <f>$C2966-$B2966+1</f>
        <v/>
      </c>
      <c r="E2966" s="87">
        <f>MONTH($B2966)</f>
        <v/>
      </c>
      <c r="F2966" s="93">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$N2966*IF($O$2938=1,$O2966/$F$2938,1)</f>
        <v/>
      </c>
      <c r="T2966" s="95">
        <f>IF($G2966&lt;nr_MStartP,$S2966,$T2954*(1+IF($G2966&lt;nr_MStartP1,$M$2938,$N$2938)))</f>
        <v/>
      </c>
      <c r="U2966" s="95">
        <f>IF($L$2938,$T2966,$N2966)</f>
        <v/>
      </c>
    </row>
    <row r="2967">
      <c r="A2967" s="90" t="n">
        <v>27</v>
      </c>
      <c r="B2967" s="91">
        <f>EDATE($B2966,1)</f>
        <v/>
      </c>
      <c r="C2967" s="92">
        <f>EOMONTH($B2967,0)</f>
        <v/>
      </c>
      <c r="D2967" s="87">
        <f>$C2967-$B2967+1</f>
        <v/>
      </c>
      <c r="E2967" s="87">
        <f>MONTH($B2967)</f>
        <v/>
      </c>
      <c r="F2967" s="93">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$N2967*IF($O$2938=1,$O2967/$F$2938,1)</f>
        <v/>
      </c>
      <c r="T2967" s="95">
        <f>IF($G2967&lt;nr_MStartP,$S2967,$T2955*(1+IF($G2967&lt;nr_MStartP1,$M$2938,$N$2938)))</f>
        <v/>
      </c>
      <c r="U2967" s="95">
        <f>IF($L$2938,$T2967,$N2967)</f>
        <v/>
      </c>
    </row>
    <row r="2968">
      <c r="A2968" s="90" t="n">
        <v>28</v>
      </c>
      <c r="B2968" s="91">
        <f>EDATE($B2967,1)</f>
        <v/>
      </c>
      <c r="C2968" s="92">
        <f>EOMONTH($B2968,0)</f>
        <v/>
      </c>
      <c r="D2968" s="87">
        <f>$C2968-$B2968+1</f>
        <v/>
      </c>
      <c r="E2968" s="87">
        <f>MONTH($B2968)</f>
        <v/>
      </c>
      <c r="F2968" s="93">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$N2968*IF($O$2938=1,$O2968/$F$2938,1)</f>
        <v/>
      </c>
      <c r="T2968" s="95">
        <f>IF($G2968&lt;nr_MStartP,$S2968,$T2956*(1+IF($G2968&lt;nr_MStartP1,$M$2938,$N$2938)))</f>
        <v/>
      </c>
      <c r="U2968" s="95">
        <f>IF($L$2938,$T2968,$N2968)</f>
        <v/>
      </c>
    </row>
    <row r="2969">
      <c r="A2969" s="90" t="n">
        <v>29</v>
      </c>
      <c r="B2969" s="91">
        <f>EDATE($B2968,1)</f>
        <v/>
      </c>
      <c r="C2969" s="92">
        <f>EOMONTH($B2969,0)</f>
        <v/>
      </c>
      <c r="D2969" s="87">
        <f>$C2969-$B2969+1</f>
        <v/>
      </c>
      <c r="E2969" s="87">
        <f>MONTH($B2969)</f>
        <v/>
      </c>
      <c r="F2969" s="93">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$N2969*IF($O$2938=1,$O2969/$F$2938,1)</f>
        <v/>
      </c>
      <c r="T2969" s="95">
        <f>IF($G2969&lt;nr_MStartP,$S2969,$T2957*(1+IF($G2969&lt;nr_MStartP1,$M$2938,$N$2938)))</f>
        <v/>
      </c>
      <c r="U2969" s="95">
        <f>IF($L$2938,$T2969,$N2969)</f>
        <v/>
      </c>
    </row>
    <row r="2970">
      <c r="A2970" s="90" t="n">
        <v>30</v>
      </c>
      <c r="B2970" s="91">
        <f>EDATE($B2969,1)</f>
        <v/>
      </c>
      <c r="C2970" s="92">
        <f>EOMONTH($B2970,0)</f>
        <v/>
      </c>
      <c r="D2970" s="87">
        <f>$C2970-$B2970+1</f>
        <v/>
      </c>
      <c r="E2970" s="87">
        <f>MONTH($B2970)</f>
        <v/>
      </c>
      <c r="F2970" s="93">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$N2970*IF($O$2938=1,$O2970/$F$2938,1)</f>
        <v/>
      </c>
      <c r="T2970" s="95">
        <f>IF($G2970&lt;nr_MStartP,$S2970,$T2958*(1+IF($G2970&lt;nr_MStartP1,$M$2938,$N$2938)))</f>
        <v/>
      </c>
      <c r="U2970" s="95">
        <f>IF($L$2938,$T2970,$N2970)</f>
        <v/>
      </c>
    </row>
    <row r="2971">
      <c r="A2971" s="90" t="n">
        <v>31</v>
      </c>
      <c r="B2971" s="91">
        <f>EDATE($B2970,1)</f>
        <v/>
      </c>
      <c r="C2971" s="92">
        <f>EOMONTH($B2971,0)</f>
        <v/>
      </c>
      <c r="D2971" s="87">
        <f>$C2971-$B2971+1</f>
        <v/>
      </c>
      <c r="E2971" s="87">
        <f>MONTH($B2971)</f>
        <v/>
      </c>
      <c r="F2971" s="93">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$N2971*IF($O$2938=1,$O2971/$F$2938,1)</f>
        <v/>
      </c>
      <c r="T2971" s="95">
        <f>IF($G2971&lt;nr_MStartP,$S2971,$T2959*(1+IF($G2971&lt;nr_MStartP1,$M$2938,$N$2938)))</f>
        <v/>
      </c>
      <c r="U2971" s="95">
        <f>IF($L$2938,$T2971,$N2971)</f>
        <v/>
      </c>
    </row>
    <row r="2972">
      <c r="A2972" s="90" t="n">
        <v>32</v>
      </c>
      <c r="B2972" s="91">
        <f>EDATE($B2971,1)</f>
        <v/>
      </c>
      <c r="C2972" s="92">
        <f>EOMONTH($B2972,0)</f>
        <v/>
      </c>
      <c r="D2972" s="87">
        <f>$C2972-$B2972+1</f>
        <v/>
      </c>
      <c r="E2972" s="87">
        <f>MONTH($B2972)</f>
        <v/>
      </c>
      <c r="F2972" s="93">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$N2972*IF($O$2938=1,$O2972/$F$2938,1)</f>
        <v/>
      </c>
      <c r="T2972" s="95">
        <f>IF($G2972&lt;nr_MStartP,$S2972,$T2960*(1+IF($G2972&lt;nr_MStartP1,$M$2938,$N$2938)))</f>
        <v/>
      </c>
      <c r="U2972" s="95">
        <f>IF($L$2938,$T2972,$N2972)</f>
        <v/>
      </c>
    </row>
    <row r="2973">
      <c r="A2973" s="90" t="n">
        <v>33</v>
      </c>
      <c r="B2973" s="91">
        <f>EDATE($B2972,1)</f>
        <v/>
      </c>
      <c r="C2973" s="92">
        <f>EOMONTH($B2973,0)</f>
        <v/>
      </c>
      <c r="D2973" s="87">
        <f>$C2973-$B2973+1</f>
        <v/>
      </c>
      <c r="E2973" s="87">
        <f>MONTH($B2973)</f>
        <v/>
      </c>
      <c r="F2973" s="93">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$N2973*IF($O$2938=1,$O2973/$F$2938,1)</f>
        <v/>
      </c>
      <c r="T2973" s="95">
        <f>IF($G2973&lt;nr_MStartP,$S2973,$T2961*(1+IF($G2973&lt;nr_MStartP1,$M$2938,$N$2938)))</f>
        <v/>
      </c>
      <c r="U2973" s="95">
        <f>IF($L$2938,$T2973,$N2973)</f>
        <v/>
      </c>
    </row>
    <row r="2974">
      <c r="A2974" s="90" t="n">
        <v>34</v>
      </c>
      <c r="B2974" s="91">
        <f>EDATE($B2973,1)</f>
        <v/>
      </c>
      <c r="C2974" s="92">
        <f>EOMONTH($B2974,0)</f>
        <v/>
      </c>
      <c r="D2974" s="87">
        <f>$C2974-$B2974+1</f>
        <v/>
      </c>
      <c r="E2974" s="87">
        <f>MONTH($B2974)</f>
        <v/>
      </c>
      <c r="F2974" s="93">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$N2974*IF($O$2938=1,$O2974/$F$2938,1)</f>
        <v/>
      </c>
      <c r="T2974" s="95">
        <f>IF($G2974&lt;nr_MStartP,$S2974,$T2962*(1+IF($G2974&lt;nr_MStartP1,$M$2938,$N$2938)))</f>
        <v/>
      </c>
      <c r="U2974" s="95">
        <f>IF($L$2938,$T2974,$N2974)</f>
        <v/>
      </c>
    </row>
    <row r="2975">
      <c r="A2975" s="90" t="n">
        <v>35</v>
      </c>
      <c r="B2975" s="91">
        <f>EDATE($B2974,1)</f>
        <v/>
      </c>
      <c r="C2975" s="92">
        <f>EOMONTH($B2975,0)</f>
        <v/>
      </c>
      <c r="D2975" s="87">
        <f>$C2975-$B2975+1</f>
        <v/>
      </c>
      <c r="E2975" s="87">
        <f>MONTH($B2975)</f>
        <v/>
      </c>
      <c r="F2975" s="93">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$N2975*IF($O$2938=1,$O2975/$F$2938,1)</f>
        <v/>
      </c>
      <c r="T2975" s="95">
        <f>IF($G2975&lt;nr_MStartP,$S2975,$T2963*(1+IF($G2975&lt;nr_MStartP1,$M$2938,$N$2938)))</f>
        <v/>
      </c>
      <c r="U2975" s="95">
        <f>IF($L$2938,$T2975,$N2975)</f>
        <v/>
      </c>
    </row>
    <row r="2976">
      <c r="A2976" s="90" t="n">
        <v>36</v>
      </c>
      <c r="B2976" s="91">
        <f>EDATE($B2975,1)</f>
        <v/>
      </c>
      <c r="C2976" s="92">
        <f>EOMONTH($B2976,0)</f>
        <v/>
      </c>
      <c r="D2976" s="87">
        <f>$C2976-$B2976+1</f>
        <v/>
      </c>
      <c r="E2976" s="87">
        <f>MONTH($B2976)</f>
        <v/>
      </c>
      <c r="F2976" s="93">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$N2976*IF($O$2938=1,$O2976/$F$2938,1)</f>
        <v/>
      </c>
      <c r="T2976" s="95">
        <f>IF($G2976&lt;nr_MStartP,$S2976,$T2964*(1+IF($G2976&lt;nr_MStartP1,$M$2938,$N$2938)))</f>
        <v/>
      </c>
      <c r="U2976" s="95">
        <f>IF($L$2938,$T2976,$N2976)</f>
        <v/>
      </c>
    </row>
    <row r="2977">
      <c r="A2977" s="90" t="n">
        <v>37</v>
      </c>
      <c r="B2977" s="91">
        <f>EDATE($B2976,1)</f>
        <v/>
      </c>
      <c r="C2977" s="92">
        <f>EOMONTH($B2977,0)</f>
        <v/>
      </c>
      <c r="D2977" s="87">
        <f>$C2977-$B2977+1</f>
        <v/>
      </c>
      <c r="E2977" s="87">
        <f>MONTH($B2977)</f>
        <v/>
      </c>
      <c r="F2977" s="93">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$N2977*IF($O$2938=1,$O2977/$F$2938,1)</f>
        <v/>
      </c>
      <c r="T2977" s="95">
        <f>IF($G2977&lt;nr_MStartP,$S2977,$T2965*(1+IF($G2977&lt;nr_MStartP1,$M$2938,$N$2938)))</f>
        <v/>
      </c>
      <c r="U2977" s="95">
        <f>IF($L$2938,$T2977,$N2977)</f>
        <v/>
      </c>
    </row>
    <row r="2978">
      <c r="A2978" s="90" t="n">
        <v>38</v>
      </c>
      <c r="B2978" s="91">
        <f>EDATE($B2977,1)</f>
        <v/>
      </c>
      <c r="C2978" s="92">
        <f>EOMONTH($B2978,0)</f>
        <v/>
      </c>
      <c r="D2978" s="87">
        <f>$C2978-$B2978+1</f>
        <v/>
      </c>
      <c r="E2978" s="87">
        <f>MONTH($B2978)</f>
        <v/>
      </c>
      <c r="F2978" s="93">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$N2978*IF($O$2938=1,$O2978/$F$2938,1)</f>
        <v/>
      </c>
      <c r="T2978" s="95">
        <f>IF($G2978&lt;nr_MStartP,$S2978,$T2966*(1+IF($G2978&lt;nr_MStartP1,$M$2938,$N$2938)))</f>
        <v/>
      </c>
      <c r="U2978" s="95">
        <f>IF($L$2938,$T2978,$N2978)</f>
        <v/>
      </c>
    </row>
    <row r="2979">
      <c r="A2979" s="90" t="n">
        <v>39</v>
      </c>
      <c r="B2979" s="91">
        <f>EDATE($B2978,1)</f>
        <v/>
      </c>
      <c r="C2979" s="92">
        <f>EOMONTH($B2979,0)</f>
        <v/>
      </c>
      <c r="D2979" s="87">
        <f>$C2979-$B2979+1</f>
        <v/>
      </c>
      <c r="E2979" s="87">
        <f>MONTH($B2979)</f>
        <v/>
      </c>
      <c r="F2979" s="93">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$N2979*IF($O$2938=1,$O2979/$F$2938,1)</f>
        <v/>
      </c>
      <c r="T2979" s="95">
        <f>IF($G2979&lt;nr_MStartP,$S2979,$T2967*(1+IF($G2979&lt;nr_MStartP1,$M$2938,$N$2938)))</f>
        <v/>
      </c>
      <c r="U2979" s="95">
        <f>IF($L$2938,$T2979,$N2979)</f>
        <v/>
      </c>
    </row>
    <row r="2980">
      <c r="A2980" s="90" t="n">
        <v>40</v>
      </c>
      <c r="B2980" s="91">
        <f>EDATE($B2979,1)</f>
        <v/>
      </c>
      <c r="C2980" s="92">
        <f>EOMONTH($B2980,0)</f>
        <v/>
      </c>
      <c r="D2980" s="87">
        <f>$C2980-$B2980+1</f>
        <v/>
      </c>
      <c r="E2980" s="87">
        <f>MONTH($B2980)</f>
        <v/>
      </c>
      <c r="F2980" s="93">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$N2980*IF($O$2938=1,$O2980/$F$2938,1)</f>
        <v/>
      </c>
      <c r="T2980" s="95">
        <f>IF($G2980&lt;nr_MStartP,$S2980,$T2968*(1+IF($G2980&lt;nr_MStartP1,$M$2938,$N$2938)))</f>
        <v/>
      </c>
      <c r="U2980" s="95">
        <f>IF($L$2938,$T2980,$N2980)</f>
        <v/>
      </c>
    </row>
    <row r="2981">
      <c r="A2981" s="90" t="n">
        <v>41</v>
      </c>
      <c r="B2981" s="91">
        <f>EDATE($B2980,1)</f>
        <v/>
      </c>
      <c r="C2981" s="92">
        <f>EOMONTH($B2981,0)</f>
        <v/>
      </c>
      <c r="D2981" s="87">
        <f>$C2981-$B2981+1</f>
        <v/>
      </c>
      <c r="E2981" s="87">
        <f>MONTH($B2981)</f>
        <v/>
      </c>
      <c r="F2981" s="93">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$N2981*IF($O$2938=1,$O2981/$F$2938,1)</f>
        <v/>
      </c>
      <c r="T2981" s="95">
        <f>IF($G2981&lt;nr_MStartP,$S2981,$T2969*(1+IF($G2981&lt;nr_MStartP1,$M$2938,$N$2938)))</f>
        <v/>
      </c>
      <c r="U2981" s="95">
        <f>IF($L$2938,$T2981,$N2981)</f>
        <v/>
      </c>
    </row>
    <row r="2982">
      <c r="A2982" s="90" t="n">
        <v>42</v>
      </c>
      <c r="B2982" s="91">
        <f>EDATE($B2981,1)</f>
        <v/>
      </c>
      <c r="C2982" s="92">
        <f>EOMONTH($B2982,0)</f>
        <v/>
      </c>
      <c r="D2982" s="87">
        <f>$C2982-$B2982+1</f>
        <v/>
      </c>
      <c r="E2982" s="87">
        <f>MONTH($B2982)</f>
        <v/>
      </c>
      <c r="F2982" s="93">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$N2982*IF($O$2938=1,$O2982/$F$2938,1)</f>
        <v/>
      </c>
      <c r="T2982" s="95">
        <f>IF($G2982&lt;nr_MStartP,$S2982,$T2970*(1+IF($G2982&lt;nr_MStartP1,$M$2938,$N$2938)))</f>
        <v/>
      </c>
      <c r="U2982" s="95">
        <f>IF($L$2938,$T2982,$N2982)</f>
        <v/>
      </c>
    </row>
    <row r="2983">
      <c r="A2983" s="90" t="n">
        <v>43</v>
      </c>
      <c r="B2983" s="91">
        <f>EDATE($B2982,1)</f>
        <v/>
      </c>
      <c r="C2983" s="92">
        <f>EOMONTH($B2983,0)</f>
        <v/>
      </c>
      <c r="D2983" s="87">
        <f>$C2983-$B2983+1</f>
        <v/>
      </c>
      <c r="E2983" s="87">
        <f>MONTH($B2983)</f>
        <v/>
      </c>
      <c r="F2983" s="93">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$N2983*IF($O$2938=1,$O2983/$F$2938,1)</f>
        <v/>
      </c>
      <c r="T2983" s="95">
        <f>IF($G2983&lt;nr_MStartP,$S2983,$T2971*(1+IF($G2983&lt;nr_MStartP1,$M$2938,$N$2938)))</f>
        <v/>
      </c>
      <c r="U2983" s="95">
        <f>IF($L$2938,$T2983,$N2983)</f>
        <v/>
      </c>
    </row>
    <row r="2984">
      <c r="A2984" s="90" t="n">
        <v>44</v>
      </c>
      <c r="B2984" s="91">
        <f>EDATE($B2983,1)</f>
        <v/>
      </c>
      <c r="C2984" s="92">
        <f>EOMONTH($B2984,0)</f>
        <v/>
      </c>
      <c r="D2984" s="87">
        <f>$C2984-$B2984+1</f>
        <v/>
      </c>
      <c r="E2984" s="87">
        <f>MONTH($B2984)</f>
        <v/>
      </c>
      <c r="F2984" s="93">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$N2984*IF($O$2938=1,$O2984/$F$2938,1)</f>
        <v/>
      </c>
      <c r="T2984" s="95">
        <f>IF($G2984&lt;nr_MStartP,$S2984,$T2972*(1+IF($G2984&lt;nr_MStartP1,$M$2938,$N$2938)))</f>
        <v/>
      </c>
      <c r="U2984" s="95">
        <f>IF($L$2938,$T2984,$N2984)</f>
        <v/>
      </c>
    </row>
    <row r="2985">
      <c r="A2985" s="90" t="n">
        <v>45</v>
      </c>
      <c r="B2985" s="91">
        <f>EDATE($B2984,1)</f>
        <v/>
      </c>
      <c r="C2985" s="92">
        <f>EOMONTH($B2985,0)</f>
        <v/>
      </c>
      <c r="D2985" s="87">
        <f>$C2985-$B2985+1</f>
        <v/>
      </c>
      <c r="E2985" s="87">
        <f>MONTH($B2985)</f>
        <v/>
      </c>
      <c r="F2985" s="93">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$N2985*IF($O$2938=1,$O2985/$F$2938,1)</f>
        <v/>
      </c>
      <c r="T2985" s="95">
        <f>IF($G2985&lt;nr_MStartP,$S2985,$T2973*(1+IF($G2985&lt;nr_MStartP1,$M$2938,$N$2938)))</f>
        <v/>
      </c>
      <c r="U2985" s="95">
        <f>IF($L$2938,$T2985,$N2985)</f>
        <v/>
      </c>
    </row>
    <row r="2986">
      <c r="A2986" s="90" t="n">
        <v>46</v>
      </c>
      <c r="B2986" s="91">
        <f>EDATE($B2985,1)</f>
        <v/>
      </c>
      <c r="C2986" s="92">
        <f>EOMONTH($B2986,0)</f>
        <v/>
      </c>
      <c r="D2986" s="87">
        <f>$C2986-$B2986+1</f>
        <v/>
      </c>
      <c r="E2986" s="87">
        <f>MONTH($B2986)</f>
        <v/>
      </c>
      <c r="F2986" s="93">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$N2986*IF($O$2938=1,$O2986/$F$2938,1)</f>
        <v/>
      </c>
      <c r="T2986" s="95">
        <f>IF($G2986&lt;nr_MStartP,$S2986,$T2974*(1+IF($G2986&lt;nr_MStartP1,$M$2938,$N$2938)))</f>
        <v/>
      </c>
      <c r="U2986" s="95">
        <f>IF($L$2938,$T2986,$N2986)</f>
        <v/>
      </c>
    </row>
    <row r="2987">
      <c r="A2987" s="90" t="n">
        <v>47</v>
      </c>
      <c r="B2987" s="91">
        <f>EDATE($B2986,1)</f>
        <v/>
      </c>
      <c r="C2987" s="92">
        <f>EOMONTH($B2987,0)</f>
        <v/>
      </c>
      <c r="D2987" s="87">
        <f>$C2987-$B2987+1</f>
        <v/>
      </c>
      <c r="E2987" s="87">
        <f>MONTH($B2987)</f>
        <v/>
      </c>
      <c r="F2987" s="93">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$N2987*IF($O$2938=1,$O2987/$F$2938,1)</f>
        <v/>
      </c>
      <c r="T2987" s="95">
        <f>IF($G2987&lt;nr_MStartP,$S2987,$T2975*(1+IF($G2987&lt;nr_MStartP1,$M$2938,$N$2938)))</f>
        <v/>
      </c>
      <c r="U2987" s="95">
        <f>IF($L$2938,$T2987,$N2987)</f>
        <v/>
      </c>
    </row>
    <row r="2988">
      <c r="A2988" s="90" t="n">
        <v>48</v>
      </c>
      <c r="B2988" s="91">
        <f>EDATE($B2987,1)</f>
        <v/>
      </c>
      <c r="C2988" s="92">
        <f>EOMONTH($B2988,0)</f>
        <v/>
      </c>
      <c r="D2988" s="87">
        <f>$C2988-$B2988+1</f>
        <v/>
      </c>
      <c r="E2988" s="87">
        <f>MONTH($B2988)</f>
        <v/>
      </c>
      <c r="F2988" s="93">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$N2988*IF($O$2938=1,$O2988/$F$2938,1)</f>
        <v/>
      </c>
      <c r="T2988" s="95">
        <f>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04">
        <f>SUMPRODUCT($H$2941:$H$2988,$Q$2941:$Q$2988,$O$2941:$O$2988)/SUMPRODUCT($H$2941:$H$2988,$Q$2941:$Q$2988)</f>
        <v/>
      </c>
      <c r="G2989" s="20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04">
        <f>IF(N(INDEX(lr_mind,55))=0,1,INDEX(lr_mind,55))</f>
        <v/>
      </c>
      <c r="G2992" s="204">
        <f>IF(N(INDEX(lr_m0,55))=0,1,INDEX(lr_m0,55))</f>
        <v/>
      </c>
      <c r="H2992" s="73">
        <f>IF(N(INDEX(lr_m0asof,55))=0,DATE(nr_PlanYear-1,10,1),INDEX(lr_m0asof,55))</f>
        <v/>
      </c>
      <c r="I2992" s="204">
        <f>IF(N(INDEX(lr_m1,55))=0,1,INDEX(lr_m1,55))</f>
        <v/>
      </c>
      <c r="J2992" s="204">
        <f>INDEX(lr_mprior,55)</f>
        <v/>
      </c>
      <c r="K2992" s="20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93">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$N2995*IF($O$2992=1,$O2995/$F$2992,1)</f>
        <v/>
      </c>
      <c r="T2995" s="95">
        <f>IF($G2995&lt;nr_MStartP,$S2995,$T2983*(1+IF($G2995&lt;nr_MStartP1,$M$2992,$N$2992)))</f>
        <v/>
      </c>
      <c r="U2995" s="95">
        <f>IF($L$2992,$T2995,$N2995)</f>
        <v/>
      </c>
    </row>
    <row r="2996">
      <c r="A2996" s="90" t="n">
        <v>2</v>
      </c>
      <c r="B2996" s="91">
        <f>EDATE($B2995,1)</f>
        <v/>
      </c>
      <c r="C2996" s="92">
        <f>EOMONTH($B2996,0)</f>
        <v/>
      </c>
      <c r="D2996" s="87">
        <f>$C2996-$B2996+1</f>
        <v/>
      </c>
      <c r="E2996" s="87">
        <f>MONTH($B2996)</f>
        <v/>
      </c>
      <c r="F2996" s="93">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$N2996*IF($O$2992=1,$O2996/$F$2992,1)</f>
        <v/>
      </c>
      <c r="T2996" s="95">
        <f>IF($G2996&lt;nr_MStartP,$S2996,$T2984*(1+IF($G2996&lt;nr_MStartP1,$M$2992,$N$2992)))</f>
        <v/>
      </c>
      <c r="U2996" s="95">
        <f>IF($L$2992,$T2996,$N2996)</f>
        <v/>
      </c>
    </row>
    <row r="2997">
      <c r="A2997" s="90" t="n">
        <v>3</v>
      </c>
      <c r="B2997" s="91">
        <f>EDATE($B2996,1)</f>
        <v/>
      </c>
      <c r="C2997" s="92">
        <f>EOMONTH($B2997,0)</f>
        <v/>
      </c>
      <c r="D2997" s="87">
        <f>$C2997-$B2997+1</f>
        <v/>
      </c>
      <c r="E2997" s="87">
        <f>MONTH($B2997)</f>
        <v/>
      </c>
      <c r="F2997" s="93">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$N2997*IF($O$2992=1,$O2997/$F$2992,1)</f>
        <v/>
      </c>
      <c r="T2997" s="95">
        <f>IF($G2997&lt;nr_MStartP,$S2997,$T2985*(1+IF($G2997&lt;nr_MStartP1,$M$2992,$N$2992)))</f>
        <v/>
      </c>
      <c r="U2997" s="95">
        <f>IF($L$2992,$T2997,$N2997)</f>
        <v/>
      </c>
    </row>
    <row r="2998">
      <c r="A2998" s="90" t="n">
        <v>4</v>
      </c>
      <c r="B2998" s="91">
        <f>EDATE($B2997,1)</f>
        <v/>
      </c>
      <c r="C2998" s="92">
        <f>EOMONTH($B2998,0)</f>
        <v/>
      </c>
      <c r="D2998" s="87">
        <f>$C2998-$B2998+1</f>
        <v/>
      </c>
      <c r="E2998" s="87">
        <f>MONTH($B2998)</f>
        <v/>
      </c>
      <c r="F2998" s="93">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$N2998*IF($O$2992=1,$O2998/$F$2992,1)</f>
        <v/>
      </c>
      <c r="T2998" s="95">
        <f>IF($G2998&lt;nr_MStartP,$S2998,$T2986*(1+IF($G2998&lt;nr_MStartP1,$M$2992,$N$2992)))</f>
        <v/>
      </c>
      <c r="U2998" s="95">
        <f>IF($L$2992,$T2998,$N2998)</f>
        <v/>
      </c>
    </row>
    <row r="2999">
      <c r="A2999" s="90" t="n">
        <v>5</v>
      </c>
      <c r="B2999" s="91">
        <f>EDATE($B2998,1)</f>
        <v/>
      </c>
      <c r="C2999" s="92">
        <f>EOMONTH($B2999,0)</f>
        <v/>
      </c>
      <c r="D2999" s="87">
        <f>$C2999-$B2999+1</f>
        <v/>
      </c>
      <c r="E2999" s="87">
        <f>MONTH($B2999)</f>
        <v/>
      </c>
      <c r="F2999" s="93">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$N2999*IF($O$2992=1,$O2999/$F$2992,1)</f>
        <v/>
      </c>
      <c r="T2999" s="95">
        <f>IF($G2999&lt;nr_MStartP,$S2999,$T2987*(1+IF($G2999&lt;nr_MStartP1,$M$2992,$N$2992)))</f>
        <v/>
      </c>
      <c r="U2999" s="95">
        <f>IF($L$2992,$T2999,$N2999)</f>
        <v/>
      </c>
    </row>
    <row r="3000">
      <c r="A3000" s="90" t="n">
        <v>6</v>
      </c>
      <c r="B3000" s="91">
        <f>EDATE($B2999,1)</f>
        <v/>
      </c>
      <c r="C3000" s="92">
        <f>EOMONTH($B3000,0)</f>
        <v/>
      </c>
      <c r="D3000" s="87">
        <f>$C3000-$B3000+1</f>
        <v/>
      </c>
      <c r="E3000" s="87">
        <f>MONTH($B3000)</f>
        <v/>
      </c>
      <c r="F3000" s="93">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$N3000*IF($O$2992=1,$O3000/$F$2992,1)</f>
        <v/>
      </c>
      <c r="T3000" s="95">
        <f>IF($G3000&lt;nr_MStartP,$S3000,$T2988*(1+IF($G3000&lt;nr_MStartP1,$M$2992,$N$2992)))</f>
        <v/>
      </c>
      <c r="U3000" s="95">
        <f>IF($L$2992,$T3000,$N3000)</f>
        <v/>
      </c>
    </row>
    <row r="3001">
      <c r="A3001" s="90" t="n">
        <v>7</v>
      </c>
      <c r="B3001" s="91">
        <f>EDATE($B3000,1)</f>
        <v/>
      </c>
      <c r="C3001" s="92">
        <f>EOMONTH($B3001,0)</f>
        <v/>
      </c>
      <c r="D3001" s="87">
        <f>$C3001-$B3001+1</f>
        <v/>
      </c>
      <c r="E3001" s="87">
        <f>MONTH($B3001)</f>
        <v/>
      </c>
      <c r="F3001" s="93">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$N3001*IF($O$2992=1,$O3001/$F$2992,1)</f>
        <v/>
      </c>
      <c r="T3001" s="95">
        <f>IF($G3001&lt;nr_MStartP,$S3001,$T2989*(1+IF($G3001&lt;nr_MStartP1,$M$2992,$N$2992)))</f>
        <v/>
      </c>
      <c r="U3001" s="95">
        <f>IF($L$2992,$T3001,$N3001)</f>
        <v/>
      </c>
    </row>
    <row r="3002">
      <c r="A3002" s="90" t="n">
        <v>8</v>
      </c>
      <c r="B3002" s="91">
        <f>EDATE($B3001,1)</f>
        <v/>
      </c>
      <c r="C3002" s="92">
        <f>EOMONTH($B3002,0)</f>
        <v/>
      </c>
      <c r="D3002" s="87">
        <f>$C3002-$B3002+1</f>
        <v/>
      </c>
      <c r="E3002" s="87">
        <f>MONTH($B3002)</f>
        <v/>
      </c>
      <c r="F3002" s="93">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$N3002*IF($O$2992=1,$O3002/$F$2992,1)</f>
        <v/>
      </c>
      <c r="T3002" s="95">
        <f>IF($G3002&lt;nr_MStartP,$S3002,$T2990*(1+IF($G3002&lt;nr_MStartP1,$M$2992,$N$2992)))</f>
        <v/>
      </c>
      <c r="U3002" s="95">
        <f>IF($L$2992,$T3002,$N3002)</f>
        <v/>
      </c>
    </row>
    <row r="3003">
      <c r="A3003" s="90" t="n">
        <v>9</v>
      </c>
      <c r="B3003" s="91">
        <f>EDATE($B3002,1)</f>
        <v/>
      </c>
      <c r="C3003" s="92">
        <f>EOMONTH($B3003,0)</f>
        <v/>
      </c>
      <c r="D3003" s="87">
        <f>$C3003-$B3003+1</f>
        <v/>
      </c>
      <c r="E3003" s="87">
        <f>MONTH($B3003)</f>
        <v/>
      </c>
      <c r="F3003" s="93">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$N3003*IF($O$2992=1,$O3003/$F$2992,1)</f>
        <v/>
      </c>
      <c r="T3003" s="95">
        <f>IF($G3003&lt;nr_MStartP,$S3003,$T2991*(1+IF($G3003&lt;nr_MStartP1,$M$2992,$N$2992)))</f>
        <v/>
      </c>
      <c r="U3003" s="95">
        <f>IF($L$2992,$T3003,$N3003)</f>
        <v/>
      </c>
    </row>
    <row r="3004">
      <c r="A3004" s="90" t="n">
        <v>10</v>
      </c>
      <c r="B3004" s="91">
        <f>EDATE($B3003,1)</f>
        <v/>
      </c>
      <c r="C3004" s="92">
        <f>EOMONTH($B3004,0)</f>
        <v/>
      </c>
      <c r="D3004" s="87">
        <f>$C3004-$B3004+1</f>
        <v/>
      </c>
      <c r="E3004" s="87">
        <f>MONTH($B3004)</f>
        <v/>
      </c>
      <c r="F3004" s="93">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$N3004*IF($O$2992=1,$O3004/$F$2992,1)</f>
        <v/>
      </c>
      <c r="T3004" s="95">
        <f>IF($G3004&lt;nr_MStartP,$S3004,$T2992*(1+IF($G3004&lt;nr_MStartP1,$M$2992,$N$2992)))</f>
        <v/>
      </c>
      <c r="U3004" s="95">
        <f>IF($L$2992,$T3004,$N3004)</f>
        <v/>
      </c>
    </row>
    <row r="3005">
      <c r="A3005" s="90" t="n">
        <v>11</v>
      </c>
      <c r="B3005" s="91">
        <f>EDATE($B3004,1)</f>
        <v/>
      </c>
      <c r="C3005" s="92">
        <f>EOMONTH($B3005,0)</f>
        <v/>
      </c>
      <c r="D3005" s="87">
        <f>$C3005-$B3005+1</f>
        <v/>
      </c>
      <c r="E3005" s="87">
        <f>MONTH($B3005)</f>
        <v/>
      </c>
      <c r="F3005" s="93">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$N3005*IF($O$2992=1,$O3005/$F$2992,1)</f>
        <v/>
      </c>
      <c r="T3005" s="95">
        <f>IF($G3005&lt;nr_MStartP,$S3005,$T2993*(1+IF($G3005&lt;nr_MStartP1,$M$2992,$N$2992)))</f>
        <v/>
      </c>
      <c r="U3005" s="95">
        <f>IF($L$2992,$T3005,$N3005)</f>
        <v/>
      </c>
    </row>
    <row r="3006">
      <c r="A3006" s="90" t="n">
        <v>12</v>
      </c>
      <c r="B3006" s="91">
        <f>EDATE($B3005,1)</f>
        <v/>
      </c>
      <c r="C3006" s="92">
        <f>EOMONTH($B3006,0)</f>
        <v/>
      </c>
      <c r="D3006" s="87">
        <f>$C3006-$B3006+1</f>
        <v/>
      </c>
      <c r="E3006" s="87">
        <f>MONTH($B3006)</f>
        <v/>
      </c>
      <c r="F3006" s="93">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$N3006*IF($O$2992=1,$O3006/$F$2992,1)</f>
        <v/>
      </c>
      <c r="T3006" s="95">
        <f>IF($G3006&lt;nr_MStartP,$S3006,$T2994*(1+IF($G3006&lt;nr_MStartP1,$M$2992,$N$2992)))</f>
        <v/>
      </c>
      <c r="U3006" s="95">
        <f>IF($L$2992,$T3006,$N3006)</f>
        <v/>
      </c>
    </row>
    <row r="3007">
      <c r="A3007" s="90" t="n">
        <v>13</v>
      </c>
      <c r="B3007" s="91">
        <f>EDATE($B3006,1)</f>
        <v/>
      </c>
      <c r="C3007" s="92">
        <f>EOMONTH($B3007,0)</f>
        <v/>
      </c>
      <c r="D3007" s="87">
        <f>$C3007-$B3007+1</f>
        <v/>
      </c>
      <c r="E3007" s="87">
        <f>MONTH($B3007)</f>
        <v/>
      </c>
      <c r="F3007" s="93">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$N3007*IF($O$2992=1,$O3007/$F$2992,1)</f>
        <v/>
      </c>
      <c r="T3007" s="95">
        <f>IF($G3007&lt;nr_MStartP,$S3007,$T2995*(1+IF($G3007&lt;nr_MStartP1,$M$2992,$N$2992)))</f>
        <v/>
      </c>
      <c r="U3007" s="95">
        <f>IF($L$2992,$T3007,$N3007)</f>
        <v/>
      </c>
    </row>
    <row r="3008">
      <c r="A3008" s="90" t="n">
        <v>14</v>
      </c>
      <c r="B3008" s="91">
        <f>EDATE($B3007,1)</f>
        <v/>
      </c>
      <c r="C3008" s="92">
        <f>EOMONTH($B3008,0)</f>
        <v/>
      </c>
      <c r="D3008" s="87">
        <f>$C3008-$B3008+1</f>
        <v/>
      </c>
      <c r="E3008" s="87">
        <f>MONTH($B3008)</f>
        <v/>
      </c>
      <c r="F3008" s="93">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$N3008*IF($O$2992=1,$O3008/$F$2992,1)</f>
        <v/>
      </c>
      <c r="T3008" s="95">
        <f>IF($G3008&lt;nr_MStartP,$S3008,$T2996*(1+IF($G3008&lt;nr_MStartP1,$M$2992,$N$2992)))</f>
        <v/>
      </c>
      <c r="U3008" s="95">
        <f>IF($L$2992,$T3008,$N3008)</f>
        <v/>
      </c>
    </row>
    <row r="3009">
      <c r="A3009" s="90" t="n">
        <v>15</v>
      </c>
      <c r="B3009" s="91">
        <f>EDATE($B3008,1)</f>
        <v/>
      </c>
      <c r="C3009" s="92">
        <f>EOMONTH($B3009,0)</f>
        <v/>
      </c>
      <c r="D3009" s="87">
        <f>$C3009-$B3009+1</f>
        <v/>
      </c>
      <c r="E3009" s="87">
        <f>MONTH($B3009)</f>
        <v/>
      </c>
      <c r="F3009" s="93">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$N3009*IF($O$2992=1,$O3009/$F$2992,1)</f>
        <v/>
      </c>
      <c r="T3009" s="95">
        <f>IF($G3009&lt;nr_MStartP,$S3009,$T2997*(1+IF($G3009&lt;nr_MStartP1,$M$2992,$N$2992)))</f>
        <v/>
      </c>
      <c r="U3009" s="95">
        <f>IF($L$2992,$T3009,$N3009)</f>
        <v/>
      </c>
    </row>
    <row r="3010">
      <c r="A3010" s="90" t="n">
        <v>16</v>
      </c>
      <c r="B3010" s="91">
        <f>EDATE($B3009,1)</f>
        <v/>
      </c>
      <c r="C3010" s="92">
        <f>EOMONTH($B3010,0)</f>
        <v/>
      </c>
      <c r="D3010" s="87">
        <f>$C3010-$B3010+1</f>
        <v/>
      </c>
      <c r="E3010" s="87">
        <f>MONTH($B3010)</f>
        <v/>
      </c>
      <c r="F3010" s="93">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$N3010*IF($O$2992=1,$O3010/$F$2992,1)</f>
        <v/>
      </c>
      <c r="T3010" s="95">
        <f>IF($G3010&lt;nr_MStartP,$S3010,$T2998*(1+IF($G3010&lt;nr_MStartP1,$M$2992,$N$2992)))</f>
        <v/>
      </c>
      <c r="U3010" s="95">
        <f>IF($L$2992,$T3010,$N3010)</f>
        <v/>
      </c>
    </row>
    <row r="3011">
      <c r="A3011" s="90" t="n">
        <v>17</v>
      </c>
      <c r="B3011" s="91">
        <f>EDATE($B3010,1)</f>
        <v/>
      </c>
      <c r="C3011" s="92">
        <f>EOMONTH($B3011,0)</f>
        <v/>
      </c>
      <c r="D3011" s="87">
        <f>$C3011-$B3011+1</f>
        <v/>
      </c>
      <c r="E3011" s="87">
        <f>MONTH($B3011)</f>
        <v/>
      </c>
      <c r="F3011" s="93">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$N3011*IF($O$2992=1,$O3011/$F$2992,1)</f>
        <v/>
      </c>
      <c r="T3011" s="95">
        <f>IF($G3011&lt;nr_MStartP,$S3011,$T2999*(1+IF($G3011&lt;nr_MStartP1,$M$2992,$N$2992)))</f>
        <v/>
      </c>
      <c r="U3011" s="95">
        <f>IF($L$2992,$T3011,$N3011)</f>
        <v/>
      </c>
    </row>
    <row r="3012">
      <c r="A3012" s="90" t="n">
        <v>18</v>
      </c>
      <c r="B3012" s="91">
        <f>EDATE($B3011,1)</f>
        <v/>
      </c>
      <c r="C3012" s="92">
        <f>EOMONTH($B3012,0)</f>
        <v/>
      </c>
      <c r="D3012" s="87">
        <f>$C3012-$B3012+1</f>
        <v/>
      </c>
      <c r="E3012" s="87">
        <f>MONTH($B3012)</f>
        <v/>
      </c>
      <c r="F3012" s="93">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$N3012*IF($O$2992=1,$O3012/$F$2992,1)</f>
        <v/>
      </c>
      <c r="T3012" s="95">
        <f>IF($G3012&lt;nr_MStartP,$S3012,$T3000*(1+IF($G3012&lt;nr_MStartP1,$M$2992,$N$2992)))</f>
        <v/>
      </c>
      <c r="U3012" s="95">
        <f>IF($L$2992,$T3012,$N3012)</f>
        <v/>
      </c>
    </row>
    <row r="3013">
      <c r="A3013" s="90" t="n">
        <v>19</v>
      </c>
      <c r="B3013" s="91">
        <f>EDATE($B3012,1)</f>
        <v/>
      </c>
      <c r="C3013" s="92">
        <f>EOMONTH($B3013,0)</f>
        <v/>
      </c>
      <c r="D3013" s="87">
        <f>$C3013-$B3013+1</f>
        <v/>
      </c>
      <c r="E3013" s="87">
        <f>MONTH($B3013)</f>
        <v/>
      </c>
      <c r="F3013" s="93">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$N3013*IF($O$2992=1,$O3013/$F$2992,1)</f>
        <v/>
      </c>
      <c r="T3013" s="95">
        <f>IF($G3013&lt;nr_MStartP,$S3013,$T3001*(1+IF($G3013&lt;nr_MStartP1,$M$2992,$N$2992)))</f>
        <v/>
      </c>
      <c r="U3013" s="95">
        <f>IF($L$2992,$T3013,$N3013)</f>
        <v/>
      </c>
    </row>
    <row r="3014">
      <c r="A3014" s="90" t="n">
        <v>20</v>
      </c>
      <c r="B3014" s="91">
        <f>EDATE($B3013,1)</f>
        <v/>
      </c>
      <c r="C3014" s="92">
        <f>EOMONTH($B3014,0)</f>
        <v/>
      </c>
      <c r="D3014" s="87">
        <f>$C3014-$B3014+1</f>
        <v/>
      </c>
      <c r="E3014" s="87">
        <f>MONTH($B3014)</f>
        <v/>
      </c>
      <c r="F3014" s="93">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$N3014*IF($O$2992=1,$O3014/$F$2992,1)</f>
        <v/>
      </c>
      <c r="T3014" s="95">
        <f>IF($G3014&lt;nr_MStartP,$S3014,$T3002*(1+IF($G3014&lt;nr_MStartP1,$M$2992,$N$2992)))</f>
        <v/>
      </c>
      <c r="U3014" s="95">
        <f>IF($L$2992,$T3014,$N3014)</f>
        <v/>
      </c>
    </row>
    <row r="3015">
      <c r="A3015" s="90" t="n">
        <v>21</v>
      </c>
      <c r="B3015" s="91">
        <f>EDATE($B3014,1)</f>
        <v/>
      </c>
      <c r="C3015" s="92">
        <f>EOMONTH($B3015,0)</f>
        <v/>
      </c>
      <c r="D3015" s="87">
        <f>$C3015-$B3015+1</f>
        <v/>
      </c>
      <c r="E3015" s="87">
        <f>MONTH($B3015)</f>
        <v/>
      </c>
      <c r="F3015" s="93">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$N3015*IF($O$2992=1,$O3015/$F$2992,1)</f>
        <v/>
      </c>
      <c r="T3015" s="95">
        <f>IF($G3015&lt;nr_MStartP,$S3015,$T3003*(1+IF($G3015&lt;nr_MStartP1,$M$2992,$N$2992)))</f>
        <v/>
      </c>
      <c r="U3015" s="95">
        <f>IF($L$2992,$T3015,$N3015)</f>
        <v/>
      </c>
    </row>
    <row r="3016">
      <c r="A3016" s="90" t="n">
        <v>22</v>
      </c>
      <c r="B3016" s="91">
        <f>EDATE($B3015,1)</f>
        <v/>
      </c>
      <c r="C3016" s="92">
        <f>EOMONTH($B3016,0)</f>
        <v/>
      </c>
      <c r="D3016" s="87">
        <f>$C3016-$B3016+1</f>
        <v/>
      </c>
      <c r="E3016" s="87">
        <f>MONTH($B3016)</f>
        <v/>
      </c>
      <c r="F3016" s="93">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$N3016*IF($O$2992=1,$O3016/$F$2992,1)</f>
        <v/>
      </c>
      <c r="T3016" s="95">
        <f>IF($G3016&lt;nr_MStartP,$S3016,$T3004*(1+IF($G3016&lt;nr_MStartP1,$M$2992,$N$2992)))</f>
        <v/>
      </c>
      <c r="U3016" s="95">
        <f>IF($L$2992,$T3016,$N3016)</f>
        <v/>
      </c>
    </row>
    <row r="3017">
      <c r="A3017" s="90" t="n">
        <v>23</v>
      </c>
      <c r="B3017" s="91">
        <f>EDATE($B3016,1)</f>
        <v/>
      </c>
      <c r="C3017" s="92">
        <f>EOMONTH($B3017,0)</f>
        <v/>
      </c>
      <c r="D3017" s="87">
        <f>$C3017-$B3017+1</f>
        <v/>
      </c>
      <c r="E3017" s="87">
        <f>MONTH($B3017)</f>
        <v/>
      </c>
      <c r="F3017" s="93">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$N3017*IF($O$2992=1,$O3017/$F$2992,1)</f>
        <v/>
      </c>
      <c r="T3017" s="95">
        <f>IF($G3017&lt;nr_MStartP,$S3017,$T3005*(1+IF($G3017&lt;nr_MStartP1,$M$2992,$N$2992)))</f>
        <v/>
      </c>
      <c r="U3017" s="95">
        <f>IF($L$2992,$T3017,$N3017)</f>
        <v/>
      </c>
    </row>
    <row r="3018">
      <c r="A3018" s="90" t="n">
        <v>24</v>
      </c>
      <c r="B3018" s="91">
        <f>EDATE($B3017,1)</f>
        <v/>
      </c>
      <c r="C3018" s="92">
        <f>EOMONTH($B3018,0)</f>
        <v/>
      </c>
      <c r="D3018" s="87">
        <f>$C3018-$B3018+1</f>
        <v/>
      </c>
      <c r="E3018" s="87">
        <f>MONTH($B3018)</f>
        <v/>
      </c>
      <c r="F3018" s="93">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$N3018*IF($O$2992=1,$O3018/$F$2992,1)</f>
        <v/>
      </c>
      <c r="T3018" s="95">
        <f>IF($G3018&lt;nr_MStartP,$S3018,$T3006*(1+IF($G3018&lt;nr_MStartP1,$M$2992,$N$2992)))</f>
        <v/>
      </c>
      <c r="U3018" s="95">
        <f>IF($L$2992,$T3018,$N3018)</f>
        <v/>
      </c>
    </row>
    <row r="3019">
      <c r="A3019" s="90" t="n">
        <v>25</v>
      </c>
      <c r="B3019" s="91">
        <f>EDATE($B3018,1)</f>
        <v/>
      </c>
      <c r="C3019" s="92">
        <f>EOMONTH($B3019,0)</f>
        <v/>
      </c>
      <c r="D3019" s="87">
        <f>$C3019-$B3019+1</f>
        <v/>
      </c>
      <c r="E3019" s="87">
        <f>MONTH($B3019)</f>
        <v/>
      </c>
      <c r="F3019" s="93">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$N3019*IF($O$2992=1,$O3019/$F$2992,1)</f>
        <v/>
      </c>
      <c r="T3019" s="95">
        <f>IF($G3019&lt;nr_MStartP,$S3019,$T3007*(1+IF($G3019&lt;nr_MStartP1,$M$2992,$N$2992)))</f>
        <v/>
      </c>
      <c r="U3019" s="95">
        <f>IF($L$2992,$T3019,$N3019)</f>
        <v/>
      </c>
    </row>
    <row r="3020">
      <c r="A3020" s="90" t="n">
        <v>26</v>
      </c>
      <c r="B3020" s="91">
        <f>EDATE($B3019,1)</f>
        <v/>
      </c>
      <c r="C3020" s="92">
        <f>EOMONTH($B3020,0)</f>
        <v/>
      </c>
      <c r="D3020" s="87">
        <f>$C3020-$B3020+1</f>
        <v/>
      </c>
      <c r="E3020" s="87">
        <f>MONTH($B3020)</f>
        <v/>
      </c>
      <c r="F3020" s="93">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$N3020*IF($O$2992=1,$O3020/$F$2992,1)</f>
        <v/>
      </c>
      <c r="T3020" s="95">
        <f>IF($G3020&lt;nr_MStartP,$S3020,$T3008*(1+IF($G3020&lt;nr_MStartP1,$M$2992,$N$2992)))</f>
        <v/>
      </c>
      <c r="U3020" s="95">
        <f>IF($L$2992,$T3020,$N3020)</f>
        <v/>
      </c>
    </row>
    <row r="3021">
      <c r="A3021" s="90" t="n">
        <v>27</v>
      </c>
      <c r="B3021" s="91">
        <f>EDATE($B3020,1)</f>
        <v/>
      </c>
      <c r="C3021" s="92">
        <f>EOMONTH($B3021,0)</f>
        <v/>
      </c>
      <c r="D3021" s="87">
        <f>$C3021-$B3021+1</f>
        <v/>
      </c>
      <c r="E3021" s="87">
        <f>MONTH($B3021)</f>
        <v/>
      </c>
      <c r="F3021" s="93">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$N3021*IF($O$2992=1,$O3021/$F$2992,1)</f>
        <v/>
      </c>
      <c r="T3021" s="95">
        <f>IF($G3021&lt;nr_MStartP,$S3021,$T3009*(1+IF($G3021&lt;nr_MStartP1,$M$2992,$N$2992)))</f>
        <v/>
      </c>
      <c r="U3021" s="95">
        <f>IF($L$2992,$T3021,$N3021)</f>
        <v/>
      </c>
    </row>
    <row r="3022">
      <c r="A3022" s="90" t="n">
        <v>28</v>
      </c>
      <c r="B3022" s="91">
        <f>EDATE($B3021,1)</f>
        <v/>
      </c>
      <c r="C3022" s="92">
        <f>EOMONTH($B3022,0)</f>
        <v/>
      </c>
      <c r="D3022" s="87">
        <f>$C3022-$B3022+1</f>
        <v/>
      </c>
      <c r="E3022" s="87">
        <f>MONTH($B3022)</f>
        <v/>
      </c>
      <c r="F3022" s="93">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$N3022*IF($O$2992=1,$O3022/$F$2992,1)</f>
        <v/>
      </c>
      <c r="T3022" s="95">
        <f>IF($G3022&lt;nr_MStartP,$S3022,$T3010*(1+IF($G3022&lt;nr_MStartP1,$M$2992,$N$2992)))</f>
        <v/>
      </c>
      <c r="U3022" s="95">
        <f>IF($L$2992,$T3022,$N3022)</f>
        <v/>
      </c>
    </row>
    <row r="3023">
      <c r="A3023" s="90" t="n">
        <v>29</v>
      </c>
      <c r="B3023" s="91">
        <f>EDATE($B3022,1)</f>
        <v/>
      </c>
      <c r="C3023" s="92">
        <f>EOMONTH($B3023,0)</f>
        <v/>
      </c>
      <c r="D3023" s="87">
        <f>$C3023-$B3023+1</f>
        <v/>
      </c>
      <c r="E3023" s="87">
        <f>MONTH($B3023)</f>
        <v/>
      </c>
      <c r="F3023" s="93">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$N3023*IF($O$2992=1,$O3023/$F$2992,1)</f>
        <v/>
      </c>
      <c r="T3023" s="95">
        <f>IF($G3023&lt;nr_MStartP,$S3023,$T3011*(1+IF($G3023&lt;nr_MStartP1,$M$2992,$N$2992)))</f>
        <v/>
      </c>
      <c r="U3023" s="95">
        <f>IF($L$2992,$T3023,$N3023)</f>
        <v/>
      </c>
    </row>
    <row r="3024">
      <c r="A3024" s="90" t="n">
        <v>30</v>
      </c>
      <c r="B3024" s="91">
        <f>EDATE($B3023,1)</f>
        <v/>
      </c>
      <c r="C3024" s="92">
        <f>EOMONTH($B3024,0)</f>
        <v/>
      </c>
      <c r="D3024" s="87">
        <f>$C3024-$B3024+1</f>
        <v/>
      </c>
      <c r="E3024" s="87">
        <f>MONTH($B3024)</f>
        <v/>
      </c>
      <c r="F3024" s="93">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$N3024*IF($O$2992=1,$O3024/$F$2992,1)</f>
        <v/>
      </c>
      <c r="T3024" s="95">
        <f>IF($G3024&lt;nr_MStartP,$S3024,$T3012*(1+IF($G3024&lt;nr_MStartP1,$M$2992,$N$2992)))</f>
        <v/>
      </c>
      <c r="U3024" s="95">
        <f>IF($L$2992,$T3024,$N3024)</f>
        <v/>
      </c>
    </row>
    <row r="3025">
      <c r="A3025" s="90" t="n">
        <v>31</v>
      </c>
      <c r="B3025" s="91">
        <f>EDATE($B3024,1)</f>
        <v/>
      </c>
      <c r="C3025" s="92">
        <f>EOMONTH($B3025,0)</f>
        <v/>
      </c>
      <c r="D3025" s="87">
        <f>$C3025-$B3025+1</f>
        <v/>
      </c>
      <c r="E3025" s="87">
        <f>MONTH($B3025)</f>
        <v/>
      </c>
      <c r="F3025" s="93">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$N3025*IF($O$2992=1,$O3025/$F$2992,1)</f>
        <v/>
      </c>
      <c r="T3025" s="95">
        <f>IF($G3025&lt;nr_MStartP,$S3025,$T3013*(1+IF($G3025&lt;nr_MStartP1,$M$2992,$N$2992)))</f>
        <v/>
      </c>
      <c r="U3025" s="95">
        <f>IF($L$2992,$T3025,$N3025)</f>
        <v/>
      </c>
    </row>
    <row r="3026">
      <c r="A3026" s="90" t="n">
        <v>32</v>
      </c>
      <c r="B3026" s="91">
        <f>EDATE($B3025,1)</f>
        <v/>
      </c>
      <c r="C3026" s="92">
        <f>EOMONTH($B3026,0)</f>
        <v/>
      </c>
      <c r="D3026" s="87">
        <f>$C3026-$B3026+1</f>
        <v/>
      </c>
      <c r="E3026" s="87">
        <f>MONTH($B3026)</f>
        <v/>
      </c>
      <c r="F3026" s="93">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$N3026*IF($O$2992=1,$O3026/$F$2992,1)</f>
        <v/>
      </c>
      <c r="T3026" s="95">
        <f>IF($G3026&lt;nr_MStartP,$S3026,$T3014*(1+IF($G3026&lt;nr_MStartP1,$M$2992,$N$2992)))</f>
        <v/>
      </c>
      <c r="U3026" s="95">
        <f>IF($L$2992,$T3026,$N3026)</f>
        <v/>
      </c>
    </row>
    <row r="3027">
      <c r="A3027" s="90" t="n">
        <v>33</v>
      </c>
      <c r="B3027" s="91">
        <f>EDATE($B3026,1)</f>
        <v/>
      </c>
      <c r="C3027" s="92">
        <f>EOMONTH($B3027,0)</f>
        <v/>
      </c>
      <c r="D3027" s="87">
        <f>$C3027-$B3027+1</f>
        <v/>
      </c>
      <c r="E3027" s="87">
        <f>MONTH($B3027)</f>
        <v/>
      </c>
      <c r="F3027" s="93">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$N3027*IF($O$2992=1,$O3027/$F$2992,1)</f>
        <v/>
      </c>
      <c r="T3027" s="95">
        <f>IF($G3027&lt;nr_MStartP,$S3027,$T3015*(1+IF($G3027&lt;nr_MStartP1,$M$2992,$N$2992)))</f>
        <v/>
      </c>
      <c r="U3027" s="95">
        <f>IF($L$2992,$T3027,$N3027)</f>
        <v/>
      </c>
    </row>
    <row r="3028">
      <c r="A3028" s="90" t="n">
        <v>34</v>
      </c>
      <c r="B3028" s="91">
        <f>EDATE($B3027,1)</f>
        <v/>
      </c>
      <c r="C3028" s="92">
        <f>EOMONTH($B3028,0)</f>
        <v/>
      </c>
      <c r="D3028" s="87">
        <f>$C3028-$B3028+1</f>
        <v/>
      </c>
      <c r="E3028" s="87">
        <f>MONTH($B3028)</f>
        <v/>
      </c>
      <c r="F3028" s="93">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$N3028*IF($O$2992=1,$O3028/$F$2992,1)</f>
        <v/>
      </c>
      <c r="T3028" s="95">
        <f>IF($G3028&lt;nr_MStartP,$S3028,$T3016*(1+IF($G3028&lt;nr_MStartP1,$M$2992,$N$2992)))</f>
        <v/>
      </c>
      <c r="U3028" s="95">
        <f>IF($L$2992,$T3028,$N3028)</f>
        <v/>
      </c>
    </row>
    <row r="3029">
      <c r="A3029" s="90" t="n">
        <v>35</v>
      </c>
      <c r="B3029" s="91">
        <f>EDATE($B3028,1)</f>
        <v/>
      </c>
      <c r="C3029" s="92">
        <f>EOMONTH($B3029,0)</f>
        <v/>
      </c>
      <c r="D3029" s="87">
        <f>$C3029-$B3029+1</f>
        <v/>
      </c>
      <c r="E3029" s="87">
        <f>MONTH($B3029)</f>
        <v/>
      </c>
      <c r="F3029" s="93">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$N3029*IF($O$2992=1,$O3029/$F$2992,1)</f>
        <v/>
      </c>
      <c r="T3029" s="95">
        <f>IF($G3029&lt;nr_MStartP,$S3029,$T3017*(1+IF($G3029&lt;nr_MStartP1,$M$2992,$N$2992)))</f>
        <v/>
      </c>
      <c r="U3029" s="95">
        <f>IF($L$2992,$T3029,$N3029)</f>
        <v/>
      </c>
    </row>
    <row r="3030">
      <c r="A3030" s="90" t="n">
        <v>36</v>
      </c>
      <c r="B3030" s="91">
        <f>EDATE($B3029,1)</f>
        <v/>
      </c>
      <c r="C3030" s="92">
        <f>EOMONTH($B3030,0)</f>
        <v/>
      </c>
      <c r="D3030" s="87">
        <f>$C3030-$B3030+1</f>
        <v/>
      </c>
      <c r="E3030" s="87">
        <f>MONTH($B3030)</f>
        <v/>
      </c>
      <c r="F3030" s="93">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$N3030*IF($O$2992=1,$O3030/$F$2992,1)</f>
        <v/>
      </c>
      <c r="T3030" s="95">
        <f>IF($G3030&lt;nr_MStartP,$S3030,$T3018*(1+IF($G3030&lt;nr_MStartP1,$M$2992,$N$2992)))</f>
        <v/>
      </c>
      <c r="U3030" s="95">
        <f>IF($L$2992,$T3030,$N3030)</f>
        <v/>
      </c>
    </row>
    <row r="3031">
      <c r="A3031" s="90" t="n">
        <v>37</v>
      </c>
      <c r="B3031" s="91">
        <f>EDATE($B3030,1)</f>
        <v/>
      </c>
      <c r="C3031" s="92">
        <f>EOMONTH($B3031,0)</f>
        <v/>
      </c>
      <c r="D3031" s="87">
        <f>$C3031-$B3031+1</f>
        <v/>
      </c>
      <c r="E3031" s="87">
        <f>MONTH($B3031)</f>
        <v/>
      </c>
      <c r="F3031" s="93">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$N3031*IF($O$2992=1,$O3031/$F$2992,1)</f>
        <v/>
      </c>
      <c r="T3031" s="95">
        <f>IF($G3031&lt;nr_MStartP,$S3031,$T3019*(1+IF($G3031&lt;nr_MStartP1,$M$2992,$N$2992)))</f>
        <v/>
      </c>
      <c r="U3031" s="95">
        <f>IF($L$2992,$T3031,$N3031)</f>
        <v/>
      </c>
    </row>
    <row r="3032">
      <c r="A3032" s="90" t="n">
        <v>38</v>
      </c>
      <c r="B3032" s="91">
        <f>EDATE($B3031,1)</f>
        <v/>
      </c>
      <c r="C3032" s="92">
        <f>EOMONTH($B3032,0)</f>
        <v/>
      </c>
      <c r="D3032" s="87">
        <f>$C3032-$B3032+1</f>
        <v/>
      </c>
      <c r="E3032" s="87">
        <f>MONTH($B3032)</f>
        <v/>
      </c>
      <c r="F3032" s="93">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$N3032*IF($O$2992=1,$O3032/$F$2992,1)</f>
        <v/>
      </c>
      <c r="T3032" s="95">
        <f>IF($G3032&lt;nr_MStartP,$S3032,$T3020*(1+IF($G3032&lt;nr_MStartP1,$M$2992,$N$2992)))</f>
        <v/>
      </c>
      <c r="U3032" s="95">
        <f>IF($L$2992,$T3032,$N3032)</f>
        <v/>
      </c>
    </row>
    <row r="3033">
      <c r="A3033" s="90" t="n">
        <v>39</v>
      </c>
      <c r="B3033" s="91">
        <f>EDATE($B3032,1)</f>
        <v/>
      </c>
      <c r="C3033" s="92">
        <f>EOMONTH($B3033,0)</f>
        <v/>
      </c>
      <c r="D3033" s="87">
        <f>$C3033-$B3033+1</f>
        <v/>
      </c>
      <c r="E3033" s="87">
        <f>MONTH($B3033)</f>
        <v/>
      </c>
      <c r="F3033" s="93">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$N3033*IF($O$2992=1,$O3033/$F$2992,1)</f>
        <v/>
      </c>
      <c r="T3033" s="95">
        <f>IF($G3033&lt;nr_MStartP,$S3033,$T3021*(1+IF($G3033&lt;nr_MStartP1,$M$2992,$N$2992)))</f>
        <v/>
      </c>
      <c r="U3033" s="95">
        <f>IF($L$2992,$T3033,$N3033)</f>
        <v/>
      </c>
    </row>
    <row r="3034">
      <c r="A3034" s="90" t="n">
        <v>40</v>
      </c>
      <c r="B3034" s="91">
        <f>EDATE($B3033,1)</f>
        <v/>
      </c>
      <c r="C3034" s="92">
        <f>EOMONTH($B3034,0)</f>
        <v/>
      </c>
      <c r="D3034" s="87">
        <f>$C3034-$B3034+1</f>
        <v/>
      </c>
      <c r="E3034" s="87">
        <f>MONTH($B3034)</f>
        <v/>
      </c>
      <c r="F3034" s="93">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$N3034*IF($O$2992=1,$O3034/$F$2992,1)</f>
        <v/>
      </c>
      <c r="T3034" s="95">
        <f>IF($G3034&lt;nr_MStartP,$S3034,$T3022*(1+IF($G3034&lt;nr_MStartP1,$M$2992,$N$2992)))</f>
        <v/>
      </c>
      <c r="U3034" s="95">
        <f>IF($L$2992,$T3034,$N3034)</f>
        <v/>
      </c>
    </row>
    <row r="3035">
      <c r="A3035" s="90" t="n">
        <v>41</v>
      </c>
      <c r="B3035" s="91">
        <f>EDATE($B3034,1)</f>
        <v/>
      </c>
      <c r="C3035" s="92">
        <f>EOMONTH($B3035,0)</f>
        <v/>
      </c>
      <c r="D3035" s="87">
        <f>$C3035-$B3035+1</f>
        <v/>
      </c>
      <c r="E3035" s="87">
        <f>MONTH($B3035)</f>
        <v/>
      </c>
      <c r="F3035" s="93">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$N3035*IF($O$2992=1,$O3035/$F$2992,1)</f>
        <v/>
      </c>
      <c r="T3035" s="95">
        <f>IF($G3035&lt;nr_MStartP,$S3035,$T3023*(1+IF($G3035&lt;nr_MStartP1,$M$2992,$N$2992)))</f>
        <v/>
      </c>
      <c r="U3035" s="95">
        <f>IF($L$2992,$T3035,$N3035)</f>
        <v/>
      </c>
    </row>
    <row r="3036">
      <c r="A3036" s="90" t="n">
        <v>42</v>
      </c>
      <c r="B3036" s="91">
        <f>EDATE($B3035,1)</f>
        <v/>
      </c>
      <c r="C3036" s="92">
        <f>EOMONTH($B3036,0)</f>
        <v/>
      </c>
      <c r="D3036" s="87">
        <f>$C3036-$B3036+1</f>
        <v/>
      </c>
      <c r="E3036" s="87">
        <f>MONTH($B3036)</f>
        <v/>
      </c>
      <c r="F3036" s="93">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$N3036*IF($O$2992=1,$O3036/$F$2992,1)</f>
        <v/>
      </c>
      <c r="T3036" s="95">
        <f>IF($G3036&lt;nr_MStartP,$S3036,$T3024*(1+IF($G3036&lt;nr_MStartP1,$M$2992,$N$2992)))</f>
        <v/>
      </c>
      <c r="U3036" s="95">
        <f>IF($L$2992,$T3036,$N3036)</f>
        <v/>
      </c>
    </row>
    <row r="3037">
      <c r="A3037" s="90" t="n">
        <v>43</v>
      </c>
      <c r="B3037" s="91">
        <f>EDATE($B3036,1)</f>
        <v/>
      </c>
      <c r="C3037" s="92">
        <f>EOMONTH($B3037,0)</f>
        <v/>
      </c>
      <c r="D3037" s="87">
        <f>$C3037-$B3037+1</f>
        <v/>
      </c>
      <c r="E3037" s="87">
        <f>MONTH($B3037)</f>
        <v/>
      </c>
      <c r="F3037" s="93">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$N3037*IF($O$2992=1,$O3037/$F$2992,1)</f>
        <v/>
      </c>
      <c r="T3037" s="95">
        <f>IF($G3037&lt;nr_MStartP,$S3037,$T3025*(1+IF($G3037&lt;nr_MStartP1,$M$2992,$N$2992)))</f>
        <v/>
      </c>
      <c r="U3037" s="95">
        <f>IF($L$2992,$T3037,$N3037)</f>
        <v/>
      </c>
    </row>
    <row r="3038">
      <c r="A3038" s="90" t="n">
        <v>44</v>
      </c>
      <c r="B3038" s="91">
        <f>EDATE($B3037,1)</f>
        <v/>
      </c>
      <c r="C3038" s="92">
        <f>EOMONTH($B3038,0)</f>
        <v/>
      </c>
      <c r="D3038" s="87">
        <f>$C3038-$B3038+1</f>
        <v/>
      </c>
      <c r="E3038" s="87">
        <f>MONTH($B3038)</f>
        <v/>
      </c>
      <c r="F3038" s="93">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$N3038*IF($O$2992=1,$O3038/$F$2992,1)</f>
        <v/>
      </c>
      <c r="T3038" s="95">
        <f>IF($G3038&lt;nr_MStartP,$S3038,$T3026*(1+IF($G3038&lt;nr_MStartP1,$M$2992,$N$2992)))</f>
        <v/>
      </c>
      <c r="U3038" s="95">
        <f>IF($L$2992,$T3038,$N3038)</f>
        <v/>
      </c>
    </row>
    <row r="3039">
      <c r="A3039" s="90" t="n">
        <v>45</v>
      </c>
      <c r="B3039" s="91">
        <f>EDATE($B3038,1)</f>
        <v/>
      </c>
      <c r="C3039" s="92">
        <f>EOMONTH($B3039,0)</f>
        <v/>
      </c>
      <c r="D3039" s="87">
        <f>$C3039-$B3039+1</f>
        <v/>
      </c>
      <c r="E3039" s="87">
        <f>MONTH($B3039)</f>
        <v/>
      </c>
      <c r="F3039" s="93">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$N3039*IF($O$2992=1,$O3039/$F$2992,1)</f>
        <v/>
      </c>
      <c r="T3039" s="95">
        <f>IF($G3039&lt;nr_MStartP,$S3039,$T3027*(1+IF($G3039&lt;nr_MStartP1,$M$2992,$N$2992)))</f>
        <v/>
      </c>
      <c r="U3039" s="95">
        <f>IF($L$2992,$T3039,$N3039)</f>
        <v/>
      </c>
    </row>
    <row r="3040">
      <c r="A3040" s="90" t="n">
        <v>46</v>
      </c>
      <c r="B3040" s="91">
        <f>EDATE($B3039,1)</f>
        <v/>
      </c>
      <c r="C3040" s="92">
        <f>EOMONTH($B3040,0)</f>
        <v/>
      </c>
      <c r="D3040" s="87">
        <f>$C3040-$B3040+1</f>
        <v/>
      </c>
      <c r="E3040" s="87">
        <f>MONTH($B3040)</f>
        <v/>
      </c>
      <c r="F3040" s="93">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$N3040*IF($O$2992=1,$O3040/$F$2992,1)</f>
        <v/>
      </c>
      <c r="T3040" s="95">
        <f>IF($G3040&lt;nr_MStartP,$S3040,$T3028*(1+IF($G3040&lt;nr_MStartP1,$M$2992,$N$2992)))</f>
        <v/>
      </c>
      <c r="U3040" s="95">
        <f>IF($L$2992,$T3040,$N3040)</f>
        <v/>
      </c>
    </row>
    <row r="3041">
      <c r="A3041" s="90" t="n">
        <v>47</v>
      </c>
      <c r="B3041" s="91">
        <f>EDATE($B3040,1)</f>
        <v/>
      </c>
      <c r="C3041" s="92">
        <f>EOMONTH($B3041,0)</f>
        <v/>
      </c>
      <c r="D3041" s="87">
        <f>$C3041-$B3041+1</f>
        <v/>
      </c>
      <c r="E3041" s="87">
        <f>MONTH($B3041)</f>
        <v/>
      </c>
      <c r="F3041" s="93">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$N3041*IF($O$2992=1,$O3041/$F$2992,1)</f>
        <v/>
      </c>
      <c r="T3041" s="95">
        <f>IF($G3041&lt;nr_MStartP,$S3041,$T3029*(1+IF($G3041&lt;nr_MStartP1,$M$2992,$N$2992)))</f>
        <v/>
      </c>
      <c r="U3041" s="95">
        <f>IF($L$2992,$T3041,$N3041)</f>
        <v/>
      </c>
    </row>
    <row r="3042">
      <c r="A3042" s="90" t="n">
        <v>48</v>
      </c>
      <c r="B3042" s="91">
        <f>EDATE($B3041,1)</f>
        <v/>
      </c>
      <c r="C3042" s="92">
        <f>EOMONTH($B3042,0)</f>
        <v/>
      </c>
      <c r="D3042" s="87">
        <f>$C3042-$B3042+1</f>
        <v/>
      </c>
      <c r="E3042" s="87">
        <f>MONTH($B3042)</f>
        <v/>
      </c>
      <c r="F3042" s="93">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$N3042*IF($O$2992=1,$O3042/$F$2992,1)</f>
        <v/>
      </c>
      <c r="T3042" s="95">
        <f>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04">
        <f>SUMPRODUCT($H$2995:$H$3042,$Q$2995:$Q$3042,$O$2995:$O$3042)/SUMPRODUCT($H$2995:$H$3042,$Q$2995:$Q$3042)</f>
        <v/>
      </c>
      <c r="G3043" s="20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04">
        <f>IF(N(INDEX(lr_mind,56))=0,1,INDEX(lr_mind,56))</f>
        <v/>
      </c>
      <c r="G3046" s="204">
        <f>IF(N(INDEX(lr_m0,56))=0,1,INDEX(lr_m0,56))</f>
        <v/>
      </c>
      <c r="H3046" s="73">
        <f>IF(N(INDEX(lr_m0asof,56))=0,DATE(nr_PlanYear-1,10,1),INDEX(lr_m0asof,56))</f>
        <v/>
      </c>
      <c r="I3046" s="204">
        <f>IF(N(INDEX(lr_m1,56))=0,1,INDEX(lr_m1,56))</f>
        <v/>
      </c>
      <c r="J3046" s="204">
        <f>INDEX(lr_mprior,56)</f>
        <v/>
      </c>
      <c r="K3046" s="20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93">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$N3049*IF($O$3046=1,$O3049/$F$3046,1)</f>
        <v/>
      </c>
      <c r="T3049" s="95">
        <f>IF($G3049&lt;nr_MStartP,$S3049,$T3037*(1+IF($G3049&lt;nr_MStartP1,$M$3046,$N$3046)))</f>
        <v/>
      </c>
      <c r="U3049" s="95">
        <f>IF($L$3046,$T3049,$N3049)</f>
        <v/>
      </c>
    </row>
    <row r="3050">
      <c r="A3050" s="90" t="n">
        <v>2</v>
      </c>
      <c r="B3050" s="91">
        <f>EDATE($B3049,1)</f>
        <v/>
      </c>
      <c r="C3050" s="92">
        <f>EOMONTH($B3050,0)</f>
        <v/>
      </c>
      <c r="D3050" s="87">
        <f>$C3050-$B3050+1</f>
        <v/>
      </c>
      <c r="E3050" s="87">
        <f>MONTH($B3050)</f>
        <v/>
      </c>
      <c r="F3050" s="93">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$N3050*IF($O$3046=1,$O3050/$F$3046,1)</f>
        <v/>
      </c>
      <c r="T3050" s="95">
        <f>IF($G3050&lt;nr_MStartP,$S3050,$T3038*(1+IF($G3050&lt;nr_MStartP1,$M$3046,$N$3046)))</f>
        <v/>
      </c>
      <c r="U3050" s="95">
        <f>IF($L$3046,$T3050,$N3050)</f>
        <v/>
      </c>
    </row>
    <row r="3051">
      <c r="A3051" s="90" t="n">
        <v>3</v>
      </c>
      <c r="B3051" s="91">
        <f>EDATE($B3050,1)</f>
        <v/>
      </c>
      <c r="C3051" s="92">
        <f>EOMONTH($B3051,0)</f>
        <v/>
      </c>
      <c r="D3051" s="87">
        <f>$C3051-$B3051+1</f>
        <v/>
      </c>
      <c r="E3051" s="87">
        <f>MONTH($B3051)</f>
        <v/>
      </c>
      <c r="F3051" s="93">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$N3051*IF($O$3046=1,$O3051/$F$3046,1)</f>
        <v/>
      </c>
      <c r="T3051" s="95">
        <f>IF($G3051&lt;nr_MStartP,$S3051,$T3039*(1+IF($G3051&lt;nr_MStartP1,$M$3046,$N$3046)))</f>
        <v/>
      </c>
      <c r="U3051" s="95">
        <f>IF($L$3046,$T3051,$N3051)</f>
        <v/>
      </c>
    </row>
    <row r="3052">
      <c r="A3052" s="90" t="n">
        <v>4</v>
      </c>
      <c r="B3052" s="91">
        <f>EDATE($B3051,1)</f>
        <v/>
      </c>
      <c r="C3052" s="92">
        <f>EOMONTH($B3052,0)</f>
        <v/>
      </c>
      <c r="D3052" s="87">
        <f>$C3052-$B3052+1</f>
        <v/>
      </c>
      <c r="E3052" s="87">
        <f>MONTH($B3052)</f>
        <v/>
      </c>
      <c r="F3052" s="93">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$N3052*IF($O$3046=1,$O3052/$F$3046,1)</f>
        <v/>
      </c>
      <c r="T3052" s="95">
        <f>IF($G3052&lt;nr_MStartP,$S3052,$T3040*(1+IF($G3052&lt;nr_MStartP1,$M$3046,$N$3046)))</f>
        <v/>
      </c>
      <c r="U3052" s="95">
        <f>IF($L$3046,$T3052,$N3052)</f>
        <v/>
      </c>
    </row>
    <row r="3053">
      <c r="A3053" s="90" t="n">
        <v>5</v>
      </c>
      <c r="B3053" s="91">
        <f>EDATE($B3052,1)</f>
        <v/>
      </c>
      <c r="C3053" s="92">
        <f>EOMONTH($B3053,0)</f>
        <v/>
      </c>
      <c r="D3053" s="87">
        <f>$C3053-$B3053+1</f>
        <v/>
      </c>
      <c r="E3053" s="87">
        <f>MONTH($B3053)</f>
        <v/>
      </c>
      <c r="F3053" s="93">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$N3053*IF($O$3046=1,$O3053/$F$3046,1)</f>
        <v/>
      </c>
      <c r="T3053" s="95">
        <f>IF($G3053&lt;nr_MStartP,$S3053,$T3041*(1+IF($G3053&lt;nr_MStartP1,$M$3046,$N$3046)))</f>
        <v/>
      </c>
      <c r="U3053" s="95">
        <f>IF($L$3046,$T3053,$N3053)</f>
        <v/>
      </c>
    </row>
    <row r="3054">
      <c r="A3054" s="90" t="n">
        <v>6</v>
      </c>
      <c r="B3054" s="91">
        <f>EDATE($B3053,1)</f>
        <v/>
      </c>
      <c r="C3054" s="92">
        <f>EOMONTH($B3054,0)</f>
        <v/>
      </c>
      <c r="D3054" s="87">
        <f>$C3054-$B3054+1</f>
        <v/>
      </c>
      <c r="E3054" s="87">
        <f>MONTH($B3054)</f>
        <v/>
      </c>
      <c r="F3054" s="93">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$N3054*IF($O$3046=1,$O3054/$F$3046,1)</f>
        <v/>
      </c>
      <c r="T3054" s="95">
        <f>IF($G3054&lt;nr_MStartP,$S3054,$T3042*(1+IF($G3054&lt;nr_MStartP1,$M$3046,$N$3046)))</f>
        <v/>
      </c>
      <c r="U3054" s="95">
        <f>IF($L$3046,$T3054,$N3054)</f>
        <v/>
      </c>
    </row>
    <row r="3055">
      <c r="A3055" s="90" t="n">
        <v>7</v>
      </c>
      <c r="B3055" s="91">
        <f>EDATE($B3054,1)</f>
        <v/>
      </c>
      <c r="C3055" s="92">
        <f>EOMONTH($B3055,0)</f>
        <v/>
      </c>
      <c r="D3055" s="87">
        <f>$C3055-$B3055+1</f>
        <v/>
      </c>
      <c r="E3055" s="87">
        <f>MONTH($B3055)</f>
        <v/>
      </c>
      <c r="F3055" s="93">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$N3055*IF($O$3046=1,$O3055/$F$3046,1)</f>
        <v/>
      </c>
      <c r="T3055" s="95">
        <f>IF($G3055&lt;nr_MStartP,$S3055,$T3043*(1+IF($G3055&lt;nr_MStartP1,$M$3046,$N$3046)))</f>
        <v/>
      </c>
      <c r="U3055" s="95">
        <f>IF($L$3046,$T3055,$N3055)</f>
        <v/>
      </c>
    </row>
    <row r="3056">
      <c r="A3056" s="90" t="n">
        <v>8</v>
      </c>
      <c r="B3056" s="91">
        <f>EDATE($B3055,1)</f>
        <v/>
      </c>
      <c r="C3056" s="92">
        <f>EOMONTH($B3056,0)</f>
        <v/>
      </c>
      <c r="D3056" s="87">
        <f>$C3056-$B3056+1</f>
        <v/>
      </c>
      <c r="E3056" s="87">
        <f>MONTH($B3056)</f>
        <v/>
      </c>
      <c r="F3056" s="93">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$N3056*IF($O$3046=1,$O3056/$F$3046,1)</f>
        <v/>
      </c>
      <c r="T3056" s="95">
        <f>IF($G3056&lt;nr_MStartP,$S3056,$T3044*(1+IF($G3056&lt;nr_MStartP1,$M$3046,$N$3046)))</f>
        <v/>
      </c>
      <c r="U3056" s="95">
        <f>IF($L$3046,$T3056,$N3056)</f>
        <v/>
      </c>
    </row>
    <row r="3057">
      <c r="A3057" s="90" t="n">
        <v>9</v>
      </c>
      <c r="B3057" s="91">
        <f>EDATE($B3056,1)</f>
        <v/>
      </c>
      <c r="C3057" s="92">
        <f>EOMONTH($B3057,0)</f>
        <v/>
      </c>
      <c r="D3057" s="87">
        <f>$C3057-$B3057+1</f>
        <v/>
      </c>
      <c r="E3057" s="87">
        <f>MONTH($B3057)</f>
        <v/>
      </c>
      <c r="F3057" s="93">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$N3057*IF($O$3046=1,$O3057/$F$3046,1)</f>
        <v/>
      </c>
      <c r="T3057" s="95">
        <f>IF($G3057&lt;nr_MStartP,$S3057,$T3045*(1+IF($G3057&lt;nr_MStartP1,$M$3046,$N$3046)))</f>
        <v/>
      </c>
      <c r="U3057" s="95">
        <f>IF($L$3046,$T3057,$N3057)</f>
        <v/>
      </c>
    </row>
    <row r="3058">
      <c r="A3058" s="90" t="n">
        <v>10</v>
      </c>
      <c r="B3058" s="91">
        <f>EDATE($B3057,1)</f>
        <v/>
      </c>
      <c r="C3058" s="92">
        <f>EOMONTH($B3058,0)</f>
        <v/>
      </c>
      <c r="D3058" s="87">
        <f>$C3058-$B3058+1</f>
        <v/>
      </c>
      <c r="E3058" s="87">
        <f>MONTH($B3058)</f>
        <v/>
      </c>
      <c r="F3058" s="93">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$N3058*IF($O$3046=1,$O3058/$F$3046,1)</f>
        <v/>
      </c>
      <c r="T3058" s="95">
        <f>IF($G3058&lt;nr_MStartP,$S3058,$T3046*(1+IF($G3058&lt;nr_MStartP1,$M$3046,$N$3046)))</f>
        <v/>
      </c>
      <c r="U3058" s="95">
        <f>IF($L$3046,$T3058,$N3058)</f>
        <v/>
      </c>
    </row>
    <row r="3059">
      <c r="A3059" s="90" t="n">
        <v>11</v>
      </c>
      <c r="B3059" s="91">
        <f>EDATE($B3058,1)</f>
        <v/>
      </c>
      <c r="C3059" s="92">
        <f>EOMONTH($B3059,0)</f>
        <v/>
      </c>
      <c r="D3059" s="87">
        <f>$C3059-$B3059+1</f>
        <v/>
      </c>
      <c r="E3059" s="87">
        <f>MONTH($B3059)</f>
        <v/>
      </c>
      <c r="F3059" s="93">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$N3059*IF($O$3046=1,$O3059/$F$3046,1)</f>
        <v/>
      </c>
      <c r="T3059" s="95">
        <f>IF($G3059&lt;nr_MStartP,$S3059,$T3047*(1+IF($G3059&lt;nr_MStartP1,$M$3046,$N$3046)))</f>
        <v/>
      </c>
      <c r="U3059" s="95">
        <f>IF($L$3046,$T3059,$N3059)</f>
        <v/>
      </c>
    </row>
    <row r="3060">
      <c r="A3060" s="90" t="n">
        <v>12</v>
      </c>
      <c r="B3060" s="91">
        <f>EDATE($B3059,1)</f>
        <v/>
      </c>
      <c r="C3060" s="92">
        <f>EOMONTH($B3060,0)</f>
        <v/>
      </c>
      <c r="D3060" s="87">
        <f>$C3060-$B3060+1</f>
        <v/>
      </c>
      <c r="E3060" s="87">
        <f>MONTH($B3060)</f>
        <v/>
      </c>
      <c r="F3060" s="93">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$N3060*IF($O$3046=1,$O3060/$F$3046,1)</f>
        <v/>
      </c>
      <c r="T3060" s="95">
        <f>IF($G3060&lt;nr_MStartP,$S3060,$T3048*(1+IF($G3060&lt;nr_MStartP1,$M$3046,$N$3046)))</f>
        <v/>
      </c>
      <c r="U3060" s="95">
        <f>IF($L$3046,$T3060,$N3060)</f>
        <v/>
      </c>
    </row>
    <row r="3061">
      <c r="A3061" s="90" t="n">
        <v>13</v>
      </c>
      <c r="B3061" s="91">
        <f>EDATE($B3060,1)</f>
        <v/>
      </c>
      <c r="C3061" s="92">
        <f>EOMONTH($B3061,0)</f>
        <v/>
      </c>
      <c r="D3061" s="87">
        <f>$C3061-$B3061+1</f>
        <v/>
      </c>
      <c r="E3061" s="87">
        <f>MONTH($B3061)</f>
        <v/>
      </c>
      <c r="F3061" s="93">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$N3061*IF($O$3046=1,$O3061/$F$3046,1)</f>
        <v/>
      </c>
      <c r="T3061" s="95">
        <f>IF($G3061&lt;nr_MStartP,$S3061,$T3049*(1+IF($G3061&lt;nr_MStartP1,$M$3046,$N$3046)))</f>
        <v/>
      </c>
      <c r="U3061" s="95">
        <f>IF($L$3046,$T3061,$N3061)</f>
        <v/>
      </c>
    </row>
    <row r="3062">
      <c r="A3062" s="90" t="n">
        <v>14</v>
      </c>
      <c r="B3062" s="91">
        <f>EDATE($B3061,1)</f>
        <v/>
      </c>
      <c r="C3062" s="92">
        <f>EOMONTH($B3062,0)</f>
        <v/>
      </c>
      <c r="D3062" s="87">
        <f>$C3062-$B3062+1</f>
        <v/>
      </c>
      <c r="E3062" s="87">
        <f>MONTH($B3062)</f>
        <v/>
      </c>
      <c r="F3062" s="93">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$N3062*IF($O$3046=1,$O3062/$F$3046,1)</f>
        <v/>
      </c>
      <c r="T3062" s="95">
        <f>IF($G3062&lt;nr_MStartP,$S3062,$T3050*(1+IF($G3062&lt;nr_MStartP1,$M$3046,$N$3046)))</f>
        <v/>
      </c>
      <c r="U3062" s="95">
        <f>IF($L$3046,$T3062,$N3062)</f>
        <v/>
      </c>
    </row>
    <row r="3063">
      <c r="A3063" s="90" t="n">
        <v>15</v>
      </c>
      <c r="B3063" s="91">
        <f>EDATE($B3062,1)</f>
        <v/>
      </c>
      <c r="C3063" s="92">
        <f>EOMONTH($B3063,0)</f>
        <v/>
      </c>
      <c r="D3063" s="87">
        <f>$C3063-$B3063+1</f>
        <v/>
      </c>
      <c r="E3063" s="87">
        <f>MONTH($B3063)</f>
        <v/>
      </c>
      <c r="F3063" s="93">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$N3063*IF($O$3046=1,$O3063/$F$3046,1)</f>
        <v/>
      </c>
      <c r="T3063" s="95">
        <f>IF($G3063&lt;nr_MStartP,$S3063,$T3051*(1+IF($G3063&lt;nr_MStartP1,$M$3046,$N$3046)))</f>
        <v/>
      </c>
      <c r="U3063" s="95">
        <f>IF($L$3046,$T3063,$N3063)</f>
        <v/>
      </c>
    </row>
    <row r="3064">
      <c r="A3064" s="90" t="n">
        <v>16</v>
      </c>
      <c r="B3064" s="91">
        <f>EDATE($B3063,1)</f>
        <v/>
      </c>
      <c r="C3064" s="92">
        <f>EOMONTH($B3064,0)</f>
        <v/>
      </c>
      <c r="D3064" s="87">
        <f>$C3064-$B3064+1</f>
        <v/>
      </c>
      <c r="E3064" s="87">
        <f>MONTH($B3064)</f>
        <v/>
      </c>
      <c r="F3064" s="93">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$N3064*IF($O$3046=1,$O3064/$F$3046,1)</f>
        <v/>
      </c>
      <c r="T3064" s="95">
        <f>IF($G3064&lt;nr_MStartP,$S3064,$T3052*(1+IF($G3064&lt;nr_MStartP1,$M$3046,$N$3046)))</f>
        <v/>
      </c>
      <c r="U3064" s="95">
        <f>IF($L$3046,$T3064,$N3064)</f>
        <v/>
      </c>
    </row>
    <row r="3065">
      <c r="A3065" s="90" t="n">
        <v>17</v>
      </c>
      <c r="B3065" s="91">
        <f>EDATE($B3064,1)</f>
        <v/>
      </c>
      <c r="C3065" s="92">
        <f>EOMONTH($B3065,0)</f>
        <v/>
      </c>
      <c r="D3065" s="87">
        <f>$C3065-$B3065+1</f>
        <v/>
      </c>
      <c r="E3065" s="87">
        <f>MONTH($B3065)</f>
        <v/>
      </c>
      <c r="F3065" s="93">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$N3065*IF($O$3046=1,$O3065/$F$3046,1)</f>
        <v/>
      </c>
      <c r="T3065" s="95">
        <f>IF($G3065&lt;nr_MStartP,$S3065,$T3053*(1+IF($G3065&lt;nr_MStartP1,$M$3046,$N$3046)))</f>
        <v/>
      </c>
      <c r="U3065" s="95">
        <f>IF($L$3046,$T3065,$N3065)</f>
        <v/>
      </c>
    </row>
    <row r="3066">
      <c r="A3066" s="90" t="n">
        <v>18</v>
      </c>
      <c r="B3066" s="91">
        <f>EDATE($B3065,1)</f>
        <v/>
      </c>
      <c r="C3066" s="92">
        <f>EOMONTH($B3066,0)</f>
        <v/>
      </c>
      <c r="D3066" s="87">
        <f>$C3066-$B3066+1</f>
        <v/>
      </c>
      <c r="E3066" s="87">
        <f>MONTH($B3066)</f>
        <v/>
      </c>
      <c r="F3066" s="93">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$N3066*IF($O$3046=1,$O3066/$F$3046,1)</f>
        <v/>
      </c>
      <c r="T3066" s="95">
        <f>IF($G3066&lt;nr_MStartP,$S3066,$T3054*(1+IF($G3066&lt;nr_MStartP1,$M$3046,$N$3046)))</f>
        <v/>
      </c>
      <c r="U3066" s="95">
        <f>IF($L$3046,$T3066,$N3066)</f>
        <v/>
      </c>
    </row>
    <row r="3067">
      <c r="A3067" s="90" t="n">
        <v>19</v>
      </c>
      <c r="B3067" s="91">
        <f>EDATE($B3066,1)</f>
        <v/>
      </c>
      <c r="C3067" s="92">
        <f>EOMONTH($B3067,0)</f>
        <v/>
      </c>
      <c r="D3067" s="87">
        <f>$C3067-$B3067+1</f>
        <v/>
      </c>
      <c r="E3067" s="87">
        <f>MONTH($B3067)</f>
        <v/>
      </c>
      <c r="F3067" s="93">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$N3067*IF($O$3046=1,$O3067/$F$3046,1)</f>
        <v/>
      </c>
      <c r="T3067" s="95">
        <f>IF($G3067&lt;nr_MStartP,$S3067,$T3055*(1+IF($G3067&lt;nr_MStartP1,$M$3046,$N$3046)))</f>
        <v/>
      </c>
      <c r="U3067" s="95">
        <f>IF($L$3046,$T3067,$N3067)</f>
        <v/>
      </c>
    </row>
    <row r="3068">
      <c r="A3068" s="90" t="n">
        <v>20</v>
      </c>
      <c r="B3068" s="91">
        <f>EDATE($B3067,1)</f>
        <v/>
      </c>
      <c r="C3068" s="92">
        <f>EOMONTH($B3068,0)</f>
        <v/>
      </c>
      <c r="D3068" s="87">
        <f>$C3068-$B3068+1</f>
        <v/>
      </c>
      <c r="E3068" s="87">
        <f>MONTH($B3068)</f>
        <v/>
      </c>
      <c r="F3068" s="93">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$N3068*IF($O$3046=1,$O3068/$F$3046,1)</f>
        <v/>
      </c>
      <c r="T3068" s="95">
        <f>IF($G3068&lt;nr_MStartP,$S3068,$T3056*(1+IF($G3068&lt;nr_MStartP1,$M$3046,$N$3046)))</f>
        <v/>
      </c>
      <c r="U3068" s="95">
        <f>IF($L$3046,$T3068,$N3068)</f>
        <v/>
      </c>
    </row>
    <row r="3069">
      <c r="A3069" s="90" t="n">
        <v>21</v>
      </c>
      <c r="B3069" s="91">
        <f>EDATE($B3068,1)</f>
        <v/>
      </c>
      <c r="C3069" s="92">
        <f>EOMONTH($B3069,0)</f>
        <v/>
      </c>
      <c r="D3069" s="87">
        <f>$C3069-$B3069+1</f>
        <v/>
      </c>
      <c r="E3069" s="87">
        <f>MONTH($B3069)</f>
        <v/>
      </c>
      <c r="F3069" s="93">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$N3069*IF($O$3046=1,$O3069/$F$3046,1)</f>
        <v/>
      </c>
      <c r="T3069" s="95">
        <f>IF($G3069&lt;nr_MStartP,$S3069,$T3057*(1+IF($G3069&lt;nr_MStartP1,$M$3046,$N$3046)))</f>
        <v/>
      </c>
      <c r="U3069" s="95">
        <f>IF($L$3046,$T3069,$N3069)</f>
        <v/>
      </c>
    </row>
    <row r="3070">
      <c r="A3070" s="90" t="n">
        <v>22</v>
      </c>
      <c r="B3070" s="91">
        <f>EDATE($B3069,1)</f>
        <v/>
      </c>
      <c r="C3070" s="92">
        <f>EOMONTH($B3070,0)</f>
        <v/>
      </c>
      <c r="D3070" s="87">
        <f>$C3070-$B3070+1</f>
        <v/>
      </c>
      <c r="E3070" s="87">
        <f>MONTH($B3070)</f>
        <v/>
      </c>
      <c r="F3070" s="93">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$N3070*IF($O$3046=1,$O3070/$F$3046,1)</f>
        <v/>
      </c>
      <c r="T3070" s="95">
        <f>IF($G3070&lt;nr_MStartP,$S3070,$T3058*(1+IF($G3070&lt;nr_MStartP1,$M$3046,$N$3046)))</f>
        <v/>
      </c>
      <c r="U3070" s="95">
        <f>IF($L$3046,$T3070,$N3070)</f>
        <v/>
      </c>
    </row>
    <row r="3071">
      <c r="A3071" s="90" t="n">
        <v>23</v>
      </c>
      <c r="B3071" s="91">
        <f>EDATE($B3070,1)</f>
        <v/>
      </c>
      <c r="C3071" s="92">
        <f>EOMONTH($B3071,0)</f>
        <v/>
      </c>
      <c r="D3071" s="87">
        <f>$C3071-$B3071+1</f>
        <v/>
      </c>
      <c r="E3071" s="87">
        <f>MONTH($B3071)</f>
        <v/>
      </c>
      <c r="F3071" s="93">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$N3071*IF($O$3046=1,$O3071/$F$3046,1)</f>
        <v/>
      </c>
      <c r="T3071" s="95">
        <f>IF($G3071&lt;nr_MStartP,$S3071,$T3059*(1+IF($G3071&lt;nr_MStartP1,$M$3046,$N$3046)))</f>
        <v/>
      </c>
      <c r="U3071" s="95">
        <f>IF($L$3046,$T3071,$N3071)</f>
        <v/>
      </c>
    </row>
    <row r="3072">
      <c r="A3072" s="90" t="n">
        <v>24</v>
      </c>
      <c r="B3072" s="91">
        <f>EDATE($B3071,1)</f>
        <v/>
      </c>
      <c r="C3072" s="92">
        <f>EOMONTH($B3072,0)</f>
        <v/>
      </c>
      <c r="D3072" s="87">
        <f>$C3072-$B3072+1</f>
        <v/>
      </c>
      <c r="E3072" s="87">
        <f>MONTH($B3072)</f>
        <v/>
      </c>
      <c r="F3072" s="93">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$N3072*IF($O$3046=1,$O3072/$F$3046,1)</f>
        <v/>
      </c>
      <c r="T3072" s="95">
        <f>IF($G3072&lt;nr_MStartP,$S3072,$T3060*(1+IF($G3072&lt;nr_MStartP1,$M$3046,$N$3046)))</f>
        <v/>
      </c>
      <c r="U3072" s="95">
        <f>IF($L$3046,$T3072,$N3072)</f>
        <v/>
      </c>
    </row>
    <row r="3073">
      <c r="A3073" s="90" t="n">
        <v>25</v>
      </c>
      <c r="B3073" s="91">
        <f>EDATE($B3072,1)</f>
        <v/>
      </c>
      <c r="C3073" s="92">
        <f>EOMONTH($B3073,0)</f>
        <v/>
      </c>
      <c r="D3073" s="87">
        <f>$C3073-$B3073+1</f>
        <v/>
      </c>
      <c r="E3073" s="87">
        <f>MONTH($B3073)</f>
        <v/>
      </c>
      <c r="F3073" s="93">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$N3073*IF($O$3046=1,$O3073/$F$3046,1)</f>
        <v/>
      </c>
      <c r="T3073" s="95">
        <f>IF($G3073&lt;nr_MStartP,$S3073,$T3061*(1+IF($G3073&lt;nr_MStartP1,$M$3046,$N$3046)))</f>
        <v/>
      </c>
      <c r="U3073" s="95">
        <f>IF($L$3046,$T3073,$N3073)</f>
        <v/>
      </c>
    </row>
    <row r="3074">
      <c r="A3074" s="90" t="n">
        <v>26</v>
      </c>
      <c r="B3074" s="91">
        <f>EDATE($B3073,1)</f>
        <v/>
      </c>
      <c r="C3074" s="92">
        <f>EOMONTH($B3074,0)</f>
        <v/>
      </c>
      <c r="D3074" s="87">
        <f>$C3074-$B3074+1</f>
        <v/>
      </c>
      <c r="E3074" s="87">
        <f>MONTH($B3074)</f>
        <v/>
      </c>
      <c r="F3074" s="93">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$N3074*IF($O$3046=1,$O3074/$F$3046,1)</f>
        <v/>
      </c>
      <c r="T3074" s="95">
        <f>IF($G3074&lt;nr_MStartP,$S3074,$T3062*(1+IF($G3074&lt;nr_MStartP1,$M$3046,$N$3046)))</f>
        <v/>
      </c>
      <c r="U3074" s="95">
        <f>IF($L$3046,$T3074,$N3074)</f>
        <v/>
      </c>
    </row>
    <row r="3075">
      <c r="A3075" s="90" t="n">
        <v>27</v>
      </c>
      <c r="B3075" s="91">
        <f>EDATE($B3074,1)</f>
        <v/>
      </c>
      <c r="C3075" s="92">
        <f>EOMONTH($B3075,0)</f>
        <v/>
      </c>
      <c r="D3075" s="87">
        <f>$C3075-$B3075+1</f>
        <v/>
      </c>
      <c r="E3075" s="87">
        <f>MONTH($B3075)</f>
        <v/>
      </c>
      <c r="F3075" s="93">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$N3075*IF($O$3046=1,$O3075/$F$3046,1)</f>
        <v/>
      </c>
      <c r="T3075" s="95">
        <f>IF($G3075&lt;nr_MStartP,$S3075,$T3063*(1+IF($G3075&lt;nr_MStartP1,$M$3046,$N$3046)))</f>
        <v/>
      </c>
      <c r="U3075" s="95">
        <f>IF($L$3046,$T3075,$N3075)</f>
        <v/>
      </c>
    </row>
    <row r="3076">
      <c r="A3076" s="90" t="n">
        <v>28</v>
      </c>
      <c r="B3076" s="91">
        <f>EDATE($B3075,1)</f>
        <v/>
      </c>
      <c r="C3076" s="92">
        <f>EOMONTH($B3076,0)</f>
        <v/>
      </c>
      <c r="D3076" s="87">
        <f>$C3076-$B3076+1</f>
        <v/>
      </c>
      <c r="E3076" s="87">
        <f>MONTH($B3076)</f>
        <v/>
      </c>
      <c r="F3076" s="93">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$N3076*IF($O$3046=1,$O3076/$F$3046,1)</f>
        <v/>
      </c>
      <c r="T3076" s="95">
        <f>IF($G3076&lt;nr_MStartP,$S3076,$T3064*(1+IF($G3076&lt;nr_MStartP1,$M$3046,$N$3046)))</f>
        <v/>
      </c>
      <c r="U3076" s="95">
        <f>IF($L$3046,$T3076,$N3076)</f>
        <v/>
      </c>
    </row>
    <row r="3077">
      <c r="A3077" s="90" t="n">
        <v>29</v>
      </c>
      <c r="B3077" s="91">
        <f>EDATE($B3076,1)</f>
        <v/>
      </c>
      <c r="C3077" s="92">
        <f>EOMONTH($B3077,0)</f>
        <v/>
      </c>
      <c r="D3077" s="87">
        <f>$C3077-$B3077+1</f>
        <v/>
      </c>
      <c r="E3077" s="87">
        <f>MONTH($B3077)</f>
        <v/>
      </c>
      <c r="F3077" s="93">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$N3077*IF($O$3046=1,$O3077/$F$3046,1)</f>
        <v/>
      </c>
      <c r="T3077" s="95">
        <f>IF($G3077&lt;nr_MStartP,$S3077,$T3065*(1+IF($G3077&lt;nr_MStartP1,$M$3046,$N$3046)))</f>
        <v/>
      </c>
      <c r="U3077" s="95">
        <f>IF($L$3046,$T3077,$N3077)</f>
        <v/>
      </c>
    </row>
    <row r="3078">
      <c r="A3078" s="90" t="n">
        <v>30</v>
      </c>
      <c r="B3078" s="91">
        <f>EDATE($B3077,1)</f>
        <v/>
      </c>
      <c r="C3078" s="92">
        <f>EOMONTH($B3078,0)</f>
        <v/>
      </c>
      <c r="D3078" s="87">
        <f>$C3078-$B3078+1</f>
        <v/>
      </c>
      <c r="E3078" s="87">
        <f>MONTH($B3078)</f>
        <v/>
      </c>
      <c r="F3078" s="93">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$N3078*IF($O$3046=1,$O3078/$F$3046,1)</f>
        <v/>
      </c>
      <c r="T3078" s="95">
        <f>IF($G3078&lt;nr_MStartP,$S3078,$T3066*(1+IF($G3078&lt;nr_MStartP1,$M$3046,$N$3046)))</f>
        <v/>
      </c>
      <c r="U3078" s="95">
        <f>IF($L$3046,$T3078,$N3078)</f>
        <v/>
      </c>
    </row>
    <row r="3079">
      <c r="A3079" s="90" t="n">
        <v>31</v>
      </c>
      <c r="B3079" s="91">
        <f>EDATE($B3078,1)</f>
        <v/>
      </c>
      <c r="C3079" s="92">
        <f>EOMONTH($B3079,0)</f>
        <v/>
      </c>
      <c r="D3079" s="87">
        <f>$C3079-$B3079+1</f>
        <v/>
      </c>
      <c r="E3079" s="87">
        <f>MONTH($B3079)</f>
        <v/>
      </c>
      <c r="F3079" s="93">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$N3079*IF($O$3046=1,$O3079/$F$3046,1)</f>
        <v/>
      </c>
      <c r="T3079" s="95">
        <f>IF($G3079&lt;nr_MStartP,$S3079,$T3067*(1+IF($G3079&lt;nr_MStartP1,$M$3046,$N$3046)))</f>
        <v/>
      </c>
      <c r="U3079" s="95">
        <f>IF($L$3046,$T3079,$N3079)</f>
        <v/>
      </c>
    </row>
    <row r="3080">
      <c r="A3080" s="90" t="n">
        <v>32</v>
      </c>
      <c r="B3080" s="91">
        <f>EDATE($B3079,1)</f>
        <v/>
      </c>
      <c r="C3080" s="92">
        <f>EOMONTH($B3080,0)</f>
        <v/>
      </c>
      <c r="D3080" s="87">
        <f>$C3080-$B3080+1</f>
        <v/>
      </c>
      <c r="E3080" s="87">
        <f>MONTH($B3080)</f>
        <v/>
      </c>
      <c r="F3080" s="93">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$N3080*IF($O$3046=1,$O3080/$F$3046,1)</f>
        <v/>
      </c>
      <c r="T3080" s="95">
        <f>IF($G3080&lt;nr_MStartP,$S3080,$T3068*(1+IF($G3080&lt;nr_MStartP1,$M$3046,$N$3046)))</f>
        <v/>
      </c>
      <c r="U3080" s="95">
        <f>IF($L$3046,$T3080,$N3080)</f>
        <v/>
      </c>
    </row>
    <row r="3081">
      <c r="A3081" s="90" t="n">
        <v>33</v>
      </c>
      <c r="B3081" s="91">
        <f>EDATE($B3080,1)</f>
        <v/>
      </c>
      <c r="C3081" s="92">
        <f>EOMONTH($B3081,0)</f>
        <v/>
      </c>
      <c r="D3081" s="87">
        <f>$C3081-$B3081+1</f>
        <v/>
      </c>
      <c r="E3081" s="87">
        <f>MONTH($B3081)</f>
        <v/>
      </c>
      <c r="F3081" s="93">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$N3081*IF($O$3046=1,$O3081/$F$3046,1)</f>
        <v/>
      </c>
      <c r="T3081" s="95">
        <f>IF($G3081&lt;nr_MStartP,$S3081,$T3069*(1+IF($G3081&lt;nr_MStartP1,$M$3046,$N$3046)))</f>
        <v/>
      </c>
      <c r="U3081" s="95">
        <f>IF($L$3046,$T3081,$N3081)</f>
        <v/>
      </c>
    </row>
    <row r="3082">
      <c r="A3082" s="90" t="n">
        <v>34</v>
      </c>
      <c r="B3082" s="91">
        <f>EDATE($B3081,1)</f>
        <v/>
      </c>
      <c r="C3082" s="92">
        <f>EOMONTH($B3082,0)</f>
        <v/>
      </c>
      <c r="D3082" s="87">
        <f>$C3082-$B3082+1</f>
        <v/>
      </c>
      <c r="E3082" s="87">
        <f>MONTH($B3082)</f>
        <v/>
      </c>
      <c r="F3082" s="93">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$N3082*IF($O$3046=1,$O3082/$F$3046,1)</f>
        <v/>
      </c>
      <c r="T3082" s="95">
        <f>IF($G3082&lt;nr_MStartP,$S3082,$T3070*(1+IF($G3082&lt;nr_MStartP1,$M$3046,$N$3046)))</f>
        <v/>
      </c>
      <c r="U3082" s="95">
        <f>IF($L$3046,$T3082,$N3082)</f>
        <v/>
      </c>
    </row>
    <row r="3083">
      <c r="A3083" s="90" t="n">
        <v>35</v>
      </c>
      <c r="B3083" s="91">
        <f>EDATE($B3082,1)</f>
        <v/>
      </c>
      <c r="C3083" s="92">
        <f>EOMONTH($B3083,0)</f>
        <v/>
      </c>
      <c r="D3083" s="87">
        <f>$C3083-$B3083+1</f>
        <v/>
      </c>
      <c r="E3083" s="87">
        <f>MONTH($B3083)</f>
        <v/>
      </c>
      <c r="F3083" s="93">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$N3083*IF($O$3046=1,$O3083/$F$3046,1)</f>
        <v/>
      </c>
      <c r="T3083" s="95">
        <f>IF($G3083&lt;nr_MStartP,$S3083,$T3071*(1+IF($G3083&lt;nr_MStartP1,$M$3046,$N$3046)))</f>
        <v/>
      </c>
      <c r="U3083" s="95">
        <f>IF($L$3046,$T3083,$N3083)</f>
        <v/>
      </c>
    </row>
    <row r="3084">
      <c r="A3084" s="90" t="n">
        <v>36</v>
      </c>
      <c r="B3084" s="91">
        <f>EDATE($B3083,1)</f>
        <v/>
      </c>
      <c r="C3084" s="92">
        <f>EOMONTH($B3084,0)</f>
        <v/>
      </c>
      <c r="D3084" s="87">
        <f>$C3084-$B3084+1</f>
        <v/>
      </c>
      <c r="E3084" s="87">
        <f>MONTH($B3084)</f>
        <v/>
      </c>
      <c r="F3084" s="93">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$N3084*IF($O$3046=1,$O3084/$F$3046,1)</f>
        <v/>
      </c>
      <c r="T3084" s="95">
        <f>IF($G3084&lt;nr_MStartP,$S3084,$T3072*(1+IF($G3084&lt;nr_MStartP1,$M$3046,$N$3046)))</f>
        <v/>
      </c>
      <c r="U3084" s="95">
        <f>IF($L$3046,$T3084,$N3084)</f>
        <v/>
      </c>
    </row>
    <row r="3085">
      <c r="A3085" s="90" t="n">
        <v>37</v>
      </c>
      <c r="B3085" s="91">
        <f>EDATE($B3084,1)</f>
        <v/>
      </c>
      <c r="C3085" s="92">
        <f>EOMONTH($B3085,0)</f>
        <v/>
      </c>
      <c r="D3085" s="87">
        <f>$C3085-$B3085+1</f>
        <v/>
      </c>
      <c r="E3085" s="87">
        <f>MONTH($B3085)</f>
        <v/>
      </c>
      <c r="F3085" s="93">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$N3085*IF($O$3046=1,$O3085/$F$3046,1)</f>
        <v/>
      </c>
      <c r="T3085" s="95">
        <f>IF($G3085&lt;nr_MStartP,$S3085,$T3073*(1+IF($G3085&lt;nr_MStartP1,$M$3046,$N$3046)))</f>
        <v/>
      </c>
      <c r="U3085" s="95">
        <f>IF($L$3046,$T3085,$N3085)</f>
        <v/>
      </c>
    </row>
    <row r="3086">
      <c r="A3086" s="90" t="n">
        <v>38</v>
      </c>
      <c r="B3086" s="91">
        <f>EDATE($B3085,1)</f>
        <v/>
      </c>
      <c r="C3086" s="92">
        <f>EOMONTH($B3086,0)</f>
        <v/>
      </c>
      <c r="D3086" s="87">
        <f>$C3086-$B3086+1</f>
        <v/>
      </c>
      <c r="E3086" s="87">
        <f>MONTH($B3086)</f>
        <v/>
      </c>
      <c r="F3086" s="93">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$N3086*IF($O$3046=1,$O3086/$F$3046,1)</f>
        <v/>
      </c>
      <c r="T3086" s="95">
        <f>IF($G3086&lt;nr_MStartP,$S3086,$T3074*(1+IF($G3086&lt;nr_MStartP1,$M$3046,$N$3046)))</f>
        <v/>
      </c>
      <c r="U3086" s="95">
        <f>IF($L$3046,$T3086,$N3086)</f>
        <v/>
      </c>
    </row>
    <row r="3087">
      <c r="A3087" s="90" t="n">
        <v>39</v>
      </c>
      <c r="B3087" s="91">
        <f>EDATE($B3086,1)</f>
        <v/>
      </c>
      <c r="C3087" s="92">
        <f>EOMONTH($B3087,0)</f>
        <v/>
      </c>
      <c r="D3087" s="87">
        <f>$C3087-$B3087+1</f>
        <v/>
      </c>
      <c r="E3087" s="87">
        <f>MONTH($B3087)</f>
        <v/>
      </c>
      <c r="F3087" s="93">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$N3087*IF($O$3046=1,$O3087/$F$3046,1)</f>
        <v/>
      </c>
      <c r="T3087" s="95">
        <f>IF($G3087&lt;nr_MStartP,$S3087,$T3075*(1+IF($G3087&lt;nr_MStartP1,$M$3046,$N$3046)))</f>
        <v/>
      </c>
      <c r="U3087" s="95">
        <f>IF($L$3046,$T3087,$N3087)</f>
        <v/>
      </c>
    </row>
    <row r="3088">
      <c r="A3088" s="90" t="n">
        <v>40</v>
      </c>
      <c r="B3088" s="91">
        <f>EDATE($B3087,1)</f>
        <v/>
      </c>
      <c r="C3088" s="92">
        <f>EOMONTH($B3088,0)</f>
        <v/>
      </c>
      <c r="D3088" s="87">
        <f>$C3088-$B3088+1</f>
        <v/>
      </c>
      <c r="E3088" s="87">
        <f>MONTH($B3088)</f>
        <v/>
      </c>
      <c r="F3088" s="93">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$N3088*IF($O$3046=1,$O3088/$F$3046,1)</f>
        <v/>
      </c>
      <c r="T3088" s="95">
        <f>IF($G3088&lt;nr_MStartP,$S3088,$T3076*(1+IF($G3088&lt;nr_MStartP1,$M$3046,$N$3046)))</f>
        <v/>
      </c>
      <c r="U3088" s="95">
        <f>IF($L$3046,$T3088,$N3088)</f>
        <v/>
      </c>
    </row>
    <row r="3089">
      <c r="A3089" s="90" t="n">
        <v>41</v>
      </c>
      <c r="B3089" s="91">
        <f>EDATE($B3088,1)</f>
        <v/>
      </c>
      <c r="C3089" s="92">
        <f>EOMONTH($B3089,0)</f>
        <v/>
      </c>
      <c r="D3089" s="87">
        <f>$C3089-$B3089+1</f>
        <v/>
      </c>
      <c r="E3089" s="87">
        <f>MONTH($B3089)</f>
        <v/>
      </c>
      <c r="F3089" s="93">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$N3089*IF($O$3046=1,$O3089/$F$3046,1)</f>
        <v/>
      </c>
      <c r="T3089" s="95">
        <f>IF($G3089&lt;nr_MStartP,$S3089,$T3077*(1+IF($G3089&lt;nr_MStartP1,$M$3046,$N$3046)))</f>
        <v/>
      </c>
      <c r="U3089" s="95">
        <f>IF($L$3046,$T3089,$N3089)</f>
        <v/>
      </c>
    </row>
    <row r="3090">
      <c r="A3090" s="90" t="n">
        <v>42</v>
      </c>
      <c r="B3090" s="91">
        <f>EDATE($B3089,1)</f>
        <v/>
      </c>
      <c r="C3090" s="92">
        <f>EOMONTH($B3090,0)</f>
        <v/>
      </c>
      <c r="D3090" s="87">
        <f>$C3090-$B3090+1</f>
        <v/>
      </c>
      <c r="E3090" s="87">
        <f>MONTH($B3090)</f>
        <v/>
      </c>
      <c r="F3090" s="93">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$N3090*IF($O$3046=1,$O3090/$F$3046,1)</f>
        <v/>
      </c>
      <c r="T3090" s="95">
        <f>IF($G3090&lt;nr_MStartP,$S3090,$T3078*(1+IF($G3090&lt;nr_MStartP1,$M$3046,$N$3046)))</f>
        <v/>
      </c>
      <c r="U3090" s="95">
        <f>IF($L$3046,$T3090,$N3090)</f>
        <v/>
      </c>
    </row>
    <row r="3091">
      <c r="A3091" s="90" t="n">
        <v>43</v>
      </c>
      <c r="B3091" s="91">
        <f>EDATE($B3090,1)</f>
        <v/>
      </c>
      <c r="C3091" s="92">
        <f>EOMONTH($B3091,0)</f>
        <v/>
      </c>
      <c r="D3091" s="87">
        <f>$C3091-$B3091+1</f>
        <v/>
      </c>
      <c r="E3091" s="87">
        <f>MONTH($B3091)</f>
        <v/>
      </c>
      <c r="F3091" s="93">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$N3091*IF($O$3046=1,$O3091/$F$3046,1)</f>
        <v/>
      </c>
      <c r="T3091" s="95">
        <f>IF($G3091&lt;nr_MStartP,$S3091,$T3079*(1+IF($G3091&lt;nr_MStartP1,$M$3046,$N$3046)))</f>
        <v/>
      </c>
      <c r="U3091" s="95">
        <f>IF($L$3046,$T3091,$N3091)</f>
        <v/>
      </c>
    </row>
    <row r="3092">
      <c r="A3092" s="90" t="n">
        <v>44</v>
      </c>
      <c r="B3092" s="91">
        <f>EDATE($B3091,1)</f>
        <v/>
      </c>
      <c r="C3092" s="92">
        <f>EOMONTH($B3092,0)</f>
        <v/>
      </c>
      <c r="D3092" s="87">
        <f>$C3092-$B3092+1</f>
        <v/>
      </c>
      <c r="E3092" s="87">
        <f>MONTH($B3092)</f>
        <v/>
      </c>
      <c r="F3092" s="93">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$N3092*IF($O$3046=1,$O3092/$F$3046,1)</f>
        <v/>
      </c>
      <c r="T3092" s="95">
        <f>IF($G3092&lt;nr_MStartP,$S3092,$T3080*(1+IF($G3092&lt;nr_MStartP1,$M$3046,$N$3046)))</f>
        <v/>
      </c>
      <c r="U3092" s="95">
        <f>IF($L$3046,$T3092,$N3092)</f>
        <v/>
      </c>
    </row>
    <row r="3093">
      <c r="A3093" s="90" t="n">
        <v>45</v>
      </c>
      <c r="B3093" s="91">
        <f>EDATE($B3092,1)</f>
        <v/>
      </c>
      <c r="C3093" s="92">
        <f>EOMONTH($B3093,0)</f>
        <v/>
      </c>
      <c r="D3093" s="87">
        <f>$C3093-$B3093+1</f>
        <v/>
      </c>
      <c r="E3093" s="87">
        <f>MONTH($B3093)</f>
        <v/>
      </c>
      <c r="F3093" s="93">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$N3093*IF($O$3046=1,$O3093/$F$3046,1)</f>
        <v/>
      </c>
      <c r="T3093" s="95">
        <f>IF($G3093&lt;nr_MStartP,$S3093,$T3081*(1+IF($G3093&lt;nr_MStartP1,$M$3046,$N$3046)))</f>
        <v/>
      </c>
      <c r="U3093" s="95">
        <f>IF($L$3046,$T3093,$N3093)</f>
        <v/>
      </c>
    </row>
    <row r="3094">
      <c r="A3094" s="90" t="n">
        <v>46</v>
      </c>
      <c r="B3094" s="91">
        <f>EDATE($B3093,1)</f>
        <v/>
      </c>
      <c r="C3094" s="92">
        <f>EOMONTH($B3094,0)</f>
        <v/>
      </c>
      <c r="D3094" s="87">
        <f>$C3094-$B3094+1</f>
        <v/>
      </c>
      <c r="E3094" s="87">
        <f>MONTH($B3094)</f>
        <v/>
      </c>
      <c r="F3094" s="93">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$N3094*IF($O$3046=1,$O3094/$F$3046,1)</f>
        <v/>
      </c>
      <c r="T3094" s="95">
        <f>IF($G3094&lt;nr_MStartP,$S3094,$T3082*(1+IF($G3094&lt;nr_MStartP1,$M$3046,$N$3046)))</f>
        <v/>
      </c>
      <c r="U3094" s="95">
        <f>IF($L$3046,$T3094,$N3094)</f>
        <v/>
      </c>
    </row>
    <row r="3095">
      <c r="A3095" s="90" t="n">
        <v>47</v>
      </c>
      <c r="B3095" s="91">
        <f>EDATE($B3094,1)</f>
        <v/>
      </c>
      <c r="C3095" s="92">
        <f>EOMONTH($B3095,0)</f>
        <v/>
      </c>
      <c r="D3095" s="87">
        <f>$C3095-$B3095+1</f>
        <v/>
      </c>
      <c r="E3095" s="87">
        <f>MONTH($B3095)</f>
        <v/>
      </c>
      <c r="F3095" s="93">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$N3095*IF($O$3046=1,$O3095/$F$3046,1)</f>
        <v/>
      </c>
      <c r="T3095" s="95">
        <f>IF($G3095&lt;nr_MStartP,$S3095,$T3083*(1+IF($G3095&lt;nr_MStartP1,$M$3046,$N$3046)))</f>
        <v/>
      </c>
      <c r="U3095" s="95">
        <f>IF($L$3046,$T3095,$N3095)</f>
        <v/>
      </c>
    </row>
    <row r="3096">
      <c r="A3096" s="90" t="n">
        <v>48</v>
      </c>
      <c r="B3096" s="91">
        <f>EDATE($B3095,1)</f>
        <v/>
      </c>
      <c r="C3096" s="92">
        <f>EOMONTH($B3096,0)</f>
        <v/>
      </c>
      <c r="D3096" s="87">
        <f>$C3096-$B3096+1</f>
        <v/>
      </c>
      <c r="E3096" s="87">
        <f>MONTH($B3096)</f>
        <v/>
      </c>
      <c r="F3096" s="93">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$N3096*IF($O$3046=1,$O3096/$F$3046,1)</f>
        <v/>
      </c>
      <c r="T3096" s="95">
        <f>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04">
        <f>SUMPRODUCT($H$3049:$H$3096,$Q$3049:$Q$3096,$O$3049:$O$3096)/SUMPRODUCT($H$3049:$H$3096,$Q$3049:$Q$3096)</f>
        <v/>
      </c>
      <c r="G3097" s="20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04">
        <f>IF(N(INDEX(lr_mind,57))=0,1,INDEX(lr_mind,57))</f>
        <v/>
      </c>
      <c r="G3100" s="204">
        <f>IF(N(INDEX(lr_m0,57))=0,1,INDEX(lr_m0,57))</f>
        <v/>
      </c>
      <c r="H3100" s="73">
        <f>IF(N(INDEX(lr_m0asof,57))=0,DATE(nr_PlanYear-1,10,1),INDEX(lr_m0asof,57))</f>
        <v/>
      </c>
      <c r="I3100" s="204">
        <f>IF(N(INDEX(lr_m1,57))=0,1,INDEX(lr_m1,57))</f>
        <v/>
      </c>
      <c r="J3100" s="204">
        <f>INDEX(lr_mprior,57)</f>
        <v/>
      </c>
      <c r="K3100" s="20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93">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$N3103*IF($O$3100=1,$O3103/$F$3100,1)</f>
        <v/>
      </c>
      <c r="T3103" s="95">
        <f>IF($G3103&lt;nr_MStartP,$S3103,$T3091*(1+IF($G3103&lt;nr_MStartP1,$M$3100,$N$3100)))</f>
        <v/>
      </c>
      <c r="U3103" s="95">
        <f>IF($L$3100,$T3103,$N3103)</f>
        <v/>
      </c>
    </row>
    <row r="3104">
      <c r="A3104" s="90" t="n">
        <v>2</v>
      </c>
      <c r="B3104" s="91">
        <f>EDATE($B3103,1)</f>
        <v/>
      </c>
      <c r="C3104" s="92">
        <f>EOMONTH($B3104,0)</f>
        <v/>
      </c>
      <c r="D3104" s="87">
        <f>$C3104-$B3104+1</f>
        <v/>
      </c>
      <c r="E3104" s="87">
        <f>MONTH($B3104)</f>
        <v/>
      </c>
      <c r="F3104" s="93">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$N3104*IF($O$3100=1,$O3104/$F$3100,1)</f>
        <v/>
      </c>
      <c r="T3104" s="95">
        <f>IF($G3104&lt;nr_MStartP,$S3104,$T3092*(1+IF($G3104&lt;nr_MStartP1,$M$3100,$N$3100)))</f>
        <v/>
      </c>
      <c r="U3104" s="95">
        <f>IF($L$3100,$T3104,$N3104)</f>
        <v/>
      </c>
    </row>
    <row r="3105">
      <c r="A3105" s="90" t="n">
        <v>3</v>
      </c>
      <c r="B3105" s="91">
        <f>EDATE($B3104,1)</f>
        <v/>
      </c>
      <c r="C3105" s="92">
        <f>EOMONTH($B3105,0)</f>
        <v/>
      </c>
      <c r="D3105" s="87">
        <f>$C3105-$B3105+1</f>
        <v/>
      </c>
      <c r="E3105" s="87">
        <f>MONTH($B3105)</f>
        <v/>
      </c>
      <c r="F3105" s="93">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$N3105*IF($O$3100=1,$O3105/$F$3100,1)</f>
        <v/>
      </c>
      <c r="T3105" s="95">
        <f>IF($G3105&lt;nr_MStartP,$S3105,$T3093*(1+IF($G3105&lt;nr_MStartP1,$M$3100,$N$3100)))</f>
        <v/>
      </c>
      <c r="U3105" s="95">
        <f>IF($L$3100,$T3105,$N3105)</f>
        <v/>
      </c>
    </row>
    <row r="3106">
      <c r="A3106" s="90" t="n">
        <v>4</v>
      </c>
      <c r="B3106" s="91">
        <f>EDATE($B3105,1)</f>
        <v/>
      </c>
      <c r="C3106" s="92">
        <f>EOMONTH($B3106,0)</f>
        <v/>
      </c>
      <c r="D3106" s="87">
        <f>$C3106-$B3106+1</f>
        <v/>
      </c>
      <c r="E3106" s="87">
        <f>MONTH($B3106)</f>
        <v/>
      </c>
      <c r="F3106" s="93">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$N3106*IF($O$3100=1,$O3106/$F$3100,1)</f>
        <v/>
      </c>
      <c r="T3106" s="95">
        <f>IF($G3106&lt;nr_MStartP,$S3106,$T3094*(1+IF($G3106&lt;nr_MStartP1,$M$3100,$N$3100)))</f>
        <v/>
      </c>
      <c r="U3106" s="95">
        <f>IF($L$3100,$T3106,$N3106)</f>
        <v/>
      </c>
    </row>
    <row r="3107">
      <c r="A3107" s="90" t="n">
        <v>5</v>
      </c>
      <c r="B3107" s="91">
        <f>EDATE($B3106,1)</f>
        <v/>
      </c>
      <c r="C3107" s="92">
        <f>EOMONTH($B3107,0)</f>
        <v/>
      </c>
      <c r="D3107" s="87">
        <f>$C3107-$B3107+1</f>
        <v/>
      </c>
      <c r="E3107" s="87">
        <f>MONTH($B3107)</f>
        <v/>
      </c>
      <c r="F3107" s="93">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$N3107*IF($O$3100=1,$O3107/$F$3100,1)</f>
        <v/>
      </c>
      <c r="T3107" s="95">
        <f>IF($G3107&lt;nr_MStartP,$S3107,$T3095*(1+IF($G3107&lt;nr_MStartP1,$M$3100,$N$3100)))</f>
        <v/>
      </c>
      <c r="U3107" s="95">
        <f>IF($L$3100,$T3107,$N3107)</f>
        <v/>
      </c>
    </row>
    <row r="3108">
      <c r="A3108" s="90" t="n">
        <v>6</v>
      </c>
      <c r="B3108" s="91">
        <f>EDATE($B3107,1)</f>
        <v/>
      </c>
      <c r="C3108" s="92">
        <f>EOMONTH($B3108,0)</f>
        <v/>
      </c>
      <c r="D3108" s="87">
        <f>$C3108-$B3108+1</f>
        <v/>
      </c>
      <c r="E3108" s="87">
        <f>MONTH($B3108)</f>
        <v/>
      </c>
      <c r="F3108" s="93">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$N3108*IF($O$3100=1,$O3108/$F$3100,1)</f>
        <v/>
      </c>
      <c r="T3108" s="95">
        <f>IF($G3108&lt;nr_MStartP,$S3108,$T3096*(1+IF($G3108&lt;nr_MStartP1,$M$3100,$N$3100)))</f>
        <v/>
      </c>
      <c r="U3108" s="95">
        <f>IF($L$3100,$T3108,$N3108)</f>
        <v/>
      </c>
    </row>
    <row r="3109">
      <c r="A3109" s="90" t="n">
        <v>7</v>
      </c>
      <c r="B3109" s="91">
        <f>EDATE($B3108,1)</f>
        <v/>
      </c>
      <c r="C3109" s="92">
        <f>EOMONTH($B3109,0)</f>
        <v/>
      </c>
      <c r="D3109" s="87">
        <f>$C3109-$B3109+1</f>
        <v/>
      </c>
      <c r="E3109" s="87">
        <f>MONTH($B3109)</f>
        <v/>
      </c>
      <c r="F3109" s="93">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$N3109*IF($O$3100=1,$O3109/$F$3100,1)</f>
        <v/>
      </c>
      <c r="T3109" s="95">
        <f>IF($G3109&lt;nr_MStartP,$S3109,$T3097*(1+IF($G3109&lt;nr_MStartP1,$M$3100,$N$3100)))</f>
        <v/>
      </c>
      <c r="U3109" s="95">
        <f>IF($L$3100,$T3109,$N3109)</f>
        <v/>
      </c>
    </row>
    <row r="3110">
      <c r="A3110" s="90" t="n">
        <v>8</v>
      </c>
      <c r="B3110" s="91">
        <f>EDATE($B3109,1)</f>
        <v/>
      </c>
      <c r="C3110" s="92">
        <f>EOMONTH($B3110,0)</f>
        <v/>
      </c>
      <c r="D3110" s="87">
        <f>$C3110-$B3110+1</f>
        <v/>
      </c>
      <c r="E3110" s="87">
        <f>MONTH($B3110)</f>
        <v/>
      </c>
      <c r="F3110" s="93">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$N3110*IF($O$3100=1,$O3110/$F$3100,1)</f>
        <v/>
      </c>
      <c r="T3110" s="95">
        <f>IF($G3110&lt;nr_MStartP,$S3110,$T3098*(1+IF($G3110&lt;nr_MStartP1,$M$3100,$N$3100)))</f>
        <v/>
      </c>
      <c r="U3110" s="95">
        <f>IF($L$3100,$T3110,$N3110)</f>
        <v/>
      </c>
    </row>
    <row r="3111">
      <c r="A3111" s="90" t="n">
        <v>9</v>
      </c>
      <c r="B3111" s="91">
        <f>EDATE($B3110,1)</f>
        <v/>
      </c>
      <c r="C3111" s="92">
        <f>EOMONTH($B3111,0)</f>
        <v/>
      </c>
      <c r="D3111" s="87">
        <f>$C3111-$B3111+1</f>
        <v/>
      </c>
      <c r="E3111" s="87">
        <f>MONTH($B3111)</f>
        <v/>
      </c>
      <c r="F3111" s="93">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$N3111*IF($O$3100=1,$O3111/$F$3100,1)</f>
        <v/>
      </c>
      <c r="T3111" s="95">
        <f>IF($G3111&lt;nr_MStartP,$S3111,$T3099*(1+IF($G3111&lt;nr_MStartP1,$M$3100,$N$3100)))</f>
        <v/>
      </c>
      <c r="U3111" s="95">
        <f>IF($L$3100,$T3111,$N3111)</f>
        <v/>
      </c>
    </row>
    <row r="3112">
      <c r="A3112" s="90" t="n">
        <v>10</v>
      </c>
      <c r="B3112" s="91">
        <f>EDATE($B3111,1)</f>
        <v/>
      </c>
      <c r="C3112" s="92">
        <f>EOMONTH($B3112,0)</f>
        <v/>
      </c>
      <c r="D3112" s="87">
        <f>$C3112-$B3112+1</f>
        <v/>
      </c>
      <c r="E3112" s="87">
        <f>MONTH($B3112)</f>
        <v/>
      </c>
      <c r="F3112" s="93">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$N3112*IF($O$3100=1,$O3112/$F$3100,1)</f>
        <v/>
      </c>
      <c r="T3112" s="95">
        <f>IF($G3112&lt;nr_MStartP,$S3112,$T3100*(1+IF($G3112&lt;nr_MStartP1,$M$3100,$N$3100)))</f>
        <v/>
      </c>
      <c r="U3112" s="95">
        <f>IF($L$3100,$T3112,$N3112)</f>
        <v/>
      </c>
    </row>
    <row r="3113">
      <c r="A3113" s="90" t="n">
        <v>11</v>
      </c>
      <c r="B3113" s="91">
        <f>EDATE($B3112,1)</f>
        <v/>
      </c>
      <c r="C3113" s="92">
        <f>EOMONTH($B3113,0)</f>
        <v/>
      </c>
      <c r="D3113" s="87">
        <f>$C3113-$B3113+1</f>
        <v/>
      </c>
      <c r="E3113" s="87">
        <f>MONTH($B3113)</f>
        <v/>
      </c>
      <c r="F3113" s="93">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$N3113*IF($O$3100=1,$O3113/$F$3100,1)</f>
        <v/>
      </c>
      <c r="T3113" s="95">
        <f>IF($G3113&lt;nr_MStartP,$S3113,$T3101*(1+IF($G3113&lt;nr_MStartP1,$M$3100,$N$3100)))</f>
        <v/>
      </c>
      <c r="U3113" s="95">
        <f>IF($L$3100,$T3113,$N3113)</f>
        <v/>
      </c>
    </row>
    <row r="3114">
      <c r="A3114" s="90" t="n">
        <v>12</v>
      </c>
      <c r="B3114" s="91">
        <f>EDATE($B3113,1)</f>
        <v/>
      </c>
      <c r="C3114" s="92">
        <f>EOMONTH($B3114,0)</f>
        <v/>
      </c>
      <c r="D3114" s="87">
        <f>$C3114-$B3114+1</f>
        <v/>
      </c>
      <c r="E3114" s="87">
        <f>MONTH($B3114)</f>
        <v/>
      </c>
      <c r="F3114" s="93">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$N3114*IF($O$3100=1,$O3114/$F$3100,1)</f>
        <v/>
      </c>
      <c r="T3114" s="95">
        <f>IF($G3114&lt;nr_MStartP,$S3114,$T3102*(1+IF($G3114&lt;nr_MStartP1,$M$3100,$N$3100)))</f>
        <v/>
      </c>
      <c r="U3114" s="95">
        <f>IF($L$3100,$T3114,$N3114)</f>
        <v/>
      </c>
    </row>
    <row r="3115">
      <c r="A3115" s="90" t="n">
        <v>13</v>
      </c>
      <c r="B3115" s="91">
        <f>EDATE($B3114,1)</f>
        <v/>
      </c>
      <c r="C3115" s="92">
        <f>EOMONTH($B3115,0)</f>
        <v/>
      </c>
      <c r="D3115" s="87">
        <f>$C3115-$B3115+1</f>
        <v/>
      </c>
      <c r="E3115" s="87">
        <f>MONTH($B3115)</f>
        <v/>
      </c>
      <c r="F3115" s="93">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$N3115*IF($O$3100=1,$O3115/$F$3100,1)</f>
        <v/>
      </c>
      <c r="T3115" s="95">
        <f>IF($G3115&lt;nr_MStartP,$S3115,$T3103*(1+IF($G3115&lt;nr_MStartP1,$M$3100,$N$3100)))</f>
        <v/>
      </c>
      <c r="U3115" s="95">
        <f>IF($L$3100,$T3115,$N3115)</f>
        <v/>
      </c>
    </row>
    <row r="3116">
      <c r="A3116" s="90" t="n">
        <v>14</v>
      </c>
      <c r="B3116" s="91">
        <f>EDATE($B3115,1)</f>
        <v/>
      </c>
      <c r="C3116" s="92">
        <f>EOMONTH($B3116,0)</f>
        <v/>
      </c>
      <c r="D3116" s="87">
        <f>$C3116-$B3116+1</f>
        <v/>
      </c>
      <c r="E3116" s="87">
        <f>MONTH($B3116)</f>
        <v/>
      </c>
      <c r="F3116" s="93">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$N3116*IF($O$3100=1,$O3116/$F$3100,1)</f>
        <v/>
      </c>
      <c r="T3116" s="95">
        <f>IF($G3116&lt;nr_MStartP,$S3116,$T3104*(1+IF($G3116&lt;nr_MStartP1,$M$3100,$N$3100)))</f>
        <v/>
      </c>
      <c r="U3116" s="95">
        <f>IF($L$3100,$T3116,$N3116)</f>
        <v/>
      </c>
    </row>
    <row r="3117">
      <c r="A3117" s="90" t="n">
        <v>15</v>
      </c>
      <c r="B3117" s="91">
        <f>EDATE($B3116,1)</f>
        <v/>
      </c>
      <c r="C3117" s="92">
        <f>EOMONTH($B3117,0)</f>
        <v/>
      </c>
      <c r="D3117" s="87">
        <f>$C3117-$B3117+1</f>
        <v/>
      </c>
      <c r="E3117" s="87">
        <f>MONTH($B3117)</f>
        <v/>
      </c>
      <c r="F3117" s="93">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$N3117*IF($O$3100=1,$O3117/$F$3100,1)</f>
        <v/>
      </c>
      <c r="T3117" s="95">
        <f>IF($G3117&lt;nr_MStartP,$S3117,$T3105*(1+IF($G3117&lt;nr_MStartP1,$M$3100,$N$3100)))</f>
        <v/>
      </c>
      <c r="U3117" s="95">
        <f>IF($L$3100,$T3117,$N3117)</f>
        <v/>
      </c>
    </row>
    <row r="3118">
      <c r="A3118" s="90" t="n">
        <v>16</v>
      </c>
      <c r="B3118" s="91">
        <f>EDATE($B3117,1)</f>
        <v/>
      </c>
      <c r="C3118" s="92">
        <f>EOMONTH($B3118,0)</f>
        <v/>
      </c>
      <c r="D3118" s="87">
        <f>$C3118-$B3118+1</f>
        <v/>
      </c>
      <c r="E3118" s="87">
        <f>MONTH($B3118)</f>
        <v/>
      </c>
      <c r="F3118" s="93">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$N3118*IF($O$3100=1,$O3118/$F$3100,1)</f>
        <v/>
      </c>
      <c r="T3118" s="95">
        <f>IF($G3118&lt;nr_MStartP,$S3118,$T3106*(1+IF($G3118&lt;nr_MStartP1,$M$3100,$N$3100)))</f>
        <v/>
      </c>
      <c r="U3118" s="95">
        <f>IF($L$3100,$T3118,$N3118)</f>
        <v/>
      </c>
    </row>
    <row r="3119">
      <c r="A3119" s="90" t="n">
        <v>17</v>
      </c>
      <c r="B3119" s="91">
        <f>EDATE($B3118,1)</f>
        <v/>
      </c>
      <c r="C3119" s="92">
        <f>EOMONTH($B3119,0)</f>
        <v/>
      </c>
      <c r="D3119" s="87">
        <f>$C3119-$B3119+1</f>
        <v/>
      </c>
      <c r="E3119" s="87">
        <f>MONTH($B3119)</f>
        <v/>
      </c>
      <c r="F3119" s="93">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$N3119*IF($O$3100=1,$O3119/$F$3100,1)</f>
        <v/>
      </c>
      <c r="T3119" s="95">
        <f>IF($G3119&lt;nr_MStartP,$S3119,$T3107*(1+IF($G3119&lt;nr_MStartP1,$M$3100,$N$3100)))</f>
        <v/>
      </c>
      <c r="U3119" s="95">
        <f>IF($L$3100,$T3119,$N3119)</f>
        <v/>
      </c>
    </row>
    <row r="3120">
      <c r="A3120" s="90" t="n">
        <v>18</v>
      </c>
      <c r="B3120" s="91">
        <f>EDATE($B3119,1)</f>
        <v/>
      </c>
      <c r="C3120" s="92">
        <f>EOMONTH($B3120,0)</f>
        <v/>
      </c>
      <c r="D3120" s="87">
        <f>$C3120-$B3120+1</f>
        <v/>
      </c>
      <c r="E3120" s="87">
        <f>MONTH($B3120)</f>
        <v/>
      </c>
      <c r="F3120" s="93">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$N3120*IF($O$3100=1,$O3120/$F$3100,1)</f>
        <v/>
      </c>
      <c r="T3120" s="95">
        <f>IF($G3120&lt;nr_MStartP,$S3120,$T3108*(1+IF($G3120&lt;nr_MStartP1,$M$3100,$N$3100)))</f>
        <v/>
      </c>
      <c r="U3120" s="95">
        <f>IF($L$3100,$T3120,$N3120)</f>
        <v/>
      </c>
    </row>
    <row r="3121">
      <c r="A3121" s="90" t="n">
        <v>19</v>
      </c>
      <c r="B3121" s="91">
        <f>EDATE($B3120,1)</f>
        <v/>
      </c>
      <c r="C3121" s="92">
        <f>EOMONTH($B3121,0)</f>
        <v/>
      </c>
      <c r="D3121" s="87">
        <f>$C3121-$B3121+1</f>
        <v/>
      </c>
      <c r="E3121" s="87">
        <f>MONTH($B3121)</f>
        <v/>
      </c>
      <c r="F3121" s="93">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$N3121*IF($O$3100=1,$O3121/$F$3100,1)</f>
        <v/>
      </c>
      <c r="T3121" s="95">
        <f>IF($G3121&lt;nr_MStartP,$S3121,$T3109*(1+IF($G3121&lt;nr_MStartP1,$M$3100,$N$3100)))</f>
        <v/>
      </c>
      <c r="U3121" s="95">
        <f>IF($L$3100,$T3121,$N3121)</f>
        <v/>
      </c>
    </row>
    <row r="3122">
      <c r="A3122" s="90" t="n">
        <v>20</v>
      </c>
      <c r="B3122" s="91">
        <f>EDATE($B3121,1)</f>
        <v/>
      </c>
      <c r="C3122" s="92">
        <f>EOMONTH($B3122,0)</f>
        <v/>
      </c>
      <c r="D3122" s="87">
        <f>$C3122-$B3122+1</f>
        <v/>
      </c>
      <c r="E3122" s="87">
        <f>MONTH($B3122)</f>
        <v/>
      </c>
      <c r="F3122" s="93">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$N3122*IF($O$3100=1,$O3122/$F$3100,1)</f>
        <v/>
      </c>
      <c r="T3122" s="95">
        <f>IF($G3122&lt;nr_MStartP,$S3122,$T3110*(1+IF($G3122&lt;nr_MStartP1,$M$3100,$N$3100)))</f>
        <v/>
      </c>
      <c r="U3122" s="95">
        <f>IF($L$3100,$T3122,$N3122)</f>
        <v/>
      </c>
    </row>
    <row r="3123">
      <c r="A3123" s="90" t="n">
        <v>21</v>
      </c>
      <c r="B3123" s="91">
        <f>EDATE($B3122,1)</f>
        <v/>
      </c>
      <c r="C3123" s="92">
        <f>EOMONTH($B3123,0)</f>
        <v/>
      </c>
      <c r="D3123" s="87">
        <f>$C3123-$B3123+1</f>
        <v/>
      </c>
      <c r="E3123" s="87">
        <f>MONTH($B3123)</f>
        <v/>
      </c>
      <c r="F3123" s="93">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$N3123*IF($O$3100=1,$O3123/$F$3100,1)</f>
        <v/>
      </c>
      <c r="T3123" s="95">
        <f>IF($G3123&lt;nr_MStartP,$S3123,$T3111*(1+IF($G3123&lt;nr_MStartP1,$M$3100,$N$3100)))</f>
        <v/>
      </c>
      <c r="U3123" s="95">
        <f>IF($L$3100,$T3123,$N3123)</f>
        <v/>
      </c>
    </row>
    <row r="3124">
      <c r="A3124" s="90" t="n">
        <v>22</v>
      </c>
      <c r="B3124" s="91">
        <f>EDATE($B3123,1)</f>
        <v/>
      </c>
      <c r="C3124" s="92">
        <f>EOMONTH($B3124,0)</f>
        <v/>
      </c>
      <c r="D3124" s="87">
        <f>$C3124-$B3124+1</f>
        <v/>
      </c>
      <c r="E3124" s="87">
        <f>MONTH($B3124)</f>
        <v/>
      </c>
      <c r="F3124" s="93">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$N3124*IF($O$3100=1,$O3124/$F$3100,1)</f>
        <v/>
      </c>
      <c r="T3124" s="95">
        <f>IF($G3124&lt;nr_MStartP,$S3124,$T3112*(1+IF($G3124&lt;nr_MStartP1,$M$3100,$N$3100)))</f>
        <v/>
      </c>
      <c r="U3124" s="95">
        <f>IF($L$3100,$T3124,$N3124)</f>
        <v/>
      </c>
    </row>
    <row r="3125">
      <c r="A3125" s="90" t="n">
        <v>23</v>
      </c>
      <c r="B3125" s="91">
        <f>EDATE($B3124,1)</f>
        <v/>
      </c>
      <c r="C3125" s="92">
        <f>EOMONTH($B3125,0)</f>
        <v/>
      </c>
      <c r="D3125" s="87">
        <f>$C3125-$B3125+1</f>
        <v/>
      </c>
      <c r="E3125" s="87">
        <f>MONTH($B3125)</f>
        <v/>
      </c>
      <c r="F3125" s="93">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$N3125*IF($O$3100=1,$O3125/$F$3100,1)</f>
        <v/>
      </c>
      <c r="T3125" s="95">
        <f>IF($G3125&lt;nr_MStartP,$S3125,$T3113*(1+IF($G3125&lt;nr_MStartP1,$M$3100,$N$3100)))</f>
        <v/>
      </c>
      <c r="U3125" s="95">
        <f>IF($L$3100,$T3125,$N3125)</f>
        <v/>
      </c>
    </row>
    <row r="3126">
      <c r="A3126" s="90" t="n">
        <v>24</v>
      </c>
      <c r="B3126" s="91">
        <f>EDATE($B3125,1)</f>
        <v/>
      </c>
      <c r="C3126" s="92">
        <f>EOMONTH($B3126,0)</f>
        <v/>
      </c>
      <c r="D3126" s="87">
        <f>$C3126-$B3126+1</f>
        <v/>
      </c>
      <c r="E3126" s="87">
        <f>MONTH($B3126)</f>
        <v/>
      </c>
      <c r="F3126" s="93">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$N3126*IF($O$3100=1,$O3126/$F$3100,1)</f>
        <v/>
      </c>
      <c r="T3126" s="95">
        <f>IF($G3126&lt;nr_MStartP,$S3126,$T3114*(1+IF($G3126&lt;nr_MStartP1,$M$3100,$N$3100)))</f>
        <v/>
      </c>
      <c r="U3126" s="95">
        <f>IF($L$3100,$T3126,$N3126)</f>
        <v/>
      </c>
    </row>
    <row r="3127">
      <c r="A3127" s="90" t="n">
        <v>25</v>
      </c>
      <c r="B3127" s="91">
        <f>EDATE($B3126,1)</f>
        <v/>
      </c>
      <c r="C3127" s="92">
        <f>EOMONTH($B3127,0)</f>
        <v/>
      </c>
      <c r="D3127" s="87">
        <f>$C3127-$B3127+1</f>
        <v/>
      </c>
      <c r="E3127" s="87">
        <f>MONTH($B3127)</f>
        <v/>
      </c>
      <c r="F3127" s="93">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$N3127*IF($O$3100=1,$O3127/$F$3100,1)</f>
        <v/>
      </c>
      <c r="T3127" s="95">
        <f>IF($G3127&lt;nr_MStartP,$S3127,$T3115*(1+IF($G3127&lt;nr_MStartP1,$M$3100,$N$3100)))</f>
        <v/>
      </c>
      <c r="U3127" s="95">
        <f>IF($L$3100,$T3127,$N3127)</f>
        <v/>
      </c>
    </row>
    <row r="3128">
      <c r="A3128" s="90" t="n">
        <v>26</v>
      </c>
      <c r="B3128" s="91">
        <f>EDATE($B3127,1)</f>
        <v/>
      </c>
      <c r="C3128" s="92">
        <f>EOMONTH($B3128,0)</f>
        <v/>
      </c>
      <c r="D3128" s="87">
        <f>$C3128-$B3128+1</f>
        <v/>
      </c>
      <c r="E3128" s="87">
        <f>MONTH($B3128)</f>
        <v/>
      </c>
      <c r="F3128" s="93">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$N3128*IF($O$3100=1,$O3128/$F$3100,1)</f>
        <v/>
      </c>
      <c r="T3128" s="95">
        <f>IF($G3128&lt;nr_MStartP,$S3128,$T3116*(1+IF($G3128&lt;nr_MStartP1,$M$3100,$N$3100)))</f>
        <v/>
      </c>
      <c r="U3128" s="95">
        <f>IF($L$3100,$T3128,$N3128)</f>
        <v/>
      </c>
    </row>
    <row r="3129">
      <c r="A3129" s="90" t="n">
        <v>27</v>
      </c>
      <c r="B3129" s="91">
        <f>EDATE($B3128,1)</f>
        <v/>
      </c>
      <c r="C3129" s="92">
        <f>EOMONTH($B3129,0)</f>
        <v/>
      </c>
      <c r="D3129" s="87">
        <f>$C3129-$B3129+1</f>
        <v/>
      </c>
      <c r="E3129" s="87">
        <f>MONTH($B3129)</f>
        <v/>
      </c>
      <c r="F3129" s="93">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$N3129*IF($O$3100=1,$O3129/$F$3100,1)</f>
        <v/>
      </c>
      <c r="T3129" s="95">
        <f>IF($G3129&lt;nr_MStartP,$S3129,$T3117*(1+IF($G3129&lt;nr_MStartP1,$M$3100,$N$3100)))</f>
        <v/>
      </c>
      <c r="U3129" s="95">
        <f>IF($L$3100,$T3129,$N3129)</f>
        <v/>
      </c>
    </row>
    <row r="3130">
      <c r="A3130" s="90" t="n">
        <v>28</v>
      </c>
      <c r="B3130" s="91">
        <f>EDATE($B3129,1)</f>
        <v/>
      </c>
      <c r="C3130" s="92">
        <f>EOMONTH($B3130,0)</f>
        <v/>
      </c>
      <c r="D3130" s="87">
        <f>$C3130-$B3130+1</f>
        <v/>
      </c>
      <c r="E3130" s="87">
        <f>MONTH($B3130)</f>
        <v/>
      </c>
      <c r="F3130" s="93">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$N3130*IF($O$3100=1,$O3130/$F$3100,1)</f>
        <v/>
      </c>
      <c r="T3130" s="95">
        <f>IF($G3130&lt;nr_MStartP,$S3130,$T3118*(1+IF($G3130&lt;nr_MStartP1,$M$3100,$N$3100)))</f>
        <v/>
      </c>
      <c r="U3130" s="95">
        <f>IF($L$3100,$T3130,$N3130)</f>
        <v/>
      </c>
    </row>
    <row r="3131">
      <c r="A3131" s="90" t="n">
        <v>29</v>
      </c>
      <c r="B3131" s="91">
        <f>EDATE($B3130,1)</f>
        <v/>
      </c>
      <c r="C3131" s="92">
        <f>EOMONTH($B3131,0)</f>
        <v/>
      </c>
      <c r="D3131" s="87">
        <f>$C3131-$B3131+1</f>
        <v/>
      </c>
      <c r="E3131" s="87">
        <f>MONTH($B3131)</f>
        <v/>
      </c>
      <c r="F3131" s="93">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$N3131*IF($O$3100=1,$O3131/$F$3100,1)</f>
        <v/>
      </c>
      <c r="T3131" s="95">
        <f>IF($G3131&lt;nr_MStartP,$S3131,$T3119*(1+IF($G3131&lt;nr_MStartP1,$M$3100,$N$3100)))</f>
        <v/>
      </c>
      <c r="U3131" s="95">
        <f>IF($L$3100,$T3131,$N3131)</f>
        <v/>
      </c>
    </row>
    <row r="3132">
      <c r="A3132" s="90" t="n">
        <v>30</v>
      </c>
      <c r="B3132" s="91">
        <f>EDATE($B3131,1)</f>
        <v/>
      </c>
      <c r="C3132" s="92">
        <f>EOMONTH($B3132,0)</f>
        <v/>
      </c>
      <c r="D3132" s="87">
        <f>$C3132-$B3132+1</f>
        <v/>
      </c>
      <c r="E3132" s="87">
        <f>MONTH($B3132)</f>
        <v/>
      </c>
      <c r="F3132" s="93">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$N3132*IF($O$3100=1,$O3132/$F$3100,1)</f>
        <v/>
      </c>
      <c r="T3132" s="95">
        <f>IF($G3132&lt;nr_MStartP,$S3132,$T3120*(1+IF($G3132&lt;nr_MStartP1,$M$3100,$N$3100)))</f>
        <v/>
      </c>
      <c r="U3132" s="95">
        <f>IF($L$3100,$T3132,$N3132)</f>
        <v/>
      </c>
    </row>
    <row r="3133">
      <c r="A3133" s="90" t="n">
        <v>31</v>
      </c>
      <c r="B3133" s="91">
        <f>EDATE($B3132,1)</f>
        <v/>
      </c>
      <c r="C3133" s="92">
        <f>EOMONTH($B3133,0)</f>
        <v/>
      </c>
      <c r="D3133" s="87">
        <f>$C3133-$B3133+1</f>
        <v/>
      </c>
      <c r="E3133" s="87">
        <f>MONTH($B3133)</f>
        <v/>
      </c>
      <c r="F3133" s="93">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$N3133*IF($O$3100=1,$O3133/$F$3100,1)</f>
        <v/>
      </c>
      <c r="T3133" s="95">
        <f>IF($G3133&lt;nr_MStartP,$S3133,$T3121*(1+IF($G3133&lt;nr_MStartP1,$M$3100,$N$3100)))</f>
        <v/>
      </c>
      <c r="U3133" s="95">
        <f>IF($L$3100,$T3133,$N3133)</f>
        <v/>
      </c>
    </row>
    <row r="3134">
      <c r="A3134" s="90" t="n">
        <v>32</v>
      </c>
      <c r="B3134" s="91">
        <f>EDATE($B3133,1)</f>
        <v/>
      </c>
      <c r="C3134" s="92">
        <f>EOMONTH($B3134,0)</f>
        <v/>
      </c>
      <c r="D3134" s="87">
        <f>$C3134-$B3134+1</f>
        <v/>
      </c>
      <c r="E3134" s="87">
        <f>MONTH($B3134)</f>
        <v/>
      </c>
      <c r="F3134" s="93">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$N3134*IF($O$3100=1,$O3134/$F$3100,1)</f>
        <v/>
      </c>
      <c r="T3134" s="95">
        <f>IF($G3134&lt;nr_MStartP,$S3134,$T3122*(1+IF($G3134&lt;nr_MStartP1,$M$3100,$N$3100)))</f>
        <v/>
      </c>
      <c r="U3134" s="95">
        <f>IF($L$3100,$T3134,$N3134)</f>
        <v/>
      </c>
    </row>
    <row r="3135">
      <c r="A3135" s="90" t="n">
        <v>33</v>
      </c>
      <c r="B3135" s="91">
        <f>EDATE($B3134,1)</f>
        <v/>
      </c>
      <c r="C3135" s="92">
        <f>EOMONTH($B3135,0)</f>
        <v/>
      </c>
      <c r="D3135" s="87">
        <f>$C3135-$B3135+1</f>
        <v/>
      </c>
      <c r="E3135" s="87">
        <f>MONTH($B3135)</f>
        <v/>
      </c>
      <c r="F3135" s="93">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$N3135*IF($O$3100=1,$O3135/$F$3100,1)</f>
        <v/>
      </c>
      <c r="T3135" s="95">
        <f>IF($G3135&lt;nr_MStartP,$S3135,$T3123*(1+IF($G3135&lt;nr_MStartP1,$M$3100,$N$3100)))</f>
        <v/>
      </c>
      <c r="U3135" s="95">
        <f>IF($L$3100,$T3135,$N3135)</f>
        <v/>
      </c>
    </row>
    <row r="3136">
      <c r="A3136" s="90" t="n">
        <v>34</v>
      </c>
      <c r="B3136" s="91">
        <f>EDATE($B3135,1)</f>
        <v/>
      </c>
      <c r="C3136" s="92">
        <f>EOMONTH($B3136,0)</f>
        <v/>
      </c>
      <c r="D3136" s="87">
        <f>$C3136-$B3136+1</f>
        <v/>
      </c>
      <c r="E3136" s="87">
        <f>MONTH($B3136)</f>
        <v/>
      </c>
      <c r="F3136" s="93">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$N3136*IF($O$3100=1,$O3136/$F$3100,1)</f>
        <v/>
      </c>
      <c r="T3136" s="95">
        <f>IF($G3136&lt;nr_MStartP,$S3136,$T3124*(1+IF($G3136&lt;nr_MStartP1,$M$3100,$N$3100)))</f>
        <v/>
      </c>
      <c r="U3136" s="95">
        <f>IF($L$3100,$T3136,$N3136)</f>
        <v/>
      </c>
    </row>
    <row r="3137">
      <c r="A3137" s="90" t="n">
        <v>35</v>
      </c>
      <c r="B3137" s="91">
        <f>EDATE($B3136,1)</f>
        <v/>
      </c>
      <c r="C3137" s="92">
        <f>EOMONTH($B3137,0)</f>
        <v/>
      </c>
      <c r="D3137" s="87">
        <f>$C3137-$B3137+1</f>
        <v/>
      </c>
      <c r="E3137" s="87">
        <f>MONTH($B3137)</f>
        <v/>
      </c>
      <c r="F3137" s="93">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$N3137*IF($O$3100=1,$O3137/$F$3100,1)</f>
        <v/>
      </c>
      <c r="T3137" s="95">
        <f>IF($G3137&lt;nr_MStartP,$S3137,$T3125*(1+IF($G3137&lt;nr_MStartP1,$M$3100,$N$3100)))</f>
        <v/>
      </c>
      <c r="U3137" s="95">
        <f>IF($L$3100,$T3137,$N3137)</f>
        <v/>
      </c>
    </row>
    <row r="3138">
      <c r="A3138" s="90" t="n">
        <v>36</v>
      </c>
      <c r="B3138" s="91">
        <f>EDATE($B3137,1)</f>
        <v/>
      </c>
      <c r="C3138" s="92">
        <f>EOMONTH($B3138,0)</f>
        <v/>
      </c>
      <c r="D3138" s="87">
        <f>$C3138-$B3138+1</f>
        <v/>
      </c>
      <c r="E3138" s="87">
        <f>MONTH($B3138)</f>
        <v/>
      </c>
      <c r="F3138" s="93">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$N3138*IF($O$3100=1,$O3138/$F$3100,1)</f>
        <v/>
      </c>
      <c r="T3138" s="95">
        <f>IF($G3138&lt;nr_MStartP,$S3138,$T3126*(1+IF($G3138&lt;nr_MStartP1,$M$3100,$N$3100)))</f>
        <v/>
      </c>
      <c r="U3138" s="95">
        <f>IF($L$3100,$T3138,$N3138)</f>
        <v/>
      </c>
    </row>
    <row r="3139">
      <c r="A3139" s="90" t="n">
        <v>37</v>
      </c>
      <c r="B3139" s="91">
        <f>EDATE($B3138,1)</f>
        <v/>
      </c>
      <c r="C3139" s="92">
        <f>EOMONTH($B3139,0)</f>
        <v/>
      </c>
      <c r="D3139" s="87">
        <f>$C3139-$B3139+1</f>
        <v/>
      </c>
      <c r="E3139" s="87">
        <f>MONTH($B3139)</f>
        <v/>
      </c>
      <c r="F3139" s="93">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$N3139*IF($O$3100=1,$O3139/$F$3100,1)</f>
        <v/>
      </c>
      <c r="T3139" s="95">
        <f>IF($G3139&lt;nr_MStartP,$S3139,$T3127*(1+IF($G3139&lt;nr_MStartP1,$M$3100,$N$3100)))</f>
        <v/>
      </c>
      <c r="U3139" s="95">
        <f>IF($L$3100,$T3139,$N3139)</f>
        <v/>
      </c>
    </row>
    <row r="3140">
      <c r="A3140" s="90" t="n">
        <v>38</v>
      </c>
      <c r="B3140" s="91">
        <f>EDATE($B3139,1)</f>
        <v/>
      </c>
      <c r="C3140" s="92">
        <f>EOMONTH($B3140,0)</f>
        <v/>
      </c>
      <c r="D3140" s="87">
        <f>$C3140-$B3140+1</f>
        <v/>
      </c>
      <c r="E3140" s="87">
        <f>MONTH($B3140)</f>
        <v/>
      </c>
      <c r="F3140" s="93">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$N3140*IF($O$3100=1,$O3140/$F$3100,1)</f>
        <v/>
      </c>
      <c r="T3140" s="95">
        <f>IF($G3140&lt;nr_MStartP,$S3140,$T3128*(1+IF($G3140&lt;nr_MStartP1,$M$3100,$N$3100)))</f>
        <v/>
      </c>
      <c r="U3140" s="95">
        <f>IF($L$3100,$T3140,$N3140)</f>
        <v/>
      </c>
    </row>
    <row r="3141">
      <c r="A3141" s="90" t="n">
        <v>39</v>
      </c>
      <c r="B3141" s="91">
        <f>EDATE($B3140,1)</f>
        <v/>
      </c>
      <c r="C3141" s="92">
        <f>EOMONTH($B3141,0)</f>
        <v/>
      </c>
      <c r="D3141" s="87">
        <f>$C3141-$B3141+1</f>
        <v/>
      </c>
      <c r="E3141" s="87">
        <f>MONTH($B3141)</f>
        <v/>
      </c>
      <c r="F3141" s="93">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$N3141*IF($O$3100=1,$O3141/$F$3100,1)</f>
        <v/>
      </c>
      <c r="T3141" s="95">
        <f>IF($G3141&lt;nr_MStartP,$S3141,$T3129*(1+IF($G3141&lt;nr_MStartP1,$M$3100,$N$3100)))</f>
        <v/>
      </c>
      <c r="U3141" s="95">
        <f>IF($L$3100,$T3141,$N3141)</f>
        <v/>
      </c>
    </row>
    <row r="3142">
      <c r="A3142" s="90" t="n">
        <v>40</v>
      </c>
      <c r="B3142" s="91">
        <f>EDATE($B3141,1)</f>
        <v/>
      </c>
      <c r="C3142" s="92">
        <f>EOMONTH($B3142,0)</f>
        <v/>
      </c>
      <c r="D3142" s="87">
        <f>$C3142-$B3142+1</f>
        <v/>
      </c>
      <c r="E3142" s="87">
        <f>MONTH($B3142)</f>
        <v/>
      </c>
      <c r="F3142" s="93">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$N3142*IF($O$3100=1,$O3142/$F$3100,1)</f>
        <v/>
      </c>
      <c r="T3142" s="95">
        <f>IF($G3142&lt;nr_MStartP,$S3142,$T3130*(1+IF($G3142&lt;nr_MStartP1,$M$3100,$N$3100)))</f>
        <v/>
      </c>
      <c r="U3142" s="95">
        <f>IF($L$3100,$T3142,$N3142)</f>
        <v/>
      </c>
    </row>
    <row r="3143">
      <c r="A3143" s="90" t="n">
        <v>41</v>
      </c>
      <c r="B3143" s="91">
        <f>EDATE($B3142,1)</f>
        <v/>
      </c>
      <c r="C3143" s="92">
        <f>EOMONTH($B3143,0)</f>
        <v/>
      </c>
      <c r="D3143" s="87">
        <f>$C3143-$B3143+1</f>
        <v/>
      </c>
      <c r="E3143" s="87">
        <f>MONTH($B3143)</f>
        <v/>
      </c>
      <c r="F3143" s="93">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$N3143*IF($O$3100=1,$O3143/$F$3100,1)</f>
        <v/>
      </c>
      <c r="T3143" s="95">
        <f>IF($G3143&lt;nr_MStartP,$S3143,$T3131*(1+IF($G3143&lt;nr_MStartP1,$M$3100,$N$3100)))</f>
        <v/>
      </c>
      <c r="U3143" s="95">
        <f>IF($L$3100,$T3143,$N3143)</f>
        <v/>
      </c>
    </row>
    <row r="3144">
      <c r="A3144" s="90" t="n">
        <v>42</v>
      </c>
      <c r="B3144" s="91">
        <f>EDATE($B3143,1)</f>
        <v/>
      </c>
      <c r="C3144" s="92">
        <f>EOMONTH($B3144,0)</f>
        <v/>
      </c>
      <c r="D3144" s="87">
        <f>$C3144-$B3144+1</f>
        <v/>
      </c>
      <c r="E3144" s="87">
        <f>MONTH($B3144)</f>
        <v/>
      </c>
      <c r="F3144" s="93">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$N3144*IF($O$3100=1,$O3144/$F$3100,1)</f>
        <v/>
      </c>
      <c r="T3144" s="95">
        <f>IF($G3144&lt;nr_MStartP,$S3144,$T3132*(1+IF($G3144&lt;nr_MStartP1,$M$3100,$N$3100)))</f>
        <v/>
      </c>
      <c r="U3144" s="95">
        <f>IF($L$3100,$T3144,$N3144)</f>
        <v/>
      </c>
    </row>
    <row r="3145">
      <c r="A3145" s="90" t="n">
        <v>43</v>
      </c>
      <c r="B3145" s="91">
        <f>EDATE($B3144,1)</f>
        <v/>
      </c>
      <c r="C3145" s="92">
        <f>EOMONTH($B3145,0)</f>
        <v/>
      </c>
      <c r="D3145" s="87">
        <f>$C3145-$B3145+1</f>
        <v/>
      </c>
      <c r="E3145" s="87">
        <f>MONTH($B3145)</f>
        <v/>
      </c>
      <c r="F3145" s="93">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$N3145*IF($O$3100=1,$O3145/$F$3100,1)</f>
        <v/>
      </c>
      <c r="T3145" s="95">
        <f>IF($G3145&lt;nr_MStartP,$S3145,$T3133*(1+IF($G3145&lt;nr_MStartP1,$M$3100,$N$3100)))</f>
        <v/>
      </c>
      <c r="U3145" s="95">
        <f>IF($L$3100,$T3145,$N3145)</f>
        <v/>
      </c>
    </row>
    <row r="3146">
      <c r="A3146" s="90" t="n">
        <v>44</v>
      </c>
      <c r="B3146" s="91">
        <f>EDATE($B3145,1)</f>
        <v/>
      </c>
      <c r="C3146" s="92">
        <f>EOMONTH($B3146,0)</f>
        <v/>
      </c>
      <c r="D3146" s="87">
        <f>$C3146-$B3146+1</f>
        <v/>
      </c>
      <c r="E3146" s="87">
        <f>MONTH($B3146)</f>
        <v/>
      </c>
      <c r="F3146" s="93">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$N3146*IF($O$3100=1,$O3146/$F$3100,1)</f>
        <v/>
      </c>
      <c r="T3146" s="95">
        <f>IF($G3146&lt;nr_MStartP,$S3146,$T3134*(1+IF($G3146&lt;nr_MStartP1,$M$3100,$N$3100)))</f>
        <v/>
      </c>
      <c r="U3146" s="95">
        <f>IF($L$3100,$T3146,$N3146)</f>
        <v/>
      </c>
    </row>
    <row r="3147">
      <c r="A3147" s="90" t="n">
        <v>45</v>
      </c>
      <c r="B3147" s="91">
        <f>EDATE($B3146,1)</f>
        <v/>
      </c>
      <c r="C3147" s="92">
        <f>EOMONTH($B3147,0)</f>
        <v/>
      </c>
      <c r="D3147" s="87">
        <f>$C3147-$B3147+1</f>
        <v/>
      </c>
      <c r="E3147" s="87">
        <f>MONTH($B3147)</f>
        <v/>
      </c>
      <c r="F3147" s="93">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$N3147*IF($O$3100=1,$O3147/$F$3100,1)</f>
        <v/>
      </c>
      <c r="T3147" s="95">
        <f>IF($G3147&lt;nr_MStartP,$S3147,$T3135*(1+IF($G3147&lt;nr_MStartP1,$M$3100,$N$3100)))</f>
        <v/>
      </c>
      <c r="U3147" s="95">
        <f>IF($L$3100,$T3147,$N3147)</f>
        <v/>
      </c>
    </row>
    <row r="3148">
      <c r="A3148" s="90" t="n">
        <v>46</v>
      </c>
      <c r="B3148" s="91">
        <f>EDATE($B3147,1)</f>
        <v/>
      </c>
      <c r="C3148" s="92">
        <f>EOMONTH($B3148,0)</f>
        <v/>
      </c>
      <c r="D3148" s="87">
        <f>$C3148-$B3148+1</f>
        <v/>
      </c>
      <c r="E3148" s="87">
        <f>MONTH($B3148)</f>
        <v/>
      </c>
      <c r="F3148" s="93">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$N3148*IF($O$3100=1,$O3148/$F$3100,1)</f>
        <v/>
      </c>
      <c r="T3148" s="95">
        <f>IF($G3148&lt;nr_MStartP,$S3148,$T3136*(1+IF($G3148&lt;nr_MStartP1,$M$3100,$N$3100)))</f>
        <v/>
      </c>
      <c r="U3148" s="95">
        <f>IF($L$3100,$T3148,$N3148)</f>
        <v/>
      </c>
    </row>
    <row r="3149">
      <c r="A3149" s="90" t="n">
        <v>47</v>
      </c>
      <c r="B3149" s="91">
        <f>EDATE($B3148,1)</f>
        <v/>
      </c>
      <c r="C3149" s="92">
        <f>EOMONTH($B3149,0)</f>
        <v/>
      </c>
      <c r="D3149" s="87">
        <f>$C3149-$B3149+1</f>
        <v/>
      </c>
      <c r="E3149" s="87">
        <f>MONTH($B3149)</f>
        <v/>
      </c>
      <c r="F3149" s="93">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$N3149*IF($O$3100=1,$O3149/$F$3100,1)</f>
        <v/>
      </c>
      <c r="T3149" s="95">
        <f>IF($G3149&lt;nr_MStartP,$S3149,$T3137*(1+IF($G3149&lt;nr_MStartP1,$M$3100,$N$3100)))</f>
        <v/>
      </c>
      <c r="U3149" s="95">
        <f>IF($L$3100,$T3149,$N3149)</f>
        <v/>
      </c>
    </row>
    <row r="3150">
      <c r="A3150" s="90" t="n">
        <v>48</v>
      </c>
      <c r="B3150" s="91">
        <f>EDATE($B3149,1)</f>
        <v/>
      </c>
      <c r="C3150" s="92">
        <f>EOMONTH($B3150,0)</f>
        <v/>
      </c>
      <c r="D3150" s="87">
        <f>$C3150-$B3150+1</f>
        <v/>
      </c>
      <c r="E3150" s="87">
        <f>MONTH($B3150)</f>
        <v/>
      </c>
      <c r="F3150" s="93">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$N3150*IF($O$3100=1,$O3150/$F$3100,1)</f>
        <v/>
      </c>
      <c r="T3150" s="95">
        <f>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04">
        <f>SUMPRODUCT($H$3103:$H$3150,$Q$3103:$Q$3150,$O$3103:$O$3150)/SUMPRODUCT($H$3103:$H$3150,$Q$3103:$Q$3150)</f>
        <v/>
      </c>
      <c r="G3151" s="20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04">
        <f>IF(N(INDEX(lr_mind,58))=0,1,INDEX(lr_mind,58))</f>
        <v/>
      </c>
      <c r="G3154" s="204">
        <f>IF(N(INDEX(lr_m0,58))=0,1,INDEX(lr_m0,58))</f>
        <v/>
      </c>
      <c r="H3154" s="73">
        <f>IF(N(INDEX(lr_m0asof,58))=0,DATE(nr_PlanYear-1,10,1),INDEX(lr_m0asof,58))</f>
        <v/>
      </c>
      <c r="I3154" s="204">
        <f>IF(N(INDEX(lr_m1,58))=0,1,INDEX(lr_m1,58))</f>
        <v/>
      </c>
      <c r="J3154" s="204">
        <f>INDEX(lr_mprior,58)</f>
        <v/>
      </c>
      <c r="K3154" s="20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93">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$N3157*IF($O$3154=1,$O3157/$F$3154,1)</f>
        <v/>
      </c>
      <c r="T3157" s="95">
        <f>IF($G3157&lt;nr_MStartP,$S3157,$T3145*(1+IF($G3157&lt;nr_MStartP1,$M$3154,$N$3154)))</f>
        <v/>
      </c>
      <c r="U3157" s="95">
        <f>IF($L$3154,$T3157,$N3157)</f>
        <v/>
      </c>
    </row>
    <row r="3158">
      <c r="A3158" s="90" t="n">
        <v>2</v>
      </c>
      <c r="B3158" s="91">
        <f>EDATE($B3157,1)</f>
        <v/>
      </c>
      <c r="C3158" s="92">
        <f>EOMONTH($B3158,0)</f>
        <v/>
      </c>
      <c r="D3158" s="87">
        <f>$C3158-$B3158+1</f>
        <v/>
      </c>
      <c r="E3158" s="87">
        <f>MONTH($B3158)</f>
        <v/>
      </c>
      <c r="F3158" s="93">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$N3158*IF($O$3154=1,$O3158/$F$3154,1)</f>
        <v/>
      </c>
      <c r="T3158" s="95">
        <f>IF($G3158&lt;nr_MStartP,$S3158,$T3146*(1+IF($G3158&lt;nr_MStartP1,$M$3154,$N$3154)))</f>
        <v/>
      </c>
      <c r="U3158" s="95">
        <f>IF($L$3154,$T3158,$N3158)</f>
        <v/>
      </c>
    </row>
    <row r="3159">
      <c r="A3159" s="90" t="n">
        <v>3</v>
      </c>
      <c r="B3159" s="91">
        <f>EDATE($B3158,1)</f>
        <v/>
      </c>
      <c r="C3159" s="92">
        <f>EOMONTH($B3159,0)</f>
        <v/>
      </c>
      <c r="D3159" s="87">
        <f>$C3159-$B3159+1</f>
        <v/>
      </c>
      <c r="E3159" s="87">
        <f>MONTH($B3159)</f>
        <v/>
      </c>
      <c r="F3159" s="93">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$N3159*IF($O$3154=1,$O3159/$F$3154,1)</f>
        <v/>
      </c>
      <c r="T3159" s="95">
        <f>IF($G3159&lt;nr_MStartP,$S3159,$T3147*(1+IF($G3159&lt;nr_MStartP1,$M$3154,$N$3154)))</f>
        <v/>
      </c>
      <c r="U3159" s="95">
        <f>IF($L$3154,$T3159,$N3159)</f>
        <v/>
      </c>
    </row>
    <row r="3160">
      <c r="A3160" s="90" t="n">
        <v>4</v>
      </c>
      <c r="B3160" s="91">
        <f>EDATE($B3159,1)</f>
        <v/>
      </c>
      <c r="C3160" s="92">
        <f>EOMONTH($B3160,0)</f>
        <v/>
      </c>
      <c r="D3160" s="87">
        <f>$C3160-$B3160+1</f>
        <v/>
      </c>
      <c r="E3160" s="87">
        <f>MONTH($B3160)</f>
        <v/>
      </c>
      <c r="F3160" s="93">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$N3160*IF($O$3154=1,$O3160/$F$3154,1)</f>
        <v/>
      </c>
      <c r="T3160" s="95">
        <f>IF($G3160&lt;nr_MStartP,$S3160,$T3148*(1+IF($G3160&lt;nr_MStartP1,$M$3154,$N$3154)))</f>
        <v/>
      </c>
      <c r="U3160" s="95">
        <f>IF($L$3154,$T3160,$N3160)</f>
        <v/>
      </c>
    </row>
    <row r="3161">
      <c r="A3161" s="90" t="n">
        <v>5</v>
      </c>
      <c r="B3161" s="91">
        <f>EDATE($B3160,1)</f>
        <v/>
      </c>
      <c r="C3161" s="92">
        <f>EOMONTH($B3161,0)</f>
        <v/>
      </c>
      <c r="D3161" s="87">
        <f>$C3161-$B3161+1</f>
        <v/>
      </c>
      <c r="E3161" s="87">
        <f>MONTH($B3161)</f>
        <v/>
      </c>
      <c r="F3161" s="93">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$N3161*IF($O$3154=1,$O3161/$F$3154,1)</f>
        <v/>
      </c>
      <c r="T3161" s="95">
        <f>IF($G3161&lt;nr_MStartP,$S3161,$T3149*(1+IF($G3161&lt;nr_MStartP1,$M$3154,$N$3154)))</f>
        <v/>
      </c>
      <c r="U3161" s="95">
        <f>IF($L$3154,$T3161,$N3161)</f>
        <v/>
      </c>
    </row>
    <row r="3162">
      <c r="A3162" s="90" t="n">
        <v>6</v>
      </c>
      <c r="B3162" s="91">
        <f>EDATE($B3161,1)</f>
        <v/>
      </c>
      <c r="C3162" s="92">
        <f>EOMONTH($B3162,0)</f>
        <v/>
      </c>
      <c r="D3162" s="87">
        <f>$C3162-$B3162+1</f>
        <v/>
      </c>
      <c r="E3162" s="87">
        <f>MONTH($B3162)</f>
        <v/>
      </c>
      <c r="F3162" s="93">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$N3162*IF($O$3154=1,$O3162/$F$3154,1)</f>
        <v/>
      </c>
      <c r="T3162" s="95">
        <f>IF($G3162&lt;nr_MStartP,$S3162,$T3150*(1+IF($G3162&lt;nr_MStartP1,$M$3154,$N$3154)))</f>
        <v/>
      </c>
      <c r="U3162" s="95">
        <f>IF($L$3154,$T3162,$N3162)</f>
        <v/>
      </c>
    </row>
    <row r="3163">
      <c r="A3163" s="90" t="n">
        <v>7</v>
      </c>
      <c r="B3163" s="91">
        <f>EDATE($B3162,1)</f>
        <v/>
      </c>
      <c r="C3163" s="92">
        <f>EOMONTH($B3163,0)</f>
        <v/>
      </c>
      <c r="D3163" s="87">
        <f>$C3163-$B3163+1</f>
        <v/>
      </c>
      <c r="E3163" s="87">
        <f>MONTH($B3163)</f>
        <v/>
      </c>
      <c r="F3163" s="93">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$N3163*IF($O$3154=1,$O3163/$F$3154,1)</f>
        <v/>
      </c>
      <c r="T3163" s="95">
        <f>IF($G3163&lt;nr_MStartP,$S3163,$T3151*(1+IF($G3163&lt;nr_MStartP1,$M$3154,$N$3154)))</f>
        <v/>
      </c>
      <c r="U3163" s="95">
        <f>IF($L$3154,$T3163,$N3163)</f>
        <v/>
      </c>
    </row>
    <row r="3164">
      <c r="A3164" s="90" t="n">
        <v>8</v>
      </c>
      <c r="B3164" s="91">
        <f>EDATE($B3163,1)</f>
        <v/>
      </c>
      <c r="C3164" s="92">
        <f>EOMONTH($B3164,0)</f>
        <v/>
      </c>
      <c r="D3164" s="87">
        <f>$C3164-$B3164+1</f>
        <v/>
      </c>
      <c r="E3164" s="87">
        <f>MONTH($B3164)</f>
        <v/>
      </c>
      <c r="F3164" s="93">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$N3164*IF($O$3154=1,$O3164/$F$3154,1)</f>
        <v/>
      </c>
      <c r="T3164" s="95">
        <f>IF($G3164&lt;nr_MStartP,$S3164,$T3152*(1+IF($G3164&lt;nr_MStartP1,$M$3154,$N$3154)))</f>
        <v/>
      </c>
      <c r="U3164" s="95">
        <f>IF($L$3154,$T3164,$N3164)</f>
        <v/>
      </c>
    </row>
    <row r="3165">
      <c r="A3165" s="90" t="n">
        <v>9</v>
      </c>
      <c r="B3165" s="91">
        <f>EDATE($B3164,1)</f>
        <v/>
      </c>
      <c r="C3165" s="92">
        <f>EOMONTH($B3165,0)</f>
        <v/>
      </c>
      <c r="D3165" s="87">
        <f>$C3165-$B3165+1</f>
        <v/>
      </c>
      <c r="E3165" s="87">
        <f>MONTH($B3165)</f>
        <v/>
      </c>
      <c r="F3165" s="93">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$N3165*IF($O$3154=1,$O3165/$F$3154,1)</f>
        <v/>
      </c>
      <c r="T3165" s="95">
        <f>IF($G3165&lt;nr_MStartP,$S3165,$T3153*(1+IF($G3165&lt;nr_MStartP1,$M$3154,$N$3154)))</f>
        <v/>
      </c>
      <c r="U3165" s="95">
        <f>IF($L$3154,$T3165,$N3165)</f>
        <v/>
      </c>
    </row>
    <row r="3166">
      <c r="A3166" s="90" t="n">
        <v>10</v>
      </c>
      <c r="B3166" s="91">
        <f>EDATE($B3165,1)</f>
        <v/>
      </c>
      <c r="C3166" s="92">
        <f>EOMONTH($B3166,0)</f>
        <v/>
      </c>
      <c r="D3166" s="87">
        <f>$C3166-$B3166+1</f>
        <v/>
      </c>
      <c r="E3166" s="87">
        <f>MONTH($B3166)</f>
        <v/>
      </c>
      <c r="F3166" s="93">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$N3166*IF($O$3154=1,$O3166/$F$3154,1)</f>
        <v/>
      </c>
      <c r="T3166" s="95">
        <f>IF($G3166&lt;nr_MStartP,$S3166,$T3154*(1+IF($G3166&lt;nr_MStartP1,$M$3154,$N$3154)))</f>
        <v/>
      </c>
      <c r="U3166" s="95">
        <f>IF($L$3154,$T3166,$N3166)</f>
        <v/>
      </c>
    </row>
    <row r="3167">
      <c r="A3167" s="90" t="n">
        <v>11</v>
      </c>
      <c r="B3167" s="91">
        <f>EDATE($B3166,1)</f>
        <v/>
      </c>
      <c r="C3167" s="92">
        <f>EOMONTH($B3167,0)</f>
        <v/>
      </c>
      <c r="D3167" s="87">
        <f>$C3167-$B3167+1</f>
        <v/>
      </c>
      <c r="E3167" s="87">
        <f>MONTH($B3167)</f>
        <v/>
      </c>
      <c r="F3167" s="93">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$N3167*IF($O$3154=1,$O3167/$F$3154,1)</f>
        <v/>
      </c>
      <c r="T3167" s="95">
        <f>IF($G3167&lt;nr_MStartP,$S3167,$T3155*(1+IF($G3167&lt;nr_MStartP1,$M$3154,$N$3154)))</f>
        <v/>
      </c>
      <c r="U3167" s="95">
        <f>IF($L$3154,$T3167,$N3167)</f>
        <v/>
      </c>
    </row>
    <row r="3168">
      <c r="A3168" s="90" t="n">
        <v>12</v>
      </c>
      <c r="B3168" s="91">
        <f>EDATE($B3167,1)</f>
        <v/>
      </c>
      <c r="C3168" s="92">
        <f>EOMONTH($B3168,0)</f>
        <v/>
      </c>
      <c r="D3168" s="87">
        <f>$C3168-$B3168+1</f>
        <v/>
      </c>
      <c r="E3168" s="87">
        <f>MONTH($B3168)</f>
        <v/>
      </c>
      <c r="F3168" s="93">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$N3168*IF($O$3154=1,$O3168/$F$3154,1)</f>
        <v/>
      </c>
      <c r="T3168" s="95">
        <f>IF($G3168&lt;nr_MStartP,$S3168,$T3156*(1+IF($G3168&lt;nr_MStartP1,$M$3154,$N$3154)))</f>
        <v/>
      </c>
      <c r="U3168" s="95">
        <f>IF($L$3154,$T3168,$N3168)</f>
        <v/>
      </c>
    </row>
    <row r="3169">
      <c r="A3169" s="90" t="n">
        <v>13</v>
      </c>
      <c r="B3169" s="91">
        <f>EDATE($B3168,1)</f>
        <v/>
      </c>
      <c r="C3169" s="92">
        <f>EOMONTH($B3169,0)</f>
        <v/>
      </c>
      <c r="D3169" s="87">
        <f>$C3169-$B3169+1</f>
        <v/>
      </c>
      <c r="E3169" s="87">
        <f>MONTH($B3169)</f>
        <v/>
      </c>
      <c r="F3169" s="93">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$N3169*IF($O$3154=1,$O3169/$F$3154,1)</f>
        <v/>
      </c>
      <c r="T3169" s="95">
        <f>IF($G3169&lt;nr_MStartP,$S3169,$T3157*(1+IF($G3169&lt;nr_MStartP1,$M$3154,$N$3154)))</f>
        <v/>
      </c>
      <c r="U3169" s="95">
        <f>IF($L$3154,$T3169,$N3169)</f>
        <v/>
      </c>
    </row>
    <row r="3170">
      <c r="A3170" s="90" t="n">
        <v>14</v>
      </c>
      <c r="B3170" s="91">
        <f>EDATE($B3169,1)</f>
        <v/>
      </c>
      <c r="C3170" s="92">
        <f>EOMONTH($B3170,0)</f>
        <v/>
      </c>
      <c r="D3170" s="87">
        <f>$C3170-$B3170+1</f>
        <v/>
      </c>
      <c r="E3170" s="87">
        <f>MONTH($B3170)</f>
        <v/>
      </c>
      <c r="F3170" s="93">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$N3170*IF($O$3154=1,$O3170/$F$3154,1)</f>
        <v/>
      </c>
      <c r="T3170" s="95">
        <f>IF($G3170&lt;nr_MStartP,$S3170,$T3158*(1+IF($G3170&lt;nr_MStartP1,$M$3154,$N$3154)))</f>
        <v/>
      </c>
      <c r="U3170" s="95">
        <f>IF($L$3154,$T3170,$N3170)</f>
        <v/>
      </c>
    </row>
    <row r="3171">
      <c r="A3171" s="90" t="n">
        <v>15</v>
      </c>
      <c r="B3171" s="91">
        <f>EDATE($B3170,1)</f>
        <v/>
      </c>
      <c r="C3171" s="92">
        <f>EOMONTH($B3171,0)</f>
        <v/>
      </c>
      <c r="D3171" s="87">
        <f>$C3171-$B3171+1</f>
        <v/>
      </c>
      <c r="E3171" s="87">
        <f>MONTH($B3171)</f>
        <v/>
      </c>
      <c r="F3171" s="93">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$N3171*IF($O$3154=1,$O3171/$F$3154,1)</f>
        <v/>
      </c>
      <c r="T3171" s="95">
        <f>IF($G3171&lt;nr_MStartP,$S3171,$T3159*(1+IF($G3171&lt;nr_MStartP1,$M$3154,$N$3154)))</f>
        <v/>
      </c>
      <c r="U3171" s="95">
        <f>IF($L$3154,$T3171,$N3171)</f>
        <v/>
      </c>
    </row>
    <row r="3172">
      <c r="A3172" s="90" t="n">
        <v>16</v>
      </c>
      <c r="B3172" s="91">
        <f>EDATE($B3171,1)</f>
        <v/>
      </c>
      <c r="C3172" s="92">
        <f>EOMONTH($B3172,0)</f>
        <v/>
      </c>
      <c r="D3172" s="87">
        <f>$C3172-$B3172+1</f>
        <v/>
      </c>
      <c r="E3172" s="87">
        <f>MONTH($B3172)</f>
        <v/>
      </c>
      <c r="F3172" s="93">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$N3172*IF($O$3154=1,$O3172/$F$3154,1)</f>
        <v/>
      </c>
      <c r="T3172" s="95">
        <f>IF($G3172&lt;nr_MStartP,$S3172,$T3160*(1+IF($G3172&lt;nr_MStartP1,$M$3154,$N$3154)))</f>
        <v/>
      </c>
      <c r="U3172" s="95">
        <f>IF($L$3154,$T3172,$N3172)</f>
        <v/>
      </c>
    </row>
    <row r="3173">
      <c r="A3173" s="90" t="n">
        <v>17</v>
      </c>
      <c r="B3173" s="91">
        <f>EDATE($B3172,1)</f>
        <v/>
      </c>
      <c r="C3173" s="92">
        <f>EOMONTH($B3173,0)</f>
        <v/>
      </c>
      <c r="D3173" s="87">
        <f>$C3173-$B3173+1</f>
        <v/>
      </c>
      <c r="E3173" s="87">
        <f>MONTH($B3173)</f>
        <v/>
      </c>
      <c r="F3173" s="93">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$N3173*IF($O$3154=1,$O3173/$F$3154,1)</f>
        <v/>
      </c>
      <c r="T3173" s="95">
        <f>IF($G3173&lt;nr_MStartP,$S3173,$T3161*(1+IF($G3173&lt;nr_MStartP1,$M$3154,$N$3154)))</f>
        <v/>
      </c>
      <c r="U3173" s="95">
        <f>IF($L$3154,$T3173,$N3173)</f>
        <v/>
      </c>
    </row>
    <row r="3174">
      <c r="A3174" s="90" t="n">
        <v>18</v>
      </c>
      <c r="B3174" s="91">
        <f>EDATE($B3173,1)</f>
        <v/>
      </c>
      <c r="C3174" s="92">
        <f>EOMONTH($B3174,0)</f>
        <v/>
      </c>
      <c r="D3174" s="87">
        <f>$C3174-$B3174+1</f>
        <v/>
      </c>
      <c r="E3174" s="87">
        <f>MONTH($B3174)</f>
        <v/>
      </c>
      <c r="F3174" s="93">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$N3174*IF($O$3154=1,$O3174/$F$3154,1)</f>
        <v/>
      </c>
      <c r="T3174" s="95">
        <f>IF($G3174&lt;nr_MStartP,$S3174,$T3162*(1+IF($G3174&lt;nr_MStartP1,$M$3154,$N$3154)))</f>
        <v/>
      </c>
      <c r="U3174" s="95">
        <f>IF($L$3154,$T3174,$N3174)</f>
        <v/>
      </c>
    </row>
    <row r="3175">
      <c r="A3175" s="90" t="n">
        <v>19</v>
      </c>
      <c r="B3175" s="91">
        <f>EDATE($B3174,1)</f>
        <v/>
      </c>
      <c r="C3175" s="92">
        <f>EOMONTH($B3175,0)</f>
        <v/>
      </c>
      <c r="D3175" s="87">
        <f>$C3175-$B3175+1</f>
        <v/>
      </c>
      <c r="E3175" s="87">
        <f>MONTH($B3175)</f>
        <v/>
      </c>
      <c r="F3175" s="93">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$N3175*IF($O$3154=1,$O3175/$F$3154,1)</f>
        <v/>
      </c>
      <c r="T3175" s="95">
        <f>IF($G3175&lt;nr_MStartP,$S3175,$T3163*(1+IF($G3175&lt;nr_MStartP1,$M$3154,$N$3154)))</f>
        <v/>
      </c>
      <c r="U3175" s="95">
        <f>IF($L$3154,$T3175,$N3175)</f>
        <v/>
      </c>
    </row>
    <row r="3176">
      <c r="A3176" s="90" t="n">
        <v>20</v>
      </c>
      <c r="B3176" s="91">
        <f>EDATE($B3175,1)</f>
        <v/>
      </c>
      <c r="C3176" s="92">
        <f>EOMONTH($B3176,0)</f>
        <v/>
      </c>
      <c r="D3176" s="87">
        <f>$C3176-$B3176+1</f>
        <v/>
      </c>
      <c r="E3176" s="87">
        <f>MONTH($B3176)</f>
        <v/>
      </c>
      <c r="F3176" s="93">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$N3176*IF($O$3154=1,$O3176/$F$3154,1)</f>
        <v/>
      </c>
      <c r="T3176" s="95">
        <f>IF($G3176&lt;nr_MStartP,$S3176,$T3164*(1+IF($G3176&lt;nr_MStartP1,$M$3154,$N$3154)))</f>
        <v/>
      </c>
      <c r="U3176" s="95">
        <f>IF($L$3154,$T3176,$N3176)</f>
        <v/>
      </c>
    </row>
    <row r="3177">
      <c r="A3177" s="90" t="n">
        <v>21</v>
      </c>
      <c r="B3177" s="91">
        <f>EDATE($B3176,1)</f>
        <v/>
      </c>
      <c r="C3177" s="92">
        <f>EOMONTH($B3177,0)</f>
        <v/>
      </c>
      <c r="D3177" s="87">
        <f>$C3177-$B3177+1</f>
        <v/>
      </c>
      <c r="E3177" s="87">
        <f>MONTH($B3177)</f>
        <v/>
      </c>
      <c r="F3177" s="93">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$N3177*IF($O$3154=1,$O3177/$F$3154,1)</f>
        <v/>
      </c>
      <c r="T3177" s="95">
        <f>IF($G3177&lt;nr_MStartP,$S3177,$T3165*(1+IF($G3177&lt;nr_MStartP1,$M$3154,$N$3154)))</f>
        <v/>
      </c>
      <c r="U3177" s="95">
        <f>IF($L$3154,$T3177,$N3177)</f>
        <v/>
      </c>
    </row>
    <row r="3178">
      <c r="A3178" s="90" t="n">
        <v>22</v>
      </c>
      <c r="B3178" s="91">
        <f>EDATE($B3177,1)</f>
        <v/>
      </c>
      <c r="C3178" s="92">
        <f>EOMONTH($B3178,0)</f>
        <v/>
      </c>
      <c r="D3178" s="87">
        <f>$C3178-$B3178+1</f>
        <v/>
      </c>
      <c r="E3178" s="87">
        <f>MONTH($B3178)</f>
        <v/>
      </c>
      <c r="F3178" s="93">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$N3178*IF($O$3154=1,$O3178/$F$3154,1)</f>
        <v/>
      </c>
      <c r="T3178" s="95">
        <f>IF($G3178&lt;nr_MStartP,$S3178,$T3166*(1+IF($G3178&lt;nr_MStartP1,$M$3154,$N$3154)))</f>
        <v/>
      </c>
      <c r="U3178" s="95">
        <f>IF($L$3154,$T3178,$N3178)</f>
        <v/>
      </c>
    </row>
    <row r="3179">
      <c r="A3179" s="90" t="n">
        <v>23</v>
      </c>
      <c r="B3179" s="91">
        <f>EDATE($B3178,1)</f>
        <v/>
      </c>
      <c r="C3179" s="92">
        <f>EOMONTH($B3179,0)</f>
        <v/>
      </c>
      <c r="D3179" s="87">
        <f>$C3179-$B3179+1</f>
        <v/>
      </c>
      <c r="E3179" s="87">
        <f>MONTH($B3179)</f>
        <v/>
      </c>
      <c r="F3179" s="93">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$N3179*IF($O$3154=1,$O3179/$F$3154,1)</f>
        <v/>
      </c>
      <c r="T3179" s="95">
        <f>IF($G3179&lt;nr_MStartP,$S3179,$T3167*(1+IF($G3179&lt;nr_MStartP1,$M$3154,$N$3154)))</f>
        <v/>
      </c>
      <c r="U3179" s="95">
        <f>IF($L$3154,$T3179,$N3179)</f>
        <v/>
      </c>
    </row>
    <row r="3180">
      <c r="A3180" s="90" t="n">
        <v>24</v>
      </c>
      <c r="B3180" s="91">
        <f>EDATE($B3179,1)</f>
        <v/>
      </c>
      <c r="C3180" s="92">
        <f>EOMONTH($B3180,0)</f>
        <v/>
      </c>
      <c r="D3180" s="87">
        <f>$C3180-$B3180+1</f>
        <v/>
      </c>
      <c r="E3180" s="87">
        <f>MONTH($B3180)</f>
        <v/>
      </c>
      <c r="F3180" s="93">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$N3180*IF($O$3154=1,$O3180/$F$3154,1)</f>
        <v/>
      </c>
      <c r="T3180" s="95">
        <f>IF($G3180&lt;nr_MStartP,$S3180,$T3168*(1+IF($G3180&lt;nr_MStartP1,$M$3154,$N$3154)))</f>
        <v/>
      </c>
      <c r="U3180" s="95">
        <f>IF($L$3154,$T3180,$N3180)</f>
        <v/>
      </c>
    </row>
    <row r="3181">
      <c r="A3181" s="90" t="n">
        <v>25</v>
      </c>
      <c r="B3181" s="91">
        <f>EDATE($B3180,1)</f>
        <v/>
      </c>
      <c r="C3181" s="92">
        <f>EOMONTH($B3181,0)</f>
        <v/>
      </c>
      <c r="D3181" s="87">
        <f>$C3181-$B3181+1</f>
        <v/>
      </c>
      <c r="E3181" s="87">
        <f>MONTH($B3181)</f>
        <v/>
      </c>
      <c r="F3181" s="93">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$N3181*IF($O$3154=1,$O3181/$F$3154,1)</f>
        <v/>
      </c>
      <c r="T3181" s="95">
        <f>IF($G3181&lt;nr_MStartP,$S3181,$T3169*(1+IF($G3181&lt;nr_MStartP1,$M$3154,$N$3154)))</f>
        <v/>
      </c>
      <c r="U3181" s="95">
        <f>IF($L$3154,$T3181,$N3181)</f>
        <v/>
      </c>
    </row>
    <row r="3182">
      <c r="A3182" s="90" t="n">
        <v>26</v>
      </c>
      <c r="B3182" s="91">
        <f>EDATE($B3181,1)</f>
        <v/>
      </c>
      <c r="C3182" s="92">
        <f>EOMONTH($B3182,0)</f>
        <v/>
      </c>
      <c r="D3182" s="87">
        <f>$C3182-$B3182+1</f>
        <v/>
      </c>
      <c r="E3182" s="87">
        <f>MONTH($B3182)</f>
        <v/>
      </c>
      <c r="F3182" s="93">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$N3182*IF($O$3154=1,$O3182/$F$3154,1)</f>
        <v/>
      </c>
      <c r="T3182" s="95">
        <f>IF($G3182&lt;nr_MStartP,$S3182,$T3170*(1+IF($G3182&lt;nr_MStartP1,$M$3154,$N$3154)))</f>
        <v/>
      </c>
      <c r="U3182" s="95">
        <f>IF($L$3154,$T3182,$N3182)</f>
        <v/>
      </c>
    </row>
    <row r="3183">
      <c r="A3183" s="90" t="n">
        <v>27</v>
      </c>
      <c r="B3183" s="91">
        <f>EDATE($B3182,1)</f>
        <v/>
      </c>
      <c r="C3183" s="92">
        <f>EOMONTH($B3183,0)</f>
        <v/>
      </c>
      <c r="D3183" s="87">
        <f>$C3183-$B3183+1</f>
        <v/>
      </c>
      <c r="E3183" s="87">
        <f>MONTH($B3183)</f>
        <v/>
      </c>
      <c r="F3183" s="93">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$N3183*IF($O$3154=1,$O3183/$F$3154,1)</f>
        <v/>
      </c>
      <c r="T3183" s="95">
        <f>IF($G3183&lt;nr_MStartP,$S3183,$T3171*(1+IF($G3183&lt;nr_MStartP1,$M$3154,$N$3154)))</f>
        <v/>
      </c>
      <c r="U3183" s="95">
        <f>IF($L$3154,$T3183,$N3183)</f>
        <v/>
      </c>
    </row>
    <row r="3184">
      <c r="A3184" s="90" t="n">
        <v>28</v>
      </c>
      <c r="B3184" s="91">
        <f>EDATE($B3183,1)</f>
        <v/>
      </c>
      <c r="C3184" s="92">
        <f>EOMONTH($B3184,0)</f>
        <v/>
      </c>
      <c r="D3184" s="87">
        <f>$C3184-$B3184+1</f>
        <v/>
      </c>
      <c r="E3184" s="87">
        <f>MONTH($B3184)</f>
        <v/>
      </c>
      <c r="F3184" s="93">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$N3184*IF($O$3154=1,$O3184/$F$3154,1)</f>
        <v/>
      </c>
      <c r="T3184" s="95">
        <f>IF($G3184&lt;nr_MStartP,$S3184,$T3172*(1+IF($G3184&lt;nr_MStartP1,$M$3154,$N$3154)))</f>
        <v/>
      </c>
      <c r="U3184" s="95">
        <f>IF($L$3154,$T3184,$N3184)</f>
        <v/>
      </c>
    </row>
    <row r="3185">
      <c r="A3185" s="90" t="n">
        <v>29</v>
      </c>
      <c r="B3185" s="91">
        <f>EDATE($B3184,1)</f>
        <v/>
      </c>
      <c r="C3185" s="92">
        <f>EOMONTH($B3185,0)</f>
        <v/>
      </c>
      <c r="D3185" s="87">
        <f>$C3185-$B3185+1</f>
        <v/>
      </c>
      <c r="E3185" s="87">
        <f>MONTH($B3185)</f>
        <v/>
      </c>
      <c r="F3185" s="93">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$N3185*IF($O$3154=1,$O3185/$F$3154,1)</f>
        <v/>
      </c>
      <c r="T3185" s="95">
        <f>IF($G3185&lt;nr_MStartP,$S3185,$T3173*(1+IF($G3185&lt;nr_MStartP1,$M$3154,$N$3154)))</f>
        <v/>
      </c>
      <c r="U3185" s="95">
        <f>IF($L$3154,$T3185,$N3185)</f>
        <v/>
      </c>
    </row>
    <row r="3186">
      <c r="A3186" s="90" t="n">
        <v>30</v>
      </c>
      <c r="B3186" s="91">
        <f>EDATE($B3185,1)</f>
        <v/>
      </c>
      <c r="C3186" s="92">
        <f>EOMONTH($B3186,0)</f>
        <v/>
      </c>
      <c r="D3186" s="87">
        <f>$C3186-$B3186+1</f>
        <v/>
      </c>
      <c r="E3186" s="87">
        <f>MONTH($B3186)</f>
        <v/>
      </c>
      <c r="F3186" s="93">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$N3186*IF($O$3154=1,$O3186/$F$3154,1)</f>
        <v/>
      </c>
      <c r="T3186" s="95">
        <f>IF($G3186&lt;nr_MStartP,$S3186,$T3174*(1+IF($G3186&lt;nr_MStartP1,$M$3154,$N$3154)))</f>
        <v/>
      </c>
      <c r="U3186" s="95">
        <f>IF($L$3154,$T3186,$N3186)</f>
        <v/>
      </c>
    </row>
    <row r="3187">
      <c r="A3187" s="90" t="n">
        <v>31</v>
      </c>
      <c r="B3187" s="91">
        <f>EDATE($B3186,1)</f>
        <v/>
      </c>
      <c r="C3187" s="92">
        <f>EOMONTH($B3187,0)</f>
        <v/>
      </c>
      <c r="D3187" s="87">
        <f>$C3187-$B3187+1</f>
        <v/>
      </c>
      <c r="E3187" s="87">
        <f>MONTH($B3187)</f>
        <v/>
      </c>
      <c r="F3187" s="93">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$N3187*IF($O$3154=1,$O3187/$F$3154,1)</f>
        <v/>
      </c>
      <c r="T3187" s="95">
        <f>IF($G3187&lt;nr_MStartP,$S3187,$T3175*(1+IF($G3187&lt;nr_MStartP1,$M$3154,$N$3154)))</f>
        <v/>
      </c>
      <c r="U3187" s="95">
        <f>IF($L$3154,$T3187,$N3187)</f>
        <v/>
      </c>
    </row>
    <row r="3188">
      <c r="A3188" s="90" t="n">
        <v>32</v>
      </c>
      <c r="B3188" s="91">
        <f>EDATE($B3187,1)</f>
        <v/>
      </c>
      <c r="C3188" s="92">
        <f>EOMONTH($B3188,0)</f>
        <v/>
      </c>
      <c r="D3188" s="87">
        <f>$C3188-$B3188+1</f>
        <v/>
      </c>
      <c r="E3188" s="87">
        <f>MONTH($B3188)</f>
        <v/>
      </c>
      <c r="F3188" s="93">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$N3188*IF($O$3154=1,$O3188/$F$3154,1)</f>
        <v/>
      </c>
      <c r="T3188" s="95">
        <f>IF($G3188&lt;nr_MStartP,$S3188,$T3176*(1+IF($G3188&lt;nr_MStartP1,$M$3154,$N$3154)))</f>
        <v/>
      </c>
      <c r="U3188" s="95">
        <f>IF($L$3154,$T3188,$N3188)</f>
        <v/>
      </c>
    </row>
    <row r="3189">
      <c r="A3189" s="90" t="n">
        <v>33</v>
      </c>
      <c r="B3189" s="91">
        <f>EDATE($B3188,1)</f>
        <v/>
      </c>
      <c r="C3189" s="92">
        <f>EOMONTH($B3189,0)</f>
        <v/>
      </c>
      <c r="D3189" s="87">
        <f>$C3189-$B3189+1</f>
        <v/>
      </c>
      <c r="E3189" s="87">
        <f>MONTH($B3189)</f>
        <v/>
      </c>
      <c r="F3189" s="93">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$N3189*IF($O$3154=1,$O3189/$F$3154,1)</f>
        <v/>
      </c>
      <c r="T3189" s="95">
        <f>IF($G3189&lt;nr_MStartP,$S3189,$T3177*(1+IF($G3189&lt;nr_MStartP1,$M$3154,$N$3154)))</f>
        <v/>
      </c>
      <c r="U3189" s="95">
        <f>IF($L$3154,$T3189,$N3189)</f>
        <v/>
      </c>
    </row>
    <row r="3190">
      <c r="A3190" s="90" t="n">
        <v>34</v>
      </c>
      <c r="B3190" s="91">
        <f>EDATE($B3189,1)</f>
        <v/>
      </c>
      <c r="C3190" s="92">
        <f>EOMONTH($B3190,0)</f>
        <v/>
      </c>
      <c r="D3190" s="87">
        <f>$C3190-$B3190+1</f>
        <v/>
      </c>
      <c r="E3190" s="87">
        <f>MONTH($B3190)</f>
        <v/>
      </c>
      <c r="F3190" s="93">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$N3190*IF($O$3154=1,$O3190/$F$3154,1)</f>
        <v/>
      </c>
      <c r="T3190" s="95">
        <f>IF($G3190&lt;nr_MStartP,$S3190,$T3178*(1+IF($G3190&lt;nr_MStartP1,$M$3154,$N$3154)))</f>
        <v/>
      </c>
      <c r="U3190" s="95">
        <f>IF($L$3154,$T3190,$N3190)</f>
        <v/>
      </c>
    </row>
    <row r="3191">
      <c r="A3191" s="90" t="n">
        <v>35</v>
      </c>
      <c r="B3191" s="91">
        <f>EDATE($B3190,1)</f>
        <v/>
      </c>
      <c r="C3191" s="92">
        <f>EOMONTH($B3191,0)</f>
        <v/>
      </c>
      <c r="D3191" s="87">
        <f>$C3191-$B3191+1</f>
        <v/>
      </c>
      <c r="E3191" s="87">
        <f>MONTH($B3191)</f>
        <v/>
      </c>
      <c r="F3191" s="93">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$N3191*IF($O$3154=1,$O3191/$F$3154,1)</f>
        <v/>
      </c>
      <c r="T3191" s="95">
        <f>IF($G3191&lt;nr_MStartP,$S3191,$T3179*(1+IF($G3191&lt;nr_MStartP1,$M$3154,$N$3154)))</f>
        <v/>
      </c>
      <c r="U3191" s="95">
        <f>IF($L$3154,$T3191,$N3191)</f>
        <v/>
      </c>
    </row>
    <row r="3192">
      <c r="A3192" s="90" t="n">
        <v>36</v>
      </c>
      <c r="B3192" s="91">
        <f>EDATE($B3191,1)</f>
        <v/>
      </c>
      <c r="C3192" s="92">
        <f>EOMONTH($B3192,0)</f>
        <v/>
      </c>
      <c r="D3192" s="87">
        <f>$C3192-$B3192+1</f>
        <v/>
      </c>
      <c r="E3192" s="87">
        <f>MONTH($B3192)</f>
        <v/>
      </c>
      <c r="F3192" s="93">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$N3192*IF($O$3154=1,$O3192/$F$3154,1)</f>
        <v/>
      </c>
      <c r="T3192" s="95">
        <f>IF($G3192&lt;nr_MStartP,$S3192,$T3180*(1+IF($G3192&lt;nr_MStartP1,$M$3154,$N$3154)))</f>
        <v/>
      </c>
      <c r="U3192" s="95">
        <f>IF($L$3154,$T3192,$N3192)</f>
        <v/>
      </c>
    </row>
    <row r="3193">
      <c r="A3193" s="90" t="n">
        <v>37</v>
      </c>
      <c r="B3193" s="91">
        <f>EDATE($B3192,1)</f>
        <v/>
      </c>
      <c r="C3193" s="92">
        <f>EOMONTH($B3193,0)</f>
        <v/>
      </c>
      <c r="D3193" s="87">
        <f>$C3193-$B3193+1</f>
        <v/>
      </c>
      <c r="E3193" s="87">
        <f>MONTH($B3193)</f>
        <v/>
      </c>
      <c r="F3193" s="93">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$N3193*IF($O$3154=1,$O3193/$F$3154,1)</f>
        <v/>
      </c>
      <c r="T3193" s="95">
        <f>IF($G3193&lt;nr_MStartP,$S3193,$T3181*(1+IF($G3193&lt;nr_MStartP1,$M$3154,$N$3154)))</f>
        <v/>
      </c>
      <c r="U3193" s="95">
        <f>IF($L$3154,$T3193,$N3193)</f>
        <v/>
      </c>
    </row>
    <row r="3194">
      <c r="A3194" s="90" t="n">
        <v>38</v>
      </c>
      <c r="B3194" s="91">
        <f>EDATE($B3193,1)</f>
        <v/>
      </c>
      <c r="C3194" s="92">
        <f>EOMONTH($B3194,0)</f>
        <v/>
      </c>
      <c r="D3194" s="87">
        <f>$C3194-$B3194+1</f>
        <v/>
      </c>
      <c r="E3194" s="87">
        <f>MONTH($B3194)</f>
        <v/>
      </c>
      <c r="F3194" s="93">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$N3194*IF($O$3154=1,$O3194/$F$3154,1)</f>
        <v/>
      </c>
      <c r="T3194" s="95">
        <f>IF($G3194&lt;nr_MStartP,$S3194,$T3182*(1+IF($G3194&lt;nr_MStartP1,$M$3154,$N$3154)))</f>
        <v/>
      </c>
      <c r="U3194" s="95">
        <f>IF($L$3154,$T3194,$N3194)</f>
        <v/>
      </c>
    </row>
    <row r="3195">
      <c r="A3195" s="90" t="n">
        <v>39</v>
      </c>
      <c r="B3195" s="91">
        <f>EDATE($B3194,1)</f>
        <v/>
      </c>
      <c r="C3195" s="92">
        <f>EOMONTH($B3195,0)</f>
        <v/>
      </c>
      <c r="D3195" s="87">
        <f>$C3195-$B3195+1</f>
        <v/>
      </c>
      <c r="E3195" s="87">
        <f>MONTH($B3195)</f>
        <v/>
      </c>
      <c r="F3195" s="93">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$N3195*IF($O$3154=1,$O3195/$F$3154,1)</f>
        <v/>
      </c>
      <c r="T3195" s="95">
        <f>IF($G3195&lt;nr_MStartP,$S3195,$T3183*(1+IF($G3195&lt;nr_MStartP1,$M$3154,$N$3154)))</f>
        <v/>
      </c>
      <c r="U3195" s="95">
        <f>IF($L$3154,$T3195,$N3195)</f>
        <v/>
      </c>
    </row>
    <row r="3196">
      <c r="A3196" s="90" t="n">
        <v>40</v>
      </c>
      <c r="B3196" s="91">
        <f>EDATE($B3195,1)</f>
        <v/>
      </c>
      <c r="C3196" s="92">
        <f>EOMONTH($B3196,0)</f>
        <v/>
      </c>
      <c r="D3196" s="87">
        <f>$C3196-$B3196+1</f>
        <v/>
      </c>
      <c r="E3196" s="87">
        <f>MONTH($B3196)</f>
        <v/>
      </c>
      <c r="F3196" s="93">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$N3196*IF($O$3154=1,$O3196/$F$3154,1)</f>
        <v/>
      </c>
      <c r="T3196" s="95">
        <f>IF($G3196&lt;nr_MStartP,$S3196,$T3184*(1+IF($G3196&lt;nr_MStartP1,$M$3154,$N$3154)))</f>
        <v/>
      </c>
      <c r="U3196" s="95">
        <f>IF($L$3154,$T3196,$N3196)</f>
        <v/>
      </c>
    </row>
    <row r="3197">
      <c r="A3197" s="90" t="n">
        <v>41</v>
      </c>
      <c r="B3197" s="91">
        <f>EDATE($B3196,1)</f>
        <v/>
      </c>
      <c r="C3197" s="92">
        <f>EOMONTH($B3197,0)</f>
        <v/>
      </c>
      <c r="D3197" s="87">
        <f>$C3197-$B3197+1</f>
        <v/>
      </c>
      <c r="E3197" s="87">
        <f>MONTH($B3197)</f>
        <v/>
      </c>
      <c r="F3197" s="93">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$N3197*IF($O$3154=1,$O3197/$F$3154,1)</f>
        <v/>
      </c>
      <c r="T3197" s="95">
        <f>IF($G3197&lt;nr_MStartP,$S3197,$T3185*(1+IF($G3197&lt;nr_MStartP1,$M$3154,$N$3154)))</f>
        <v/>
      </c>
      <c r="U3197" s="95">
        <f>IF($L$3154,$T3197,$N3197)</f>
        <v/>
      </c>
    </row>
    <row r="3198">
      <c r="A3198" s="90" t="n">
        <v>42</v>
      </c>
      <c r="B3198" s="91">
        <f>EDATE($B3197,1)</f>
        <v/>
      </c>
      <c r="C3198" s="92">
        <f>EOMONTH($B3198,0)</f>
        <v/>
      </c>
      <c r="D3198" s="87">
        <f>$C3198-$B3198+1</f>
        <v/>
      </c>
      <c r="E3198" s="87">
        <f>MONTH($B3198)</f>
        <v/>
      </c>
      <c r="F3198" s="93">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$N3198*IF($O$3154=1,$O3198/$F$3154,1)</f>
        <v/>
      </c>
      <c r="T3198" s="95">
        <f>IF($G3198&lt;nr_MStartP,$S3198,$T3186*(1+IF($G3198&lt;nr_MStartP1,$M$3154,$N$3154)))</f>
        <v/>
      </c>
      <c r="U3198" s="95">
        <f>IF($L$3154,$T3198,$N3198)</f>
        <v/>
      </c>
    </row>
    <row r="3199">
      <c r="A3199" s="90" t="n">
        <v>43</v>
      </c>
      <c r="B3199" s="91">
        <f>EDATE($B3198,1)</f>
        <v/>
      </c>
      <c r="C3199" s="92">
        <f>EOMONTH($B3199,0)</f>
        <v/>
      </c>
      <c r="D3199" s="87">
        <f>$C3199-$B3199+1</f>
        <v/>
      </c>
      <c r="E3199" s="87">
        <f>MONTH($B3199)</f>
        <v/>
      </c>
      <c r="F3199" s="93">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$N3199*IF($O$3154=1,$O3199/$F$3154,1)</f>
        <v/>
      </c>
      <c r="T3199" s="95">
        <f>IF($G3199&lt;nr_MStartP,$S3199,$T3187*(1+IF($G3199&lt;nr_MStartP1,$M$3154,$N$3154)))</f>
        <v/>
      </c>
      <c r="U3199" s="95">
        <f>IF($L$3154,$T3199,$N3199)</f>
        <v/>
      </c>
    </row>
    <row r="3200">
      <c r="A3200" s="90" t="n">
        <v>44</v>
      </c>
      <c r="B3200" s="91">
        <f>EDATE($B3199,1)</f>
        <v/>
      </c>
      <c r="C3200" s="92">
        <f>EOMONTH($B3200,0)</f>
        <v/>
      </c>
      <c r="D3200" s="87">
        <f>$C3200-$B3200+1</f>
        <v/>
      </c>
      <c r="E3200" s="87">
        <f>MONTH($B3200)</f>
        <v/>
      </c>
      <c r="F3200" s="93">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$N3200*IF($O$3154=1,$O3200/$F$3154,1)</f>
        <v/>
      </c>
      <c r="T3200" s="95">
        <f>IF($G3200&lt;nr_MStartP,$S3200,$T3188*(1+IF($G3200&lt;nr_MStartP1,$M$3154,$N$3154)))</f>
        <v/>
      </c>
      <c r="U3200" s="95">
        <f>IF($L$3154,$T3200,$N3200)</f>
        <v/>
      </c>
    </row>
    <row r="3201">
      <c r="A3201" s="90" t="n">
        <v>45</v>
      </c>
      <c r="B3201" s="91">
        <f>EDATE($B3200,1)</f>
        <v/>
      </c>
      <c r="C3201" s="92">
        <f>EOMONTH($B3201,0)</f>
        <v/>
      </c>
      <c r="D3201" s="87">
        <f>$C3201-$B3201+1</f>
        <v/>
      </c>
      <c r="E3201" s="87">
        <f>MONTH($B3201)</f>
        <v/>
      </c>
      <c r="F3201" s="93">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$N3201*IF($O$3154=1,$O3201/$F$3154,1)</f>
        <v/>
      </c>
      <c r="T3201" s="95">
        <f>IF($G3201&lt;nr_MStartP,$S3201,$T3189*(1+IF($G3201&lt;nr_MStartP1,$M$3154,$N$3154)))</f>
        <v/>
      </c>
      <c r="U3201" s="95">
        <f>IF($L$3154,$T3201,$N3201)</f>
        <v/>
      </c>
    </row>
    <row r="3202">
      <c r="A3202" s="90" t="n">
        <v>46</v>
      </c>
      <c r="B3202" s="91">
        <f>EDATE($B3201,1)</f>
        <v/>
      </c>
      <c r="C3202" s="92">
        <f>EOMONTH($B3202,0)</f>
        <v/>
      </c>
      <c r="D3202" s="87">
        <f>$C3202-$B3202+1</f>
        <v/>
      </c>
      <c r="E3202" s="87">
        <f>MONTH($B3202)</f>
        <v/>
      </c>
      <c r="F3202" s="93">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$N3202*IF($O$3154=1,$O3202/$F$3154,1)</f>
        <v/>
      </c>
      <c r="T3202" s="95">
        <f>IF($G3202&lt;nr_MStartP,$S3202,$T3190*(1+IF($G3202&lt;nr_MStartP1,$M$3154,$N$3154)))</f>
        <v/>
      </c>
      <c r="U3202" s="95">
        <f>IF($L$3154,$T3202,$N3202)</f>
        <v/>
      </c>
    </row>
    <row r="3203">
      <c r="A3203" s="90" t="n">
        <v>47</v>
      </c>
      <c r="B3203" s="91">
        <f>EDATE($B3202,1)</f>
        <v/>
      </c>
      <c r="C3203" s="92">
        <f>EOMONTH($B3203,0)</f>
        <v/>
      </c>
      <c r="D3203" s="87">
        <f>$C3203-$B3203+1</f>
        <v/>
      </c>
      <c r="E3203" s="87">
        <f>MONTH($B3203)</f>
        <v/>
      </c>
      <c r="F3203" s="93">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$N3203*IF($O$3154=1,$O3203/$F$3154,1)</f>
        <v/>
      </c>
      <c r="T3203" s="95">
        <f>IF($G3203&lt;nr_MStartP,$S3203,$T3191*(1+IF($G3203&lt;nr_MStartP1,$M$3154,$N$3154)))</f>
        <v/>
      </c>
      <c r="U3203" s="95">
        <f>IF($L$3154,$T3203,$N3203)</f>
        <v/>
      </c>
    </row>
    <row r="3204">
      <c r="A3204" s="90" t="n">
        <v>48</v>
      </c>
      <c r="B3204" s="91">
        <f>EDATE($B3203,1)</f>
        <v/>
      </c>
      <c r="C3204" s="92">
        <f>EOMONTH($B3204,0)</f>
        <v/>
      </c>
      <c r="D3204" s="87">
        <f>$C3204-$B3204+1</f>
        <v/>
      </c>
      <c r="E3204" s="87">
        <f>MONTH($B3204)</f>
        <v/>
      </c>
      <c r="F3204" s="93">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$N3204*IF($O$3154=1,$O3204/$F$3154,1)</f>
        <v/>
      </c>
      <c r="T3204" s="95">
        <f>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04">
        <f>SUMPRODUCT($H$3157:$H$3204,$Q$3157:$Q$3204,$O$3157:$O$3204)/SUMPRODUCT($H$3157:$H$3204,$Q$3157:$Q$3204)</f>
        <v/>
      </c>
      <c r="G3205" s="20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04">
        <f>IF(N(INDEX(lr_mind,59))=0,1,INDEX(lr_mind,59))</f>
        <v/>
      </c>
      <c r="G3208" s="204">
        <f>IF(N(INDEX(lr_m0,59))=0,1,INDEX(lr_m0,59))</f>
        <v/>
      </c>
      <c r="H3208" s="73">
        <f>IF(N(INDEX(lr_m0asof,59))=0,DATE(nr_PlanYear-1,10,1),INDEX(lr_m0asof,59))</f>
        <v/>
      </c>
      <c r="I3208" s="204">
        <f>IF(N(INDEX(lr_m1,59))=0,1,INDEX(lr_m1,59))</f>
        <v/>
      </c>
      <c r="J3208" s="204">
        <f>INDEX(lr_mprior,59)</f>
        <v/>
      </c>
      <c r="K3208" s="20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93">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$N3211*IF($O$3208=1,$O3211/$F$3208,1)</f>
        <v/>
      </c>
      <c r="T3211" s="95">
        <f>IF($G3211&lt;nr_MStartP,$S3211,$T3199*(1+IF($G3211&lt;nr_MStartP1,$M$3208,$N$3208)))</f>
        <v/>
      </c>
      <c r="U3211" s="95">
        <f>IF($L$3208,$T3211,$N3211)</f>
        <v/>
      </c>
    </row>
    <row r="3212">
      <c r="A3212" s="90" t="n">
        <v>2</v>
      </c>
      <c r="B3212" s="91">
        <f>EDATE($B3211,1)</f>
        <v/>
      </c>
      <c r="C3212" s="92">
        <f>EOMONTH($B3212,0)</f>
        <v/>
      </c>
      <c r="D3212" s="87">
        <f>$C3212-$B3212+1</f>
        <v/>
      </c>
      <c r="E3212" s="87">
        <f>MONTH($B3212)</f>
        <v/>
      </c>
      <c r="F3212" s="93">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$N3212*IF($O$3208=1,$O3212/$F$3208,1)</f>
        <v/>
      </c>
      <c r="T3212" s="95">
        <f>IF($G3212&lt;nr_MStartP,$S3212,$T3200*(1+IF($G3212&lt;nr_MStartP1,$M$3208,$N$3208)))</f>
        <v/>
      </c>
      <c r="U3212" s="95">
        <f>IF($L$3208,$T3212,$N3212)</f>
        <v/>
      </c>
    </row>
    <row r="3213">
      <c r="A3213" s="90" t="n">
        <v>3</v>
      </c>
      <c r="B3213" s="91">
        <f>EDATE($B3212,1)</f>
        <v/>
      </c>
      <c r="C3213" s="92">
        <f>EOMONTH($B3213,0)</f>
        <v/>
      </c>
      <c r="D3213" s="87">
        <f>$C3213-$B3213+1</f>
        <v/>
      </c>
      <c r="E3213" s="87">
        <f>MONTH($B3213)</f>
        <v/>
      </c>
      <c r="F3213" s="93">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$N3213*IF($O$3208=1,$O3213/$F$3208,1)</f>
        <v/>
      </c>
      <c r="T3213" s="95">
        <f>IF($G3213&lt;nr_MStartP,$S3213,$T3201*(1+IF($G3213&lt;nr_MStartP1,$M$3208,$N$3208)))</f>
        <v/>
      </c>
      <c r="U3213" s="95">
        <f>IF($L$3208,$T3213,$N3213)</f>
        <v/>
      </c>
    </row>
    <row r="3214">
      <c r="A3214" s="90" t="n">
        <v>4</v>
      </c>
      <c r="B3214" s="91">
        <f>EDATE($B3213,1)</f>
        <v/>
      </c>
      <c r="C3214" s="92">
        <f>EOMONTH($B3214,0)</f>
        <v/>
      </c>
      <c r="D3214" s="87">
        <f>$C3214-$B3214+1</f>
        <v/>
      </c>
      <c r="E3214" s="87">
        <f>MONTH($B3214)</f>
        <v/>
      </c>
      <c r="F3214" s="93">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$N3214*IF($O$3208=1,$O3214/$F$3208,1)</f>
        <v/>
      </c>
      <c r="T3214" s="95">
        <f>IF($G3214&lt;nr_MStartP,$S3214,$T3202*(1+IF($G3214&lt;nr_MStartP1,$M$3208,$N$3208)))</f>
        <v/>
      </c>
      <c r="U3214" s="95">
        <f>IF($L$3208,$T3214,$N3214)</f>
        <v/>
      </c>
    </row>
    <row r="3215">
      <c r="A3215" s="90" t="n">
        <v>5</v>
      </c>
      <c r="B3215" s="91">
        <f>EDATE($B3214,1)</f>
        <v/>
      </c>
      <c r="C3215" s="92">
        <f>EOMONTH($B3215,0)</f>
        <v/>
      </c>
      <c r="D3215" s="87">
        <f>$C3215-$B3215+1</f>
        <v/>
      </c>
      <c r="E3215" s="87">
        <f>MONTH($B3215)</f>
        <v/>
      </c>
      <c r="F3215" s="93">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$N3215*IF($O$3208=1,$O3215/$F$3208,1)</f>
        <v/>
      </c>
      <c r="T3215" s="95">
        <f>IF($G3215&lt;nr_MStartP,$S3215,$T3203*(1+IF($G3215&lt;nr_MStartP1,$M$3208,$N$3208)))</f>
        <v/>
      </c>
      <c r="U3215" s="95">
        <f>IF($L$3208,$T3215,$N3215)</f>
        <v/>
      </c>
    </row>
    <row r="3216">
      <c r="A3216" s="90" t="n">
        <v>6</v>
      </c>
      <c r="B3216" s="91">
        <f>EDATE($B3215,1)</f>
        <v/>
      </c>
      <c r="C3216" s="92">
        <f>EOMONTH($B3216,0)</f>
        <v/>
      </c>
      <c r="D3216" s="87">
        <f>$C3216-$B3216+1</f>
        <v/>
      </c>
      <c r="E3216" s="87">
        <f>MONTH($B3216)</f>
        <v/>
      </c>
      <c r="F3216" s="93">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$N3216*IF($O$3208=1,$O3216/$F$3208,1)</f>
        <v/>
      </c>
      <c r="T3216" s="95">
        <f>IF($G3216&lt;nr_MStartP,$S3216,$T3204*(1+IF($G3216&lt;nr_MStartP1,$M$3208,$N$3208)))</f>
        <v/>
      </c>
      <c r="U3216" s="95">
        <f>IF($L$3208,$T3216,$N3216)</f>
        <v/>
      </c>
    </row>
    <row r="3217">
      <c r="A3217" s="90" t="n">
        <v>7</v>
      </c>
      <c r="B3217" s="91">
        <f>EDATE($B3216,1)</f>
        <v/>
      </c>
      <c r="C3217" s="92">
        <f>EOMONTH($B3217,0)</f>
        <v/>
      </c>
      <c r="D3217" s="87">
        <f>$C3217-$B3217+1</f>
        <v/>
      </c>
      <c r="E3217" s="87">
        <f>MONTH($B3217)</f>
        <v/>
      </c>
      <c r="F3217" s="93">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$N3217*IF($O$3208=1,$O3217/$F$3208,1)</f>
        <v/>
      </c>
      <c r="T3217" s="95">
        <f>IF($G3217&lt;nr_MStartP,$S3217,$T3205*(1+IF($G3217&lt;nr_MStartP1,$M$3208,$N$3208)))</f>
        <v/>
      </c>
      <c r="U3217" s="95">
        <f>IF($L$3208,$T3217,$N3217)</f>
        <v/>
      </c>
    </row>
    <row r="3218">
      <c r="A3218" s="90" t="n">
        <v>8</v>
      </c>
      <c r="B3218" s="91">
        <f>EDATE($B3217,1)</f>
        <v/>
      </c>
      <c r="C3218" s="92">
        <f>EOMONTH($B3218,0)</f>
        <v/>
      </c>
      <c r="D3218" s="87">
        <f>$C3218-$B3218+1</f>
        <v/>
      </c>
      <c r="E3218" s="87">
        <f>MONTH($B3218)</f>
        <v/>
      </c>
      <c r="F3218" s="93">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$N3218*IF($O$3208=1,$O3218/$F$3208,1)</f>
        <v/>
      </c>
      <c r="T3218" s="95">
        <f>IF($G3218&lt;nr_MStartP,$S3218,$T3206*(1+IF($G3218&lt;nr_MStartP1,$M$3208,$N$3208)))</f>
        <v/>
      </c>
      <c r="U3218" s="95">
        <f>IF($L$3208,$T3218,$N3218)</f>
        <v/>
      </c>
    </row>
    <row r="3219">
      <c r="A3219" s="90" t="n">
        <v>9</v>
      </c>
      <c r="B3219" s="91">
        <f>EDATE($B3218,1)</f>
        <v/>
      </c>
      <c r="C3219" s="92">
        <f>EOMONTH($B3219,0)</f>
        <v/>
      </c>
      <c r="D3219" s="87">
        <f>$C3219-$B3219+1</f>
        <v/>
      </c>
      <c r="E3219" s="87">
        <f>MONTH($B3219)</f>
        <v/>
      </c>
      <c r="F3219" s="93">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$N3219*IF($O$3208=1,$O3219/$F$3208,1)</f>
        <v/>
      </c>
      <c r="T3219" s="95">
        <f>IF($G3219&lt;nr_MStartP,$S3219,$T3207*(1+IF($G3219&lt;nr_MStartP1,$M$3208,$N$3208)))</f>
        <v/>
      </c>
      <c r="U3219" s="95">
        <f>IF($L$3208,$T3219,$N3219)</f>
        <v/>
      </c>
    </row>
    <row r="3220">
      <c r="A3220" s="90" t="n">
        <v>10</v>
      </c>
      <c r="B3220" s="91">
        <f>EDATE($B3219,1)</f>
        <v/>
      </c>
      <c r="C3220" s="92">
        <f>EOMONTH($B3220,0)</f>
        <v/>
      </c>
      <c r="D3220" s="87">
        <f>$C3220-$B3220+1</f>
        <v/>
      </c>
      <c r="E3220" s="87">
        <f>MONTH($B3220)</f>
        <v/>
      </c>
      <c r="F3220" s="93">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$N3220*IF($O$3208=1,$O3220/$F$3208,1)</f>
        <v/>
      </c>
      <c r="T3220" s="95">
        <f>IF($G3220&lt;nr_MStartP,$S3220,$T3208*(1+IF($G3220&lt;nr_MStartP1,$M$3208,$N$3208)))</f>
        <v/>
      </c>
      <c r="U3220" s="95">
        <f>IF($L$3208,$T3220,$N3220)</f>
        <v/>
      </c>
    </row>
    <row r="3221">
      <c r="A3221" s="90" t="n">
        <v>11</v>
      </c>
      <c r="B3221" s="91">
        <f>EDATE($B3220,1)</f>
        <v/>
      </c>
      <c r="C3221" s="92">
        <f>EOMONTH($B3221,0)</f>
        <v/>
      </c>
      <c r="D3221" s="87">
        <f>$C3221-$B3221+1</f>
        <v/>
      </c>
      <c r="E3221" s="87">
        <f>MONTH($B3221)</f>
        <v/>
      </c>
      <c r="F3221" s="93">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$N3221*IF($O$3208=1,$O3221/$F$3208,1)</f>
        <v/>
      </c>
      <c r="T3221" s="95">
        <f>IF($G3221&lt;nr_MStartP,$S3221,$T3209*(1+IF($G3221&lt;nr_MStartP1,$M$3208,$N$3208)))</f>
        <v/>
      </c>
      <c r="U3221" s="95">
        <f>IF($L$3208,$T3221,$N3221)</f>
        <v/>
      </c>
    </row>
    <row r="3222">
      <c r="A3222" s="90" t="n">
        <v>12</v>
      </c>
      <c r="B3222" s="91">
        <f>EDATE($B3221,1)</f>
        <v/>
      </c>
      <c r="C3222" s="92">
        <f>EOMONTH($B3222,0)</f>
        <v/>
      </c>
      <c r="D3222" s="87">
        <f>$C3222-$B3222+1</f>
        <v/>
      </c>
      <c r="E3222" s="87">
        <f>MONTH($B3222)</f>
        <v/>
      </c>
      <c r="F3222" s="93">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$N3222*IF($O$3208=1,$O3222/$F$3208,1)</f>
        <v/>
      </c>
      <c r="T3222" s="95">
        <f>IF($G3222&lt;nr_MStartP,$S3222,$T3210*(1+IF($G3222&lt;nr_MStartP1,$M$3208,$N$3208)))</f>
        <v/>
      </c>
      <c r="U3222" s="95">
        <f>IF($L$3208,$T3222,$N3222)</f>
        <v/>
      </c>
    </row>
    <row r="3223">
      <c r="A3223" s="90" t="n">
        <v>13</v>
      </c>
      <c r="B3223" s="91">
        <f>EDATE($B3222,1)</f>
        <v/>
      </c>
      <c r="C3223" s="92">
        <f>EOMONTH($B3223,0)</f>
        <v/>
      </c>
      <c r="D3223" s="87">
        <f>$C3223-$B3223+1</f>
        <v/>
      </c>
      <c r="E3223" s="87">
        <f>MONTH($B3223)</f>
        <v/>
      </c>
      <c r="F3223" s="93">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$N3223*IF($O$3208=1,$O3223/$F$3208,1)</f>
        <v/>
      </c>
      <c r="T3223" s="95">
        <f>IF($G3223&lt;nr_MStartP,$S3223,$T3211*(1+IF($G3223&lt;nr_MStartP1,$M$3208,$N$3208)))</f>
        <v/>
      </c>
      <c r="U3223" s="95">
        <f>IF($L$3208,$T3223,$N3223)</f>
        <v/>
      </c>
    </row>
    <row r="3224">
      <c r="A3224" s="90" t="n">
        <v>14</v>
      </c>
      <c r="B3224" s="91">
        <f>EDATE($B3223,1)</f>
        <v/>
      </c>
      <c r="C3224" s="92">
        <f>EOMONTH($B3224,0)</f>
        <v/>
      </c>
      <c r="D3224" s="87">
        <f>$C3224-$B3224+1</f>
        <v/>
      </c>
      <c r="E3224" s="87">
        <f>MONTH($B3224)</f>
        <v/>
      </c>
      <c r="F3224" s="93">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$N3224*IF($O$3208=1,$O3224/$F$3208,1)</f>
        <v/>
      </c>
      <c r="T3224" s="95">
        <f>IF($G3224&lt;nr_MStartP,$S3224,$T3212*(1+IF($G3224&lt;nr_MStartP1,$M$3208,$N$3208)))</f>
        <v/>
      </c>
      <c r="U3224" s="95">
        <f>IF($L$3208,$T3224,$N3224)</f>
        <v/>
      </c>
    </row>
    <row r="3225">
      <c r="A3225" s="90" t="n">
        <v>15</v>
      </c>
      <c r="B3225" s="91">
        <f>EDATE($B3224,1)</f>
        <v/>
      </c>
      <c r="C3225" s="92">
        <f>EOMONTH($B3225,0)</f>
        <v/>
      </c>
      <c r="D3225" s="87">
        <f>$C3225-$B3225+1</f>
        <v/>
      </c>
      <c r="E3225" s="87">
        <f>MONTH($B3225)</f>
        <v/>
      </c>
      <c r="F3225" s="93">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$N3225*IF($O$3208=1,$O3225/$F$3208,1)</f>
        <v/>
      </c>
      <c r="T3225" s="95">
        <f>IF($G3225&lt;nr_MStartP,$S3225,$T3213*(1+IF($G3225&lt;nr_MStartP1,$M$3208,$N$3208)))</f>
        <v/>
      </c>
      <c r="U3225" s="95">
        <f>IF($L$3208,$T3225,$N3225)</f>
        <v/>
      </c>
    </row>
    <row r="3226">
      <c r="A3226" s="90" t="n">
        <v>16</v>
      </c>
      <c r="B3226" s="91">
        <f>EDATE($B3225,1)</f>
        <v/>
      </c>
      <c r="C3226" s="92">
        <f>EOMONTH($B3226,0)</f>
        <v/>
      </c>
      <c r="D3226" s="87">
        <f>$C3226-$B3226+1</f>
        <v/>
      </c>
      <c r="E3226" s="87">
        <f>MONTH($B3226)</f>
        <v/>
      </c>
      <c r="F3226" s="93">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$N3226*IF($O$3208=1,$O3226/$F$3208,1)</f>
        <v/>
      </c>
      <c r="T3226" s="95">
        <f>IF($G3226&lt;nr_MStartP,$S3226,$T3214*(1+IF($G3226&lt;nr_MStartP1,$M$3208,$N$3208)))</f>
        <v/>
      </c>
      <c r="U3226" s="95">
        <f>IF($L$3208,$T3226,$N3226)</f>
        <v/>
      </c>
    </row>
    <row r="3227">
      <c r="A3227" s="90" t="n">
        <v>17</v>
      </c>
      <c r="B3227" s="91">
        <f>EDATE($B3226,1)</f>
        <v/>
      </c>
      <c r="C3227" s="92">
        <f>EOMONTH($B3227,0)</f>
        <v/>
      </c>
      <c r="D3227" s="87">
        <f>$C3227-$B3227+1</f>
        <v/>
      </c>
      <c r="E3227" s="87">
        <f>MONTH($B3227)</f>
        <v/>
      </c>
      <c r="F3227" s="93">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$N3227*IF($O$3208=1,$O3227/$F$3208,1)</f>
        <v/>
      </c>
      <c r="T3227" s="95">
        <f>IF($G3227&lt;nr_MStartP,$S3227,$T3215*(1+IF($G3227&lt;nr_MStartP1,$M$3208,$N$3208)))</f>
        <v/>
      </c>
      <c r="U3227" s="95">
        <f>IF($L$3208,$T3227,$N3227)</f>
        <v/>
      </c>
    </row>
    <row r="3228">
      <c r="A3228" s="90" t="n">
        <v>18</v>
      </c>
      <c r="B3228" s="91">
        <f>EDATE($B3227,1)</f>
        <v/>
      </c>
      <c r="C3228" s="92">
        <f>EOMONTH($B3228,0)</f>
        <v/>
      </c>
      <c r="D3228" s="87">
        <f>$C3228-$B3228+1</f>
        <v/>
      </c>
      <c r="E3228" s="87">
        <f>MONTH($B3228)</f>
        <v/>
      </c>
      <c r="F3228" s="93">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$N3228*IF($O$3208=1,$O3228/$F$3208,1)</f>
        <v/>
      </c>
      <c r="T3228" s="95">
        <f>IF($G3228&lt;nr_MStartP,$S3228,$T3216*(1+IF($G3228&lt;nr_MStartP1,$M$3208,$N$3208)))</f>
        <v/>
      </c>
      <c r="U3228" s="95">
        <f>IF($L$3208,$T3228,$N3228)</f>
        <v/>
      </c>
    </row>
    <row r="3229">
      <c r="A3229" s="90" t="n">
        <v>19</v>
      </c>
      <c r="B3229" s="91">
        <f>EDATE($B3228,1)</f>
        <v/>
      </c>
      <c r="C3229" s="92">
        <f>EOMONTH($B3229,0)</f>
        <v/>
      </c>
      <c r="D3229" s="87">
        <f>$C3229-$B3229+1</f>
        <v/>
      </c>
      <c r="E3229" s="87">
        <f>MONTH($B3229)</f>
        <v/>
      </c>
      <c r="F3229" s="93">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$N3229*IF($O$3208=1,$O3229/$F$3208,1)</f>
        <v/>
      </c>
      <c r="T3229" s="95">
        <f>IF($G3229&lt;nr_MStartP,$S3229,$T3217*(1+IF($G3229&lt;nr_MStartP1,$M$3208,$N$3208)))</f>
        <v/>
      </c>
      <c r="U3229" s="95">
        <f>IF($L$3208,$T3229,$N3229)</f>
        <v/>
      </c>
    </row>
    <row r="3230">
      <c r="A3230" s="90" t="n">
        <v>20</v>
      </c>
      <c r="B3230" s="91">
        <f>EDATE($B3229,1)</f>
        <v/>
      </c>
      <c r="C3230" s="92">
        <f>EOMONTH($B3230,0)</f>
        <v/>
      </c>
      <c r="D3230" s="87">
        <f>$C3230-$B3230+1</f>
        <v/>
      </c>
      <c r="E3230" s="87">
        <f>MONTH($B3230)</f>
        <v/>
      </c>
      <c r="F3230" s="93">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$N3230*IF($O$3208=1,$O3230/$F$3208,1)</f>
        <v/>
      </c>
      <c r="T3230" s="95">
        <f>IF($G3230&lt;nr_MStartP,$S3230,$T3218*(1+IF($G3230&lt;nr_MStartP1,$M$3208,$N$3208)))</f>
        <v/>
      </c>
      <c r="U3230" s="95">
        <f>IF($L$3208,$T3230,$N3230)</f>
        <v/>
      </c>
    </row>
    <row r="3231">
      <c r="A3231" s="90" t="n">
        <v>21</v>
      </c>
      <c r="B3231" s="91">
        <f>EDATE($B3230,1)</f>
        <v/>
      </c>
      <c r="C3231" s="92">
        <f>EOMONTH($B3231,0)</f>
        <v/>
      </c>
      <c r="D3231" s="87">
        <f>$C3231-$B3231+1</f>
        <v/>
      </c>
      <c r="E3231" s="87">
        <f>MONTH($B3231)</f>
        <v/>
      </c>
      <c r="F3231" s="93">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$N3231*IF($O$3208=1,$O3231/$F$3208,1)</f>
        <v/>
      </c>
      <c r="T3231" s="95">
        <f>IF($G3231&lt;nr_MStartP,$S3231,$T3219*(1+IF($G3231&lt;nr_MStartP1,$M$3208,$N$3208)))</f>
        <v/>
      </c>
      <c r="U3231" s="95">
        <f>IF($L$3208,$T3231,$N3231)</f>
        <v/>
      </c>
    </row>
    <row r="3232">
      <c r="A3232" s="90" t="n">
        <v>22</v>
      </c>
      <c r="B3232" s="91">
        <f>EDATE($B3231,1)</f>
        <v/>
      </c>
      <c r="C3232" s="92">
        <f>EOMONTH($B3232,0)</f>
        <v/>
      </c>
      <c r="D3232" s="87">
        <f>$C3232-$B3232+1</f>
        <v/>
      </c>
      <c r="E3232" s="87">
        <f>MONTH($B3232)</f>
        <v/>
      </c>
      <c r="F3232" s="93">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$N3232*IF($O$3208=1,$O3232/$F$3208,1)</f>
        <v/>
      </c>
      <c r="T3232" s="95">
        <f>IF($G3232&lt;nr_MStartP,$S3232,$T3220*(1+IF($G3232&lt;nr_MStartP1,$M$3208,$N$3208)))</f>
        <v/>
      </c>
      <c r="U3232" s="95">
        <f>IF($L$3208,$T3232,$N3232)</f>
        <v/>
      </c>
    </row>
    <row r="3233">
      <c r="A3233" s="90" t="n">
        <v>23</v>
      </c>
      <c r="B3233" s="91">
        <f>EDATE($B3232,1)</f>
        <v/>
      </c>
      <c r="C3233" s="92">
        <f>EOMONTH($B3233,0)</f>
        <v/>
      </c>
      <c r="D3233" s="87">
        <f>$C3233-$B3233+1</f>
        <v/>
      </c>
      <c r="E3233" s="87">
        <f>MONTH($B3233)</f>
        <v/>
      </c>
      <c r="F3233" s="93">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$N3233*IF($O$3208=1,$O3233/$F$3208,1)</f>
        <v/>
      </c>
      <c r="T3233" s="95">
        <f>IF($G3233&lt;nr_MStartP,$S3233,$T3221*(1+IF($G3233&lt;nr_MStartP1,$M$3208,$N$3208)))</f>
        <v/>
      </c>
      <c r="U3233" s="95">
        <f>IF($L$3208,$T3233,$N3233)</f>
        <v/>
      </c>
    </row>
    <row r="3234">
      <c r="A3234" s="90" t="n">
        <v>24</v>
      </c>
      <c r="B3234" s="91">
        <f>EDATE($B3233,1)</f>
        <v/>
      </c>
      <c r="C3234" s="92">
        <f>EOMONTH($B3234,0)</f>
        <v/>
      </c>
      <c r="D3234" s="87">
        <f>$C3234-$B3234+1</f>
        <v/>
      </c>
      <c r="E3234" s="87">
        <f>MONTH($B3234)</f>
        <v/>
      </c>
      <c r="F3234" s="93">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$N3234*IF($O$3208=1,$O3234/$F$3208,1)</f>
        <v/>
      </c>
      <c r="T3234" s="95">
        <f>IF($G3234&lt;nr_MStartP,$S3234,$T3222*(1+IF($G3234&lt;nr_MStartP1,$M$3208,$N$3208)))</f>
        <v/>
      </c>
      <c r="U3234" s="95">
        <f>IF($L$3208,$T3234,$N3234)</f>
        <v/>
      </c>
    </row>
    <row r="3235">
      <c r="A3235" s="90" t="n">
        <v>25</v>
      </c>
      <c r="B3235" s="91">
        <f>EDATE($B3234,1)</f>
        <v/>
      </c>
      <c r="C3235" s="92">
        <f>EOMONTH($B3235,0)</f>
        <v/>
      </c>
      <c r="D3235" s="87">
        <f>$C3235-$B3235+1</f>
        <v/>
      </c>
      <c r="E3235" s="87">
        <f>MONTH($B3235)</f>
        <v/>
      </c>
      <c r="F3235" s="93">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$N3235*IF($O$3208=1,$O3235/$F$3208,1)</f>
        <v/>
      </c>
      <c r="T3235" s="95">
        <f>IF($G3235&lt;nr_MStartP,$S3235,$T3223*(1+IF($G3235&lt;nr_MStartP1,$M$3208,$N$3208)))</f>
        <v/>
      </c>
      <c r="U3235" s="95">
        <f>IF($L$3208,$T3235,$N3235)</f>
        <v/>
      </c>
    </row>
    <row r="3236">
      <c r="A3236" s="90" t="n">
        <v>26</v>
      </c>
      <c r="B3236" s="91">
        <f>EDATE($B3235,1)</f>
        <v/>
      </c>
      <c r="C3236" s="92">
        <f>EOMONTH($B3236,0)</f>
        <v/>
      </c>
      <c r="D3236" s="87">
        <f>$C3236-$B3236+1</f>
        <v/>
      </c>
      <c r="E3236" s="87">
        <f>MONTH($B3236)</f>
        <v/>
      </c>
      <c r="F3236" s="93">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$N3236*IF($O$3208=1,$O3236/$F$3208,1)</f>
        <v/>
      </c>
      <c r="T3236" s="95">
        <f>IF($G3236&lt;nr_MStartP,$S3236,$T3224*(1+IF($G3236&lt;nr_MStartP1,$M$3208,$N$3208)))</f>
        <v/>
      </c>
      <c r="U3236" s="95">
        <f>IF($L$3208,$T3236,$N3236)</f>
        <v/>
      </c>
    </row>
    <row r="3237">
      <c r="A3237" s="90" t="n">
        <v>27</v>
      </c>
      <c r="B3237" s="91">
        <f>EDATE($B3236,1)</f>
        <v/>
      </c>
      <c r="C3237" s="92">
        <f>EOMONTH($B3237,0)</f>
        <v/>
      </c>
      <c r="D3237" s="87">
        <f>$C3237-$B3237+1</f>
        <v/>
      </c>
      <c r="E3237" s="87">
        <f>MONTH($B3237)</f>
        <v/>
      </c>
      <c r="F3237" s="93">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$N3237*IF($O$3208=1,$O3237/$F$3208,1)</f>
        <v/>
      </c>
      <c r="T3237" s="95">
        <f>IF($G3237&lt;nr_MStartP,$S3237,$T3225*(1+IF($G3237&lt;nr_MStartP1,$M$3208,$N$3208)))</f>
        <v/>
      </c>
      <c r="U3237" s="95">
        <f>IF($L$3208,$T3237,$N3237)</f>
        <v/>
      </c>
    </row>
    <row r="3238">
      <c r="A3238" s="90" t="n">
        <v>28</v>
      </c>
      <c r="B3238" s="91">
        <f>EDATE($B3237,1)</f>
        <v/>
      </c>
      <c r="C3238" s="92">
        <f>EOMONTH($B3238,0)</f>
        <v/>
      </c>
      <c r="D3238" s="87">
        <f>$C3238-$B3238+1</f>
        <v/>
      </c>
      <c r="E3238" s="87">
        <f>MONTH($B3238)</f>
        <v/>
      </c>
      <c r="F3238" s="93">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$N3238*IF($O$3208=1,$O3238/$F$3208,1)</f>
        <v/>
      </c>
      <c r="T3238" s="95">
        <f>IF($G3238&lt;nr_MStartP,$S3238,$T3226*(1+IF($G3238&lt;nr_MStartP1,$M$3208,$N$3208)))</f>
        <v/>
      </c>
      <c r="U3238" s="95">
        <f>IF($L$3208,$T3238,$N3238)</f>
        <v/>
      </c>
    </row>
    <row r="3239">
      <c r="A3239" s="90" t="n">
        <v>29</v>
      </c>
      <c r="B3239" s="91">
        <f>EDATE($B3238,1)</f>
        <v/>
      </c>
      <c r="C3239" s="92">
        <f>EOMONTH($B3239,0)</f>
        <v/>
      </c>
      <c r="D3239" s="87">
        <f>$C3239-$B3239+1</f>
        <v/>
      </c>
      <c r="E3239" s="87">
        <f>MONTH($B3239)</f>
        <v/>
      </c>
      <c r="F3239" s="93">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$N3239*IF($O$3208=1,$O3239/$F$3208,1)</f>
        <v/>
      </c>
      <c r="T3239" s="95">
        <f>IF($G3239&lt;nr_MStartP,$S3239,$T3227*(1+IF($G3239&lt;nr_MStartP1,$M$3208,$N$3208)))</f>
        <v/>
      </c>
      <c r="U3239" s="95">
        <f>IF($L$3208,$T3239,$N3239)</f>
        <v/>
      </c>
    </row>
    <row r="3240">
      <c r="A3240" s="90" t="n">
        <v>30</v>
      </c>
      <c r="B3240" s="91">
        <f>EDATE($B3239,1)</f>
        <v/>
      </c>
      <c r="C3240" s="92">
        <f>EOMONTH($B3240,0)</f>
        <v/>
      </c>
      <c r="D3240" s="87">
        <f>$C3240-$B3240+1</f>
        <v/>
      </c>
      <c r="E3240" s="87">
        <f>MONTH($B3240)</f>
        <v/>
      </c>
      <c r="F3240" s="93">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$N3240*IF($O$3208=1,$O3240/$F$3208,1)</f>
        <v/>
      </c>
      <c r="T3240" s="95">
        <f>IF($G3240&lt;nr_MStartP,$S3240,$T3228*(1+IF($G3240&lt;nr_MStartP1,$M$3208,$N$3208)))</f>
        <v/>
      </c>
      <c r="U3240" s="95">
        <f>IF($L$3208,$T3240,$N3240)</f>
        <v/>
      </c>
    </row>
    <row r="3241">
      <c r="A3241" s="90" t="n">
        <v>31</v>
      </c>
      <c r="B3241" s="91">
        <f>EDATE($B3240,1)</f>
        <v/>
      </c>
      <c r="C3241" s="92">
        <f>EOMONTH($B3241,0)</f>
        <v/>
      </c>
      <c r="D3241" s="87">
        <f>$C3241-$B3241+1</f>
        <v/>
      </c>
      <c r="E3241" s="87">
        <f>MONTH($B3241)</f>
        <v/>
      </c>
      <c r="F3241" s="93">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$N3241*IF($O$3208=1,$O3241/$F$3208,1)</f>
        <v/>
      </c>
      <c r="T3241" s="95">
        <f>IF($G3241&lt;nr_MStartP,$S3241,$T3229*(1+IF($G3241&lt;nr_MStartP1,$M$3208,$N$3208)))</f>
        <v/>
      </c>
      <c r="U3241" s="95">
        <f>IF($L$3208,$T3241,$N3241)</f>
        <v/>
      </c>
    </row>
    <row r="3242">
      <c r="A3242" s="90" t="n">
        <v>32</v>
      </c>
      <c r="B3242" s="91">
        <f>EDATE($B3241,1)</f>
        <v/>
      </c>
      <c r="C3242" s="92">
        <f>EOMONTH($B3242,0)</f>
        <v/>
      </c>
      <c r="D3242" s="87">
        <f>$C3242-$B3242+1</f>
        <v/>
      </c>
      <c r="E3242" s="87">
        <f>MONTH($B3242)</f>
        <v/>
      </c>
      <c r="F3242" s="93">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$N3242*IF($O$3208=1,$O3242/$F$3208,1)</f>
        <v/>
      </c>
      <c r="T3242" s="95">
        <f>IF($G3242&lt;nr_MStartP,$S3242,$T3230*(1+IF($G3242&lt;nr_MStartP1,$M$3208,$N$3208)))</f>
        <v/>
      </c>
      <c r="U3242" s="95">
        <f>IF($L$3208,$T3242,$N3242)</f>
        <v/>
      </c>
    </row>
    <row r="3243">
      <c r="A3243" s="90" t="n">
        <v>33</v>
      </c>
      <c r="B3243" s="91">
        <f>EDATE($B3242,1)</f>
        <v/>
      </c>
      <c r="C3243" s="92">
        <f>EOMONTH($B3243,0)</f>
        <v/>
      </c>
      <c r="D3243" s="87">
        <f>$C3243-$B3243+1</f>
        <v/>
      </c>
      <c r="E3243" s="87">
        <f>MONTH($B3243)</f>
        <v/>
      </c>
      <c r="F3243" s="93">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$N3243*IF($O$3208=1,$O3243/$F$3208,1)</f>
        <v/>
      </c>
      <c r="T3243" s="95">
        <f>IF($G3243&lt;nr_MStartP,$S3243,$T3231*(1+IF($G3243&lt;nr_MStartP1,$M$3208,$N$3208)))</f>
        <v/>
      </c>
      <c r="U3243" s="95">
        <f>IF($L$3208,$T3243,$N3243)</f>
        <v/>
      </c>
    </row>
    <row r="3244">
      <c r="A3244" s="90" t="n">
        <v>34</v>
      </c>
      <c r="B3244" s="91">
        <f>EDATE($B3243,1)</f>
        <v/>
      </c>
      <c r="C3244" s="92">
        <f>EOMONTH($B3244,0)</f>
        <v/>
      </c>
      <c r="D3244" s="87">
        <f>$C3244-$B3244+1</f>
        <v/>
      </c>
      <c r="E3244" s="87">
        <f>MONTH($B3244)</f>
        <v/>
      </c>
      <c r="F3244" s="93">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$N3244*IF($O$3208=1,$O3244/$F$3208,1)</f>
        <v/>
      </c>
      <c r="T3244" s="95">
        <f>IF($G3244&lt;nr_MStartP,$S3244,$T3232*(1+IF($G3244&lt;nr_MStartP1,$M$3208,$N$3208)))</f>
        <v/>
      </c>
      <c r="U3244" s="95">
        <f>IF($L$3208,$T3244,$N3244)</f>
        <v/>
      </c>
    </row>
    <row r="3245">
      <c r="A3245" s="90" t="n">
        <v>35</v>
      </c>
      <c r="B3245" s="91">
        <f>EDATE($B3244,1)</f>
        <v/>
      </c>
      <c r="C3245" s="92">
        <f>EOMONTH($B3245,0)</f>
        <v/>
      </c>
      <c r="D3245" s="87">
        <f>$C3245-$B3245+1</f>
        <v/>
      </c>
      <c r="E3245" s="87">
        <f>MONTH($B3245)</f>
        <v/>
      </c>
      <c r="F3245" s="93">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$N3245*IF($O$3208=1,$O3245/$F$3208,1)</f>
        <v/>
      </c>
      <c r="T3245" s="95">
        <f>IF($G3245&lt;nr_MStartP,$S3245,$T3233*(1+IF($G3245&lt;nr_MStartP1,$M$3208,$N$3208)))</f>
        <v/>
      </c>
      <c r="U3245" s="95">
        <f>IF($L$3208,$T3245,$N3245)</f>
        <v/>
      </c>
    </row>
    <row r="3246">
      <c r="A3246" s="90" t="n">
        <v>36</v>
      </c>
      <c r="B3246" s="91">
        <f>EDATE($B3245,1)</f>
        <v/>
      </c>
      <c r="C3246" s="92">
        <f>EOMONTH($B3246,0)</f>
        <v/>
      </c>
      <c r="D3246" s="87">
        <f>$C3246-$B3246+1</f>
        <v/>
      </c>
      <c r="E3246" s="87">
        <f>MONTH($B3246)</f>
        <v/>
      </c>
      <c r="F3246" s="93">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$N3246*IF($O$3208=1,$O3246/$F$3208,1)</f>
        <v/>
      </c>
      <c r="T3246" s="95">
        <f>IF($G3246&lt;nr_MStartP,$S3246,$T3234*(1+IF($G3246&lt;nr_MStartP1,$M$3208,$N$3208)))</f>
        <v/>
      </c>
      <c r="U3246" s="95">
        <f>IF($L$3208,$T3246,$N3246)</f>
        <v/>
      </c>
    </row>
    <row r="3247">
      <c r="A3247" s="90" t="n">
        <v>37</v>
      </c>
      <c r="B3247" s="91">
        <f>EDATE($B3246,1)</f>
        <v/>
      </c>
      <c r="C3247" s="92">
        <f>EOMONTH($B3247,0)</f>
        <v/>
      </c>
      <c r="D3247" s="87">
        <f>$C3247-$B3247+1</f>
        <v/>
      </c>
      <c r="E3247" s="87">
        <f>MONTH($B3247)</f>
        <v/>
      </c>
      <c r="F3247" s="93">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$N3247*IF($O$3208=1,$O3247/$F$3208,1)</f>
        <v/>
      </c>
      <c r="T3247" s="95">
        <f>IF($G3247&lt;nr_MStartP,$S3247,$T3235*(1+IF($G3247&lt;nr_MStartP1,$M$3208,$N$3208)))</f>
        <v/>
      </c>
      <c r="U3247" s="95">
        <f>IF($L$3208,$T3247,$N3247)</f>
        <v/>
      </c>
    </row>
    <row r="3248">
      <c r="A3248" s="90" t="n">
        <v>38</v>
      </c>
      <c r="B3248" s="91">
        <f>EDATE($B3247,1)</f>
        <v/>
      </c>
      <c r="C3248" s="92">
        <f>EOMONTH($B3248,0)</f>
        <v/>
      </c>
      <c r="D3248" s="87">
        <f>$C3248-$B3248+1</f>
        <v/>
      </c>
      <c r="E3248" s="87">
        <f>MONTH($B3248)</f>
        <v/>
      </c>
      <c r="F3248" s="93">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$N3248*IF($O$3208=1,$O3248/$F$3208,1)</f>
        <v/>
      </c>
      <c r="T3248" s="95">
        <f>IF($G3248&lt;nr_MStartP,$S3248,$T3236*(1+IF($G3248&lt;nr_MStartP1,$M$3208,$N$3208)))</f>
        <v/>
      </c>
      <c r="U3248" s="95">
        <f>IF($L$3208,$T3248,$N3248)</f>
        <v/>
      </c>
    </row>
    <row r="3249">
      <c r="A3249" s="90" t="n">
        <v>39</v>
      </c>
      <c r="B3249" s="91">
        <f>EDATE($B3248,1)</f>
        <v/>
      </c>
      <c r="C3249" s="92">
        <f>EOMONTH($B3249,0)</f>
        <v/>
      </c>
      <c r="D3249" s="87">
        <f>$C3249-$B3249+1</f>
        <v/>
      </c>
      <c r="E3249" s="87">
        <f>MONTH($B3249)</f>
        <v/>
      </c>
      <c r="F3249" s="93">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$N3249*IF($O$3208=1,$O3249/$F$3208,1)</f>
        <v/>
      </c>
      <c r="T3249" s="95">
        <f>IF($G3249&lt;nr_MStartP,$S3249,$T3237*(1+IF($G3249&lt;nr_MStartP1,$M$3208,$N$3208)))</f>
        <v/>
      </c>
      <c r="U3249" s="95">
        <f>IF($L$3208,$T3249,$N3249)</f>
        <v/>
      </c>
    </row>
    <row r="3250">
      <c r="A3250" s="90" t="n">
        <v>40</v>
      </c>
      <c r="B3250" s="91">
        <f>EDATE($B3249,1)</f>
        <v/>
      </c>
      <c r="C3250" s="92">
        <f>EOMONTH($B3250,0)</f>
        <v/>
      </c>
      <c r="D3250" s="87">
        <f>$C3250-$B3250+1</f>
        <v/>
      </c>
      <c r="E3250" s="87">
        <f>MONTH($B3250)</f>
        <v/>
      </c>
      <c r="F3250" s="93">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$N3250*IF($O$3208=1,$O3250/$F$3208,1)</f>
        <v/>
      </c>
      <c r="T3250" s="95">
        <f>IF($G3250&lt;nr_MStartP,$S3250,$T3238*(1+IF($G3250&lt;nr_MStartP1,$M$3208,$N$3208)))</f>
        <v/>
      </c>
      <c r="U3250" s="95">
        <f>IF($L$3208,$T3250,$N3250)</f>
        <v/>
      </c>
    </row>
    <row r="3251">
      <c r="A3251" s="90" t="n">
        <v>41</v>
      </c>
      <c r="B3251" s="91">
        <f>EDATE($B3250,1)</f>
        <v/>
      </c>
      <c r="C3251" s="92">
        <f>EOMONTH($B3251,0)</f>
        <v/>
      </c>
      <c r="D3251" s="87">
        <f>$C3251-$B3251+1</f>
        <v/>
      </c>
      <c r="E3251" s="87">
        <f>MONTH($B3251)</f>
        <v/>
      </c>
      <c r="F3251" s="93">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$N3251*IF($O$3208=1,$O3251/$F$3208,1)</f>
        <v/>
      </c>
      <c r="T3251" s="95">
        <f>IF($G3251&lt;nr_MStartP,$S3251,$T3239*(1+IF($G3251&lt;nr_MStartP1,$M$3208,$N$3208)))</f>
        <v/>
      </c>
      <c r="U3251" s="95">
        <f>IF($L$3208,$T3251,$N3251)</f>
        <v/>
      </c>
    </row>
    <row r="3252">
      <c r="A3252" s="90" t="n">
        <v>42</v>
      </c>
      <c r="B3252" s="91">
        <f>EDATE($B3251,1)</f>
        <v/>
      </c>
      <c r="C3252" s="92">
        <f>EOMONTH($B3252,0)</f>
        <v/>
      </c>
      <c r="D3252" s="87">
        <f>$C3252-$B3252+1</f>
        <v/>
      </c>
      <c r="E3252" s="87">
        <f>MONTH($B3252)</f>
        <v/>
      </c>
      <c r="F3252" s="93">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$N3252*IF($O$3208=1,$O3252/$F$3208,1)</f>
        <v/>
      </c>
      <c r="T3252" s="95">
        <f>IF($G3252&lt;nr_MStartP,$S3252,$T3240*(1+IF($G3252&lt;nr_MStartP1,$M$3208,$N$3208)))</f>
        <v/>
      </c>
      <c r="U3252" s="95">
        <f>IF($L$3208,$T3252,$N3252)</f>
        <v/>
      </c>
    </row>
    <row r="3253">
      <c r="A3253" s="90" t="n">
        <v>43</v>
      </c>
      <c r="B3253" s="91">
        <f>EDATE($B3252,1)</f>
        <v/>
      </c>
      <c r="C3253" s="92">
        <f>EOMONTH($B3253,0)</f>
        <v/>
      </c>
      <c r="D3253" s="87">
        <f>$C3253-$B3253+1</f>
        <v/>
      </c>
      <c r="E3253" s="87">
        <f>MONTH($B3253)</f>
        <v/>
      </c>
      <c r="F3253" s="93">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$N3253*IF($O$3208=1,$O3253/$F$3208,1)</f>
        <v/>
      </c>
      <c r="T3253" s="95">
        <f>IF($G3253&lt;nr_MStartP,$S3253,$T3241*(1+IF($G3253&lt;nr_MStartP1,$M$3208,$N$3208)))</f>
        <v/>
      </c>
      <c r="U3253" s="95">
        <f>IF($L$3208,$T3253,$N3253)</f>
        <v/>
      </c>
    </row>
    <row r="3254">
      <c r="A3254" s="90" t="n">
        <v>44</v>
      </c>
      <c r="B3254" s="91">
        <f>EDATE($B3253,1)</f>
        <v/>
      </c>
      <c r="C3254" s="92">
        <f>EOMONTH($B3254,0)</f>
        <v/>
      </c>
      <c r="D3254" s="87">
        <f>$C3254-$B3254+1</f>
        <v/>
      </c>
      <c r="E3254" s="87">
        <f>MONTH($B3254)</f>
        <v/>
      </c>
      <c r="F3254" s="93">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$N3254*IF($O$3208=1,$O3254/$F$3208,1)</f>
        <v/>
      </c>
      <c r="T3254" s="95">
        <f>IF($G3254&lt;nr_MStartP,$S3254,$T3242*(1+IF($G3254&lt;nr_MStartP1,$M$3208,$N$3208)))</f>
        <v/>
      </c>
      <c r="U3254" s="95">
        <f>IF($L$3208,$T3254,$N3254)</f>
        <v/>
      </c>
    </row>
    <row r="3255">
      <c r="A3255" s="90" t="n">
        <v>45</v>
      </c>
      <c r="B3255" s="91">
        <f>EDATE($B3254,1)</f>
        <v/>
      </c>
      <c r="C3255" s="92">
        <f>EOMONTH($B3255,0)</f>
        <v/>
      </c>
      <c r="D3255" s="87">
        <f>$C3255-$B3255+1</f>
        <v/>
      </c>
      <c r="E3255" s="87">
        <f>MONTH($B3255)</f>
        <v/>
      </c>
      <c r="F3255" s="93">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$N3255*IF($O$3208=1,$O3255/$F$3208,1)</f>
        <v/>
      </c>
      <c r="T3255" s="95">
        <f>IF($G3255&lt;nr_MStartP,$S3255,$T3243*(1+IF($G3255&lt;nr_MStartP1,$M$3208,$N$3208)))</f>
        <v/>
      </c>
      <c r="U3255" s="95">
        <f>IF($L$3208,$T3255,$N3255)</f>
        <v/>
      </c>
    </row>
    <row r="3256">
      <c r="A3256" s="90" t="n">
        <v>46</v>
      </c>
      <c r="B3256" s="91">
        <f>EDATE($B3255,1)</f>
        <v/>
      </c>
      <c r="C3256" s="92">
        <f>EOMONTH($B3256,0)</f>
        <v/>
      </c>
      <c r="D3256" s="87">
        <f>$C3256-$B3256+1</f>
        <v/>
      </c>
      <c r="E3256" s="87">
        <f>MONTH($B3256)</f>
        <v/>
      </c>
      <c r="F3256" s="93">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$N3256*IF($O$3208=1,$O3256/$F$3208,1)</f>
        <v/>
      </c>
      <c r="T3256" s="95">
        <f>IF($G3256&lt;nr_MStartP,$S3256,$T3244*(1+IF($G3256&lt;nr_MStartP1,$M$3208,$N$3208)))</f>
        <v/>
      </c>
      <c r="U3256" s="95">
        <f>IF($L$3208,$T3256,$N3256)</f>
        <v/>
      </c>
    </row>
    <row r="3257">
      <c r="A3257" s="90" t="n">
        <v>47</v>
      </c>
      <c r="B3257" s="91">
        <f>EDATE($B3256,1)</f>
        <v/>
      </c>
      <c r="C3257" s="92">
        <f>EOMONTH($B3257,0)</f>
        <v/>
      </c>
      <c r="D3257" s="87">
        <f>$C3257-$B3257+1</f>
        <v/>
      </c>
      <c r="E3257" s="87">
        <f>MONTH($B3257)</f>
        <v/>
      </c>
      <c r="F3257" s="93">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$N3257*IF($O$3208=1,$O3257/$F$3208,1)</f>
        <v/>
      </c>
      <c r="T3257" s="95">
        <f>IF($G3257&lt;nr_MStartP,$S3257,$T3245*(1+IF($G3257&lt;nr_MStartP1,$M$3208,$N$3208)))</f>
        <v/>
      </c>
      <c r="U3257" s="95">
        <f>IF($L$3208,$T3257,$N3257)</f>
        <v/>
      </c>
    </row>
    <row r="3258">
      <c r="A3258" s="90" t="n">
        <v>48</v>
      </c>
      <c r="B3258" s="91">
        <f>EDATE($B3257,1)</f>
        <v/>
      </c>
      <c r="C3258" s="92">
        <f>EOMONTH($B3258,0)</f>
        <v/>
      </c>
      <c r="D3258" s="87">
        <f>$C3258-$B3258+1</f>
        <v/>
      </c>
      <c r="E3258" s="87">
        <f>MONTH($B3258)</f>
        <v/>
      </c>
      <c r="F3258" s="93">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$N3258*IF($O$3208=1,$O3258/$F$3208,1)</f>
        <v/>
      </c>
      <c r="T3258" s="95">
        <f>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04">
        <f>SUMPRODUCT($H$3211:$H$3258,$Q$3211:$Q$3258,$O$3211:$O$3258)/SUMPRODUCT($H$3211:$H$3258,$Q$3211:$Q$3258)</f>
        <v/>
      </c>
      <c r="G3259" s="20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04">
        <f>IF(N(INDEX(lr_mind,60))=0,1,INDEX(lr_mind,60))</f>
        <v/>
      </c>
      <c r="G3262" s="204">
        <f>IF(N(INDEX(lr_m0,60))=0,1,INDEX(lr_m0,60))</f>
        <v/>
      </c>
      <c r="H3262" s="73">
        <f>IF(N(INDEX(lr_m0asof,60))=0,DATE(nr_PlanYear-1,10,1),INDEX(lr_m0asof,60))</f>
        <v/>
      </c>
      <c r="I3262" s="204">
        <f>IF(N(INDEX(lr_m1,60))=0,1,INDEX(lr_m1,60))</f>
        <v/>
      </c>
      <c r="J3262" s="204">
        <f>INDEX(lr_mprior,60)</f>
        <v/>
      </c>
      <c r="K3262" s="20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93">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$N3265*IF($O$3262=1,$O3265/$F$3262,1)</f>
        <v/>
      </c>
      <c r="T3265" s="95">
        <f>IF($G3265&lt;nr_MStartP,$S3265,$T3253*(1+IF($G3265&lt;nr_MStartP1,$M$3262,$N$3262)))</f>
        <v/>
      </c>
      <c r="U3265" s="95">
        <f>IF($L$3262,$T3265,$N3265)</f>
        <v/>
      </c>
    </row>
    <row r="3266">
      <c r="A3266" s="90" t="n">
        <v>2</v>
      </c>
      <c r="B3266" s="91">
        <f>EDATE($B3265,1)</f>
        <v/>
      </c>
      <c r="C3266" s="92">
        <f>EOMONTH($B3266,0)</f>
        <v/>
      </c>
      <c r="D3266" s="87">
        <f>$C3266-$B3266+1</f>
        <v/>
      </c>
      <c r="E3266" s="87">
        <f>MONTH($B3266)</f>
        <v/>
      </c>
      <c r="F3266" s="93">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$N3266*IF($O$3262=1,$O3266/$F$3262,1)</f>
        <v/>
      </c>
      <c r="T3266" s="95">
        <f>IF($G3266&lt;nr_MStartP,$S3266,$T3254*(1+IF($G3266&lt;nr_MStartP1,$M$3262,$N$3262)))</f>
        <v/>
      </c>
      <c r="U3266" s="95">
        <f>IF($L$3262,$T3266,$N3266)</f>
        <v/>
      </c>
    </row>
    <row r="3267">
      <c r="A3267" s="90" t="n">
        <v>3</v>
      </c>
      <c r="B3267" s="91">
        <f>EDATE($B3266,1)</f>
        <v/>
      </c>
      <c r="C3267" s="92">
        <f>EOMONTH($B3267,0)</f>
        <v/>
      </c>
      <c r="D3267" s="87">
        <f>$C3267-$B3267+1</f>
        <v/>
      </c>
      <c r="E3267" s="87">
        <f>MONTH($B3267)</f>
        <v/>
      </c>
      <c r="F3267" s="93">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$N3267*IF($O$3262=1,$O3267/$F$3262,1)</f>
        <v/>
      </c>
      <c r="T3267" s="95">
        <f>IF($G3267&lt;nr_MStartP,$S3267,$T3255*(1+IF($G3267&lt;nr_MStartP1,$M$3262,$N$3262)))</f>
        <v/>
      </c>
      <c r="U3267" s="95">
        <f>IF($L$3262,$T3267,$N3267)</f>
        <v/>
      </c>
    </row>
    <row r="3268">
      <c r="A3268" s="90" t="n">
        <v>4</v>
      </c>
      <c r="B3268" s="91">
        <f>EDATE($B3267,1)</f>
        <v/>
      </c>
      <c r="C3268" s="92">
        <f>EOMONTH($B3268,0)</f>
        <v/>
      </c>
      <c r="D3268" s="87">
        <f>$C3268-$B3268+1</f>
        <v/>
      </c>
      <c r="E3268" s="87">
        <f>MONTH($B3268)</f>
        <v/>
      </c>
      <c r="F3268" s="93">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$N3268*IF($O$3262=1,$O3268/$F$3262,1)</f>
        <v/>
      </c>
      <c r="T3268" s="95">
        <f>IF($G3268&lt;nr_MStartP,$S3268,$T3256*(1+IF($G3268&lt;nr_MStartP1,$M$3262,$N$3262)))</f>
        <v/>
      </c>
      <c r="U3268" s="95">
        <f>IF($L$3262,$T3268,$N3268)</f>
        <v/>
      </c>
    </row>
    <row r="3269">
      <c r="A3269" s="90" t="n">
        <v>5</v>
      </c>
      <c r="B3269" s="91">
        <f>EDATE($B3268,1)</f>
        <v/>
      </c>
      <c r="C3269" s="92">
        <f>EOMONTH($B3269,0)</f>
        <v/>
      </c>
      <c r="D3269" s="87">
        <f>$C3269-$B3269+1</f>
        <v/>
      </c>
      <c r="E3269" s="87">
        <f>MONTH($B3269)</f>
        <v/>
      </c>
      <c r="F3269" s="93">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$N3269*IF($O$3262=1,$O3269/$F$3262,1)</f>
        <v/>
      </c>
      <c r="T3269" s="95">
        <f>IF($G3269&lt;nr_MStartP,$S3269,$T3257*(1+IF($G3269&lt;nr_MStartP1,$M$3262,$N$3262)))</f>
        <v/>
      </c>
      <c r="U3269" s="95">
        <f>IF($L$3262,$T3269,$N3269)</f>
        <v/>
      </c>
    </row>
    <row r="3270">
      <c r="A3270" s="90" t="n">
        <v>6</v>
      </c>
      <c r="B3270" s="91">
        <f>EDATE($B3269,1)</f>
        <v/>
      </c>
      <c r="C3270" s="92">
        <f>EOMONTH($B3270,0)</f>
        <v/>
      </c>
      <c r="D3270" s="87">
        <f>$C3270-$B3270+1</f>
        <v/>
      </c>
      <c r="E3270" s="87">
        <f>MONTH($B3270)</f>
        <v/>
      </c>
      <c r="F3270" s="93">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$N3270*IF($O$3262=1,$O3270/$F$3262,1)</f>
        <v/>
      </c>
      <c r="T3270" s="95">
        <f>IF($G3270&lt;nr_MStartP,$S3270,$T3258*(1+IF($G3270&lt;nr_MStartP1,$M$3262,$N$3262)))</f>
        <v/>
      </c>
      <c r="U3270" s="95">
        <f>IF($L$3262,$T3270,$N3270)</f>
        <v/>
      </c>
    </row>
    <row r="3271">
      <c r="A3271" s="90" t="n">
        <v>7</v>
      </c>
      <c r="B3271" s="91">
        <f>EDATE($B3270,1)</f>
        <v/>
      </c>
      <c r="C3271" s="92">
        <f>EOMONTH($B3271,0)</f>
        <v/>
      </c>
      <c r="D3271" s="87">
        <f>$C3271-$B3271+1</f>
        <v/>
      </c>
      <c r="E3271" s="87">
        <f>MONTH($B3271)</f>
        <v/>
      </c>
      <c r="F3271" s="93">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$N3271*IF($O$3262=1,$O3271/$F$3262,1)</f>
        <v/>
      </c>
      <c r="T3271" s="95">
        <f>IF($G3271&lt;nr_MStartP,$S3271,$T3259*(1+IF($G3271&lt;nr_MStartP1,$M$3262,$N$3262)))</f>
        <v/>
      </c>
      <c r="U3271" s="95">
        <f>IF($L$3262,$T3271,$N3271)</f>
        <v/>
      </c>
    </row>
    <row r="3272">
      <c r="A3272" s="90" t="n">
        <v>8</v>
      </c>
      <c r="B3272" s="91">
        <f>EDATE($B3271,1)</f>
        <v/>
      </c>
      <c r="C3272" s="92">
        <f>EOMONTH($B3272,0)</f>
        <v/>
      </c>
      <c r="D3272" s="87">
        <f>$C3272-$B3272+1</f>
        <v/>
      </c>
      <c r="E3272" s="87">
        <f>MONTH($B3272)</f>
        <v/>
      </c>
      <c r="F3272" s="93">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$N3272*IF($O$3262=1,$O3272/$F$3262,1)</f>
        <v/>
      </c>
      <c r="T3272" s="95">
        <f>IF($G3272&lt;nr_MStartP,$S3272,$T3260*(1+IF($G3272&lt;nr_MStartP1,$M$3262,$N$3262)))</f>
        <v/>
      </c>
      <c r="U3272" s="95">
        <f>IF($L$3262,$T3272,$N3272)</f>
        <v/>
      </c>
    </row>
    <row r="3273">
      <c r="A3273" s="90" t="n">
        <v>9</v>
      </c>
      <c r="B3273" s="91">
        <f>EDATE($B3272,1)</f>
        <v/>
      </c>
      <c r="C3273" s="92">
        <f>EOMONTH($B3273,0)</f>
        <v/>
      </c>
      <c r="D3273" s="87">
        <f>$C3273-$B3273+1</f>
        <v/>
      </c>
      <c r="E3273" s="87">
        <f>MONTH($B3273)</f>
        <v/>
      </c>
      <c r="F3273" s="93">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$N3273*IF($O$3262=1,$O3273/$F$3262,1)</f>
        <v/>
      </c>
      <c r="T3273" s="95">
        <f>IF($G3273&lt;nr_MStartP,$S3273,$T3261*(1+IF($G3273&lt;nr_MStartP1,$M$3262,$N$3262)))</f>
        <v/>
      </c>
      <c r="U3273" s="95">
        <f>IF($L$3262,$T3273,$N3273)</f>
        <v/>
      </c>
    </row>
    <row r="3274">
      <c r="A3274" s="90" t="n">
        <v>10</v>
      </c>
      <c r="B3274" s="91">
        <f>EDATE($B3273,1)</f>
        <v/>
      </c>
      <c r="C3274" s="92">
        <f>EOMONTH($B3274,0)</f>
        <v/>
      </c>
      <c r="D3274" s="87">
        <f>$C3274-$B3274+1</f>
        <v/>
      </c>
      <c r="E3274" s="87">
        <f>MONTH($B3274)</f>
        <v/>
      </c>
      <c r="F3274" s="93">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$N3274*IF($O$3262=1,$O3274/$F$3262,1)</f>
        <v/>
      </c>
      <c r="T3274" s="95">
        <f>IF($G3274&lt;nr_MStartP,$S3274,$T3262*(1+IF($G3274&lt;nr_MStartP1,$M$3262,$N$3262)))</f>
        <v/>
      </c>
      <c r="U3274" s="95">
        <f>IF($L$3262,$T3274,$N3274)</f>
        <v/>
      </c>
    </row>
    <row r="3275">
      <c r="A3275" s="90" t="n">
        <v>11</v>
      </c>
      <c r="B3275" s="91">
        <f>EDATE($B3274,1)</f>
        <v/>
      </c>
      <c r="C3275" s="92">
        <f>EOMONTH($B3275,0)</f>
        <v/>
      </c>
      <c r="D3275" s="87">
        <f>$C3275-$B3275+1</f>
        <v/>
      </c>
      <c r="E3275" s="87">
        <f>MONTH($B3275)</f>
        <v/>
      </c>
      <c r="F3275" s="93">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$N3275*IF($O$3262=1,$O3275/$F$3262,1)</f>
        <v/>
      </c>
      <c r="T3275" s="95">
        <f>IF($G3275&lt;nr_MStartP,$S3275,$T3263*(1+IF($G3275&lt;nr_MStartP1,$M$3262,$N$3262)))</f>
        <v/>
      </c>
      <c r="U3275" s="95">
        <f>IF($L$3262,$T3275,$N3275)</f>
        <v/>
      </c>
    </row>
    <row r="3276">
      <c r="A3276" s="90" t="n">
        <v>12</v>
      </c>
      <c r="B3276" s="91">
        <f>EDATE($B3275,1)</f>
        <v/>
      </c>
      <c r="C3276" s="92">
        <f>EOMONTH($B3276,0)</f>
        <v/>
      </c>
      <c r="D3276" s="87">
        <f>$C3276-$B3276+1</f>
        <v/>
      </c>
      <c r="E3276" s="87">
        <f>MONTH($B3276)</f>
        <v/>
      </c>
      <c r="F3276" s="93">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$N3276*IF($O$3262=1,$O3276/$F$3262,1)</f>
        <v/>
      </c>
      <c r="T3276" s="95">
        <f>IF($G3276&lt;nr_MStartP,$S3276,$T3264*(1+IF($G3276&lt;nr_MStartP1,$M$3262,$N$3262)))</f>
        <v/>
      </c>
      <c r="U3276" s="95">
        <f>IF($L$3262,$T3276,$N3276)</f>
        <v/>
      </c>
    </row>
    <row r="3277">
      <c r="A3277" s="90" t="n">
        <v>13</v>
      </c>
      <c r="B3277" s="91">
        <f>EDATE($B3276,1)</f>
        <v/>
      </c>
      <c r="C3277" s="92">
        <f>EOMONTH($B3277,0)</f>
        <v/>
      </c>
      <c r="D3277" s="87">
        <f>$C3277-$B3277+1</f>
        <v/>
      </c>
      <c r="E3277" s="87">
        <f>MONTH($B3277)</f>
        <v/>
      </c>
      <c r="F3277" s="93">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$N3277*IF($O$3262=1,$O3277/$F$3262,1)</f>
        <v/>
      </c>
      <c r="T3277" s="95">
        <f>IF($G3277&lt;nr_MStartP,$S3277,$T3265*(1+IF($G3277&lt;nr_MStartP1,$M$3262,$N$3262)))</f>
        <v/>
      </c>
      <c r="U3277" s="95">
        <f>IF($L$3262,$T3277,$N3277)</f>
        <v/>
      </c>
    </row>
    <row r="3278">
      <c r="A3278" s="90" t="n">
        <v>14</v>
      </c>
      <c r="B3278" s="91">
        <f>EDATE($B3277,1)</f>
        <v/>
      </c>
      <c r="C3278" s="92">
        <f>EOMONTH($B3278,0)</f>
        <v/>
      </c>
      <c r="D3278" s="87">
        <f>$C3278-$B3278+1</f>
        <v/>
      </c>
      <c r="E3278" s="87">
        <f>MONTH($B3278)</f>
        <v/>
      </c>
      <c r="F3278" s="93">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$N3278*IF($O$3262=1,$O3278/$F$3262,1)</f>
        <v/>
      </c>
      <c r="T3278" s="95">
        <f>IF($G3278&lt;nr_MStartP,$S3278,$T3266*(1+IF($G3278&lt;nr_MStartP1,$M$3262,$N$3262)))</f>
        <v/>
      </c>
      <c r="U3278" s="95">
        <f>IF($L$3262,$T3278,$N3278)</f>
        <v/>
      </c>
    </row>
    <row r="3279">
      <c r="A3279" s="90" t="n">
        <v>15</v>
      </c>
      <c r="B3279" s="91">
        <f>EDATE($B3278,1)</f>
        <v/>
      </c>
      <c r="C3279" s="92">
        <f>EOMONTH($B3279,0)</f>
        <v/>
      </c>
      <c r="D3279" s="87">
        <f>$C3279-$B3279+1</f>
        <v/>
      </c>
      <c r="E3279" s="87">
        <f>MONTH($B3279)</f>
        <v/>
      </c>
      <c r="F3279" s="93">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$N3279*IF($O$3262=1,$O3279/$F$3262,1)</f>
        <v/>
      </c>
      <c r="T3279" s="95">
        <f>IF($G3279&lt;nr_MStartP,$S3279,$T3267*(1+IF($G3279&lt;nr_MStartP1,$M$3262,$N$3262)))</f>
        <v/>
      </c>
      <c r="U3279" s="95">
        <f>IF($L$3262,$T3279,$N3279)</f>
        <v/>
      </c>
    </row>
    <row r="3280">
      <c r="A3280" s="90" t="n">
        <v>16</v>
      </c>
      <c r="B3280" s="91">
        <f>EDATE($B3279,1)</f>
        <v/>
      </c>
      <c r="C3280" s="92">
        <f>EOMONTH($B3280,0)</f>
        <v/>
      </c>
      <c r="D3280" s="87">
        <f>$C3280-$B3280+1</f>
        <v/>
      </c>
      <c r="E3280" s="87">
        <f>MONTH($B3280)</f>
        <v/>
      </c>
      <c r="F3280" s="93">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$N3280*IF($O$3262=1,$O3280/$F$3262,1)</f>
        <v/>
      </c>
      <c r="T3280" s="95">
        <f>IF($G3280&lt;nr_MStartP,$S3280,$T3268*(1+IF($G3280&lt;nr_MStartP1,$M$3262,$N$3262)))</f>
        <v/>
      </c>
      <c r="U3280" s="95">
        <f>IF($L$3262,$T3280,$N3280)</f>
        <v/>
      </c>
    </row>
    <row r="3281">
      <c r="A3281" s="90" t="n">
        <v>17</v>
      </c>
      <c r="B3281" s="91">
        <f>EDATE($B3280,1)</f>
        <v/>
      </c>
      <c r="C3281" s="92">
        <f>EOMONTH($B3281,0)</f>
        <v/>
      </c>
      <c r="D3281" s="87">
        <f>$C3281-$B3281+1</f>
        <v/>
      </c>
      <c r="E3281" s="87">
        <f>MONTH($B3281)</f>
        <v/>
      </c>
      <c r="F3281" s="93">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$N3281*IF($O$3262=1,$O3281/$F$3262,1)</f>
        <v/>
      </c>
      <c r="T3281" s="95">
        <f>IF($G3281&lt;nr_MStartP,$S3281,$T3269*(1+IF($G3281&lt;nr_MStartP1,$M$3262,$N$3262)))</f>
        <v/>
      </c>
      <c r="U3281" s="95">
        <f>IF($L$3262,$T3281,$N3281)</f>
        <v/>
      </c>
    </row>
    <row r="3282">
      <c r="A3282" s="90" t="n">
        <v>18</v>
      </c>
      <c r="B3282" s="91">
        <f>EDATE($B3281,1)</f>
        <v/>
      </c>
      <c r="C3282" s="92">
        <f>EOMONTH($B3282,0)</f>
        <v/>
      </c>
      <c r="D3282" s="87">
        <f>$C3282-$B3282+1</f>
        <v/>
      </c>
      <c r="E3282" s="87">
        <f>MONTH($B3282)</f>
        <v/>
      </c>
      <c r="F3282" s="93">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$N3282*IF($O$3262=1,$O3282/$F$3262,1)</f>
        <v/>
      </c>
      <c r="T3282" s="95">
        <f>IF($G3282&lt;nr_MStartP,$S3282,$T3270*(1+IF($G3282&lt;nr_MStartP1,$M$3262,$N$3262)))</f>
        <v/>
      </c>
      <c r="U3282" s="95">
        <f>IF($L$3262,$T3282,$N3282)</f>
        <v/>
      </c>
    </row>
    <row r="3283">
      <c r="A3283" s="90" t="n">
        <v>19</v>
      </c>
      <c r="B3283" s="91">
        <f>EDATE($B3282,1)</f>
        <v/>
      </c>
      <c r="C3283" s="92">
        <f>EOMONTH($B3283,0)</f>
        <v/>
      </c>
      <c r="D3283" s="87">
        <f>$C3283-$B3283+1</f>
        <v/>
      </c>
      <c r="E3283" s="87">
        <f>MONTH($B3283)</f>
        <v/>
      </c>
      <c r="F3283" s="93">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$N3283*IF($O$3262=1,$O3283/$F$3262,1)</f>
        <v/>
      </c>
      <c r="T3283" s="95">
        <f>IF($G3283&lt;nr_MStartP,$S3283,$T3271*(1+IF($G3283&lt;nr_MStartP1,$M$3262,$N$3262)))</f>
        <v/>
      </c>
      <c r="U3283" s="95">
        <f>IF($L$3262,$T3283,$N3283)</f>
        <v/>
      </c>
    </row>
    <row r="3284">
      <c r="A3284" s="90" t="n">
        <v>20</v>
      </c>
      <c r="B3284" s="91">
        <f>EDATE($B3283,1)</f>
        <v/>
      </c>
      <c r="C3284" s="92">
        <f>EOMONTH($B3284,0)</f>
        <v/>
      </c>
      <c r="D3284" s="87">
        <f>$C3284-$B3284+1</f>
        <v/>
      </c>
      <c r="E3284" s="87">
        <f>MONTH($B3284)</f>
        <v/>
      </c>
      <c r="F3284" s="93">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$N3284*IF($O$3262=1,$O3284/$F$3262,1)</f>
        <v/>
      </c>
      <c r="T3284" s="95">
        <f>IF($G3284&lt;nr_MStartP,$S3284,$T3272*(1+IF($G3284&lt;nr_MStartP1,$M$3262,$N$3262)))</f>
        <v/>
      </c>
      <c r="U3284" s="95">
        <f>IF($L$3262,$T3284,$N3284)</f>
        <v/>
      </c>
    </row>
    <row r="3285">
      <c r="A3285" s="90" t="n">
        <v>21</v>
      </c>
      <c r="B3285" s="91">
        <f>EDATE($B3284,1)</f>
        <v/>
      </c>
      <c r="C3285" s="92">
        <f>EOMONTH($B3285,0)</f>
        <v/>
      </c>
      <c r="D3285" s="87">
        <f>$C3285-$B3285+1</f>
        <v/>
      </c>
      <c r="E3285" s="87">
        <f>MONTH($B3285)</f>
        <v/>
      </c>
      <c r="F3285" s="93">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$N3285*IF($O$3262=1,$O3285/$F$3262,1)</f>
        <v/>
      </c>
      <c r="T3285" s="95">
        <f>IF($G3285&lt;nr_MStartP,$S3285,$T3273*(1+IF($G3285&lt;nr_MStartP1,$M$3262,$N$3262)))</f>
        <v/>
      </c>
      <c r="U3285" s="95">
        <f>IF($L$3262,$T3285,$N3285)</f>
        <v/>
      </c>
    </row>
    <row r="3286">
      <c r="A3286" s="90" t="n">
        <v>22</v>
      </c>
      <c r="B3286" s="91">
        <f>EDATE($B3285,1)</f>
        <v/>
      </c>
      <c r="C3286" s="92">
        <f>EOMONTH($B3286,0)</f>
        <v/>
      </c>
      <c r="D3286" s="87">
        <f>$C3286-$B3286+1</f>
        <v/>
      </c>
      <c r="E3286" s="87">
        <f>MONTH($B3286)</f>
        <v/>
      </c>
      <c r="F3286" s="93">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$N3286*IF($O$3262=1,$O3286/$F$3262,1)</f>
        <v/>
      </c>
      <c r="T3286" s="95">
        <f>IF($G3286&lt;nr_MStartP,$S3286,$T3274*(1+IF($G3286&lt;nr_MStartP1,$M$3262,$N$3262)))</f>
        <v/>
      </c>
      <c r="U3286" s="95">
        <f>IF($L$3262,$T3286,$N3286)</f>
        <v/>
      </c>
    </row>
    <row r="3287">
      <c r="A3287" s="90" t="n">
        <v>23</v>
      </c>
      <c r="B3287" s="91">
        <f>EDATE($B3286,1)</f>
        <v/>
      </c>
      <c r="C3287" s="92">
        <f>EOMONTH($B3287,0)</f>
        <v/>
      </c>
      <c r="D3287" s="87">
        <f>$C3287-$B3287+1</f>
        <v/>
      </c>
      <c r="E3287" s="87">
        <f>MONTH($B3287)</f>
        <v/>
      </c>
      <c r="F3287" s="93">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$N3287*IF($O$3262=1,$O3287/$F$3262,1)</f>
        <v/>
      </c>
      <c r="T3287" s="95">
        <f>IF($G3287&lt;nr_MStartP,$S3287,$T3275*(1+IF($G3287&lt;nr_MStartP1,$M$3262,$N$3262)))</f>
        <v/>
      </c>
      <c r="U3287" s="95">
        <f>IF($L$3262,$T3287,$N3287)</f>
        <v/>
      </c>
    </row>
    <row r="3288">
      <c r="A3288" s="90" t="n">
        <v>24</v>
      </c>
      <c r="B3288" s="91">
        <f>EDATE($B3287,1)</f>
        <v/>
      </c>
      <c r="C3288" s="92">
        <f>EOMONTH($B3288,0)</f>
        <v/>
      </c>
      <c r="D3288" s="87">
        <f>$C3288-$B3288+1</f>
        <v/>
      </c>
      <c r="E3288" s="87">
        <f>MONTH($B3288)</f>
        <v/>
      </c>
      <c r="F3288" s="93">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$N3288*IF($O$3262=1,$O3288/$F$3262,1)</f>
        <v/>
      </c>
      <c r="T3288" s="95">
        <f>IF($G3288&lt;nr_MStartP,$S3288,$T3276*(1+IF($G3288&lt;nr_MStartP1,$M$3262,$N$3262)))</f>
        <v/>
      </c>
      <c r="U3288" s="95">
        <f>IF($L$3262,$T3288,$N3288)</f>
        <v/>
      </c>
    </row>
    <row r="3289">
      <c r="A3289" s="90" t="n">
        <v>25</v>
      </c>
      <c r="B3289" s="91">
        <f>EDATE($B3288,1)</f>
        <v/>
      </c>
      <c r="C3289" s="92">
        <f>EOMONTH($B3289,0)</f>
        <v/>
      </c>
      <c r="D3289" s="87">
        <f>$C3289-$B3289+1</f>
        <v/>
      </c>
      <c r="E3289" s="87">
        <f>MONTH($B3289)</f>
        <v/>
      </c>
      <c r="F3289" s="93">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$N3289*IF($O$3262=1,$O3289/$F$3262,1)</f>
        <v/>
      </c>
      <c r="T3289" s="95">
        <f>IF($G3289&lt;nr_MStartP,$S3289,$T3277*(1+IF($G3289&lt;nr_MStartP1,$M$3262,$N$3262)))</f>
        <v/>
      </c>
      <c r="U3289" s="95">
        <f>IF($L$3262,$T3289,$N3289)</f>
        <v/>
      </c>
    </row>
    <row r="3290">
      <c r="A3290" s="90" t="n">
        <v>26</v>
      </c>
      <c r="B3290" s="91">
        <f>EDATE($B3289,1)</f>
        <v/>
      </c>
      <c r="C3290" s="92">
        <f>EOMONTH($B3290,0)</f>
        <v/>
      </c>
      <c r="D3290" s="87">
        <f>$C3290-$B3290+1</f>
        <v/>
      </c>
      <c r="E3290" s="87">
        <f>MONTH($B3290)</f>
        <v/>
      </c>
      <c r="F3290" s="93">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$N3290*IF($O$3262=1,$O3290/$F$3262,1)</f>
        <v/>
      </c>
      <c r="T3290" s="95">
        <f>IF($G3290&lt;nr_MStartP,$S3290,$T3278*(1+IF($G3290&lt;nr_MStartP1,$M$3262,$N$3262)))</f>
        <v/>
      </c>
      <c r="U3290" s="95">
        <f>IF($L$3262,$T3290,$N3290)</f>
        <v/>
      </c>
    </row>
    <row r="3291">
      <c r="A3291" s="90" t="n">
        <v>27</v>
      </c>
      <c r="B3291" s="91">
        <f>EDATE($B3290,1)</f>
        <v/>
      </c>
      <c r="C3291" s="92">
        <f>EOMONTH($B3291,0)</f>
        <v/>
      </c>
      <c r="D3291" s="87">
        <f>$C3291-$B3291+1</f>
        <v/>
      </c>
      <c r="E3291" s="87">
        <f>MONTH($B3291)</f>
        <v/>
      </c>
      <c r="F3291" s="93">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$N3291*IF($O$3262=1,$O3291/$F$3262,1)</f>
        <v/>
      </c>
      <c r="T3291" s="95">
        <f>IF($G3291&lt;nr_MStartP,$S3291,$T3279*(1+IF($G3291&lt;nr_MStartP1,$M$3262,$N$3262)))</f>
        <v/>
      </c>
      <c r="U3291" s="95">
        <f>IF($L$3262,$T3291,$N3291)</f>
        <v/>
      </c>
    </row>
    <row r="3292">
      <c r="A3292" s="90" t="n">
        <v>28</v>
      </c>
      <c r="B3292" s="91">
        <f>EDATE($B3291,1)</f>
        <v/>
      </c>
      <c r="C3292" s="92">
        <f>EOMONTH($B3292,0)</f>
        <v/>
      </c>
      <c r="D3292" s="87">
        <f>$C3292-$B3292+1</f>
        <v/>
      </c>
      <c r="E3292" s="87">
        <f>MONTH($B3292)</f>
        <v/>
      </c>
      <c r="F3292" s="93">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$N3292*IF($O$3262=1,$O3292/$F$3262,1)</f>
        <v/>
      </c>
      <c r="T3292" s="95">
        <f>IF($G3292&lt;nr_MStartP,$S3292,$T3280*(1+IF($G3292&lt;nr_MStartP1,$M$3262,$N$3262)))</f>
        <v/>
      </c>
      <c r="U3292" s="95">
        <f>IF($L$3262,$T3292,$N3292)</f>
        <v/>
      </c>
    </row>
    <row r="3293">
      <c r="A3293" s="90" t="n">
        <v>29</v>
      </c>
      <c r="B3293" s="91">
        <f>EDATE($B3292,1)</f>
        <v/>
      </c>
      <c r="C3293" s="92">
        <f>EOMONTH($B3293,0)</f>
        <v/>
      </c>
      <c r="D3293" s="87">
        <f>$C3293-$B3293+1</f>
        <v/>
      </c>
      <c r="E3293" s="87">
        <f>MONTH($B3293)</f>
        <v/>
      </c>
      <c r="F3293" s="93">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$N3293*IF($O$3262=1,$O3293/$F$3262,1)</f>
        <v/>
      </c>
      <c r="T3293" s="95">
        <f>IF($G3293&lt;nr_MStartP,$S3293,$T3281*(1+IF($G3293&lt;nr_MStartP1,$M$3262,$N$3262)))</f>
        <v/>
      </c>
      <c r="U3293" s="95">
        <f>IF($L$3262,$T3293,$N3293)</f>
        <v/>
      </c>
    </row>
    <row r="3294">
      <c r="A3294" s="90" t="n">
        <v>30</v>
      </c>
      <c r="B3294" s="91">
        <f>EDATE($B3293,1)</f>
        <v/>
      </c>
      <c r="C3294" s="92">
        <f>EOMONTH($B3294,0)</f>
        <v/>
      </c>
      <c r="D3294" s="87">
        <f>$C3294-$B3294+1</f>
        <v/>
      </c>
      <c r="E3294" s="87">
        <f>MONTH($B3294)</f>
        <v/>
      </c>
      <c r="F3294" s="93">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$N3294*IF($O$3262=1,$O3294/$F$3262,1)</f>
        <v/>
      </c>
      <c r="T3294" s="95">
        <f>IF($G3294&lt;nr_MStartP,$S3294,$T3282*(1+IF($G3294&lt;nr_MStartP1,$M$3262,$N$3262)))</f>
        <v/>
      </c>
      <c r="U3294" s="95">
        <f>IF($L$3262,$T3294,$N3294)</f>
        <v/>
      </c>
    </row>
    <row r="3295">
      <c r="A3295" s="90" t="n">
        <v>31</v>
      </c>
      <c r="B3295" s="91">
        <f>EDATE($B3294,1)</f>
        <v/>
      </c>
      <c r="C3295" s="92">
        <f>EOMONTH($B3295,0)</f>
        <v/>
      </c>
      <c r="D3295" s="87">
        <f>$C3295-$B3295+1</f>
        <v/>
      </c>
      <c r="E3295" s="87">
        <f>MONTH($B3295)</f>
        <v/>
      </c>
      <c r="F3295" s="93">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$N3295*IF($O$3262=1,$O3295/$F$3262,1)</f>
        <v/>
      </c>
      <c r="T3295" s="95">
        <f>IF($G3295&lt;nr_MStartP,$S3295,$T3283*(1+IF($G3295&lt;nr_MStartP1,$M$3262,$N$3262)))</f>
        <v/>
      </c>
      <c r="U3295" s="95">
        <f>IF($L$3262,$T3295,$N3295)</f>
        <v/>
      </c>
    </row>
    <row r="3296">
      <c r="A3296" s="90" t="n">
        <v>32</v>
      </c>
      <c r="B3296" s="91">
        <f>EDATE($B3295,1)</f>
        <v/>
      </c>
      <c r="C3296" s="92">
        <f>EOMONTH($B3296,0)</f>
        <v/>
      </c>
      <c r="D3296" s="87">
        <f>$C3296-$B3296+1</f>
        <v/>
      </c>
      <c r="E3296" s="87">
        <f>MONTH($B3296)</f>
        <v/>
      </c>
      <c r="F3296" s="93">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$N3296*IF($O$3262=1,$O3296/$F$3262,1)</f>
        <v/>
      </c>
      <c r="T3296" s="95">
        <f>IF($G3296&lt;nr_MStartP,$S3296,$T3284*(1+IF($G3296&lt;nr_MStartP1,$M$3262,$N$3262)))</f>
        <v/>
      </c>
      <c r="U3296" s="95">
        <f>IF($L$3262,$T3296,$N3296)</f>
        <v/>
      </c>
    </row>
    <row r="3297">
      <c r="A3297" s="90" t="n">
        <v>33</v>
      </c>
      <c r="B3297" s="91">
        <f>EDATE($B3296,1)</f>
        <v/>
      </c>
      <c r="C3297" s="92">
        <f>EOMONTH($B3297,0)</f>
        <v/>
      </c>
      <c r="D3297" s="87">
        <f>$C3297-$B3297+1</f>
        <v/>
      </c>
      <c r="E3297" s="87">
        <f>MONTH($B3297)</f>
        <v/>
      </c>
      <c r="F3297" s="93">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$N3297*IF($O$3262=1,$O3297/$F$3262,1)</f>
        <v/>
      </c>
      <c r="T3297" s="95">
        <f>IF($G3297&lt;nr_MStartP,$S3297,$T3285*(1+IF($G3297&lt;nr_MStartP1,$M$3262,$N$3262)))</f>
        <v/>
      </c>
      <c r="U3297" s="95">
        <f>IF($L$3262,$T3297,$N3297)</f>
        <v/>
      </c>
    </row>
    <row r="3298">
      <c r="A3298" s="90" t="n">
        <v>34</v>
      </c>
      <c r="B3298" s="91">
        <f>EDATE($B3297,1)</f>
        <v/>
      </c>
      <c r="C3298" s="92">
        <f>EOMONTH($B3298,0)</f>
        <v/>
      </c>
      <c r="D3298" s="87">
        <f>$C3298-$B3298+1</f>
        <v/>
      </c>
      <c r="E3298" s="87">
        <f>MONTH($B3298)</f>
        <v/>
      </c>
      <c r="F3298" s="93">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$N3298*IF($O$3262=1,$O3298/$F$3262,1)</f>
        <v/>
      </c>
      <c r="T3298" s="95">
        <f>IF($G3298&lt;nr_MStartP,$S3298,$T3286*(1+IF($G3298&lt;nr_MStartP1,$M$3262,$N$3262)))</f>
        <v/>
      </c>
      <c r="U3298" s="95">
        <f>IF($L$3262,$T3298,$N3298)</f>
        <v/>
      </c>
    </row>
    <row r="3299">
      <c r="A3299" s="90" t="n">
        <v>35</v>
      </c>
      <c r="B3299" s="91">
        <f>EDATE($B3298,1)</f>
        <v/>
      </c>
      <c r="C3299" s="92">
        <f>EOMONTH($B3299,0)</f>
        <v/>
      </c>
      <c r="D3299" s="87">
        <f>$C3299-$B3299+1</f>
        <v/>
      </c>
      <c r="E3299" s="87">
        <f>MONTH($B3299)</f>
        <v/>
      </c>
      <c r="F3299" s="93">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$N3299*IF($O$3262=1,$O3299/$F$3262,1)</f>
        <v/>
      </c>
      <c r="T3299" s="95">
        <f>IF($G3299&lt;nr_MStartP,$S3299,$T3287*(1+IF($G3299&lt;nr_MStartP1,$M$3262,$N$3262)))</f>
        <v/>
      </c>
      <c r="U3299" s="95">
        <f>IF($L$3262,$T3299,$N3299)</f>
        <v/>
      </c>
    </row>
    <row r="3300">
      <c r="A3300" s="90" t="n">
        <v>36</v>
      </c>
      <c r="B3300" s="91">
        <f>EDATE($B3299,1)</f>
        <v/>
      </c>
      <c r="C3300" s="92">
        <f>EOMONTH($B3300,0)</f>
        <v/>
      </c>
      <c r="D3300" s="87">
        <f>$C3300-$B3300+1</f>
        <v/>
      </c>
      <c r="E3300" s="87">
        <f>MONTH($B3300)</f>
        <v/>
      </c>
      <c r="F3300" s="93">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$N3300*IF($O$3262=1,$O3300/$F$3262,1)</f>
        <v/>
      </c>
      <c r="T3300" s="95">
        <f>IF($G3300&lt;nr_MStartP,$S3300,$T3288*(1+IF($G3300&lt;nr_MStartP1,$M$3262,$N$3262)))</f>
        <v/>
      </c>
      <c r="U3300" s="95">
        <f>IF($L$3262,$T3300,$N3300)</f>
        <v/>
      </c>
    </row>
    <row r="3301">
      <c r="A3301" s="90" t="n">
        <v>37</v>
      </c>
      <c r="B3301" s="91">
        <f>EDATE($B3300,1)</f>
        <v/>
      </c>
      <c r="C3301" s="92">
        <f>EOMONTH($B3301,0)</f>
        <v/>
      </c>
      <c r="D3301" s="87">
        <f>$C3301-$B3301+1</f>
        <v/>
      </c>
      <c r="E3301" s="87">
        <f>MONTH($B3301)</f>
        <v/>
      </c>
      <c r="F3301" s="93">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$N3301*IF($O$3262=1,$O3301/$F$3262,1)</f>
        <v/>
      </c>
      <c r="T3301" s="95">
        <f>IF($G3301&lt;nr_MStartP,$S3301,$T3289*(1+IF($G3301&lt;nr_MStartP1,$M$3262,$N$3262)))</f>
        <v/>
      </c>
      <c r="U3301" s="95">
        <f>IF($L$3262,$T3301,$N3301)</f>
        <v/>
      </c>
    </row>
    <row r="3302">
      <c r="A3302" s="90" t="n">
        <v>38</v>
      </c>
      <c r="B3302" s="91">
        <f>EDATE($B3301,1)</f>
        <v/>
      </c>
      <c r="C3302" s="92">
        <f>EOMONTH($B3302,0)</f>
        <v/>
      </c>
      <c r="D3302" s="87">
        <f>$C3302-$B3302+1</f>
        <v/>
      </c>
      <c r="E3302" s="87">
        <f>MONTH($B3302)</f>
        <v/>
      </c>
      <c r="F3302" s="93">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$N3302*IF($O$3262=1,$O3302/$F$3262,1)</f>
        <v/>
      </c>
      <c r="T3302" s="95">
        <f>IF($G3302&lt;nr_MStartP,$S3302,$T3290*(1+IF($G3302&lt;nr_MStartP1,$M$3262,$N$3262)))</f>
        <v/>
      </c>
      <c r="U3302" s="95">
        <f>IF($L$3262,$T3302,$N3302)</f>
        <v/>
      </c>
    </row>
    <row r="3303">
      <c r="A3303" s="90" t="n">
        <v>39</v>
      </c>
      <c r="B3303" s="91">
        <f>EDATE($B3302,1)</f>
        <v/>
      </c>
      <c r="C3303" s="92">
        <f>EOMONTH($B3303,0)</f>
        <v/>
      </c>
      <c r="D3303" s="87">
        <f>$C3303-$B3303+1</f>
        <v/>
      </c>
      <c r="E3303" s="87">
        <f>MONTH($B3303)</f>
        <v/>
      </c>
      <c r="F3303" s="93">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$N3303*IF($O$3262=1,$O3303/$F$3262,1)</f>
        <v/>
      </c>
      <c r="T3303" s="95">
        <f>IF($G3303&lt;nr_MStartP,$S3303,$T3291*(1+IF($G3303&lt;nr_MStartP1,$M$3262,$N$3262)))</f>
        <v/>
      </c>
      <c r="U3303" s="95">
        <f>IF($L$3262,$T3303,$N3303)</f>
        <v/>
      </c>
    </row>
    <row r="3304">
      <c r="A3304" s="90" t="n">
        <v>40</v>
      </c>
      <c r="B3304" s="91">
        <f>EDATE($B3303,1)</f>
        <v/>
      </c>
      <c r="C3304" s="92">
        <f>EOMONTH($B3304,0)</f>
        <v/>
      </c>
      <c r="D3304" s="87">
        <f>$C3304-$B3304+1</f>
        <v/>
      </c>
      <c r="E3304" s="87">
        <f>MONTH($B3304)</f>
        <v/>
      </c>
      <c r="F3304" s="93">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$N3304*IF($O$3262=1,$O3304/$F$3262,1)</f>
        <v/>
      </c>
      <c r="T3304" s="95">
        <f>IF($G3304&lt;nr_MStartP,$S3304,$T3292*(1+IF($G3304&lt;nr_MStartP1,$M$3262,$N$3262)))</f>
        <v/>
      </c>
      <c r="U3304" s="95">
        <f>IF($L$3262,$T3304,$N3304)</f>
        <v/>
      </c>
    </row>
    <row r="3305">
      <c r="A3305" s="90" t="n">
        <v>41</v>
      </c>
      <c r="B3305" s="91">
        <f>EDATE($B3304,1)</f>
        <v/>
      </c>
      <c r="C3305" s="92">
        <f>EOMONTH($B3305,0)</f>
        <v/>
      </c>
      <c r="D3305" s="87">
        <f>$C3305-$B3305+1</f>
        <v/>
      </c>
      <c r="E3305" s="87">
        <f>MONTH($B3305)</f>
        <v/>
      </c>
      <c r="F3305" s="93">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$N3305*IF($O$3262=1,$O3305/$F$3262,1)</f>
        <v/>
      </c>
      <c r="T3305" s="95">
        <f>IF($G3305&lt;nr_MStartP,$S3305,$T3293*(1+IF($G3305&lt;nr_MStartP1,$M$3262,$N$3262)))</f>
        <v/>
      </c>
      <c r="U3305" s="95">
        <f>IF($L$3262,$T3305,$N3305)</f>
        <v/>
      </c>
    </row>
    <row r="3306">
      <c r="A3306" s="90" t="n">
        <v>42</v>
      </c>
      <c r="B3306" s="91">
        <f>EDATE($B3305,1)</f>
        <v/>
      </c>
      <c r="C3306" s="92">
        <f>EOMONTH($B3306,0)</f>
        <v/>
      </c>
      <c r="D3306" s="87">
        <f>$C3306-$B3306+1</f>
        <v/>
      </c>
      <c r="E3306" s="87">
        <f>MONTH($B3306)</f>
        <v/>
      </c>
      <c r="F3306" s="93">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$N3306*IF($O$3262=1,$O3306/$F$3262,1)</f>
        <v/>
      </c>
      <c r="T3306" s="95">
        <f>IF($G3306&lt;nr_MStartP,$S3306,$T3294*(1+IF($G3306&lt;nr_MStartP1,$M$3262,$N$3262)))</f>
        <v/>
      </c>
      <c r="U3306" s="95">
        <f>IF($L$3262,$T3306,$N3306)</f>
        <v/>
      </c>
    </row>
    <row r="3307">
      <c r="A3307" s="90" t="n">
        <v>43</v>
      </c>
      <c r="B3307" s="91">
        <f>EDATE($B3306,1)</f>
        <v/>
      </c>
      <c r="C3307" s="92">
        <f>EOMONTH($B3307,0)</f>
        <v/>
      </c>
      <c r="D3307" s="87">
        <f>$C3307-$B3307+1</f>
        <v/>
      </c>
      <c r="E3307" s="87">
        <f>MONTH($B3307)</f>
        <v/>
      </c>
      <c r="F3307" s="93">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$N3307*IF($O$3262=1,$O3307/$F$3262,1)</f>
        <v/>
      </c>
      <c r="T3307" s="95">
        <f>IF($G3307&lt;nr_MStartP,$S3307,$T3295*(1+IF($G3307&lt;nr_MStartP1,$M$3262,$N$3262)))</f>
        <v/>
      </c>
      <c r="U3307" s="95">
        <f>IF($L$3262,$T3307,$N3307)</f>
        <v/>
      </c>
    </row>
    <row r="3308">
      <c r="A3308" s="90" t="n">
        <v>44</v>
      </c>
      <c r="B3308" s="91">
        <f>EDATE($B3307,1)</f>
        <v/>
      </c>
      <c r="C3308" s="92">
        <f>EOMONTH($B3308,0)</f>
        <v/>
      </c>
      <c r="D3308" s="87">
        <f>$C3308-$B3308+1</f>
        <v/>
      </c>
      <c r="E3308" s="87">
        <f>MONTH($B3308)</f>
        <v/>
      </c>
      <c r="F3308" s="93">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$N3308*IF($O$3262=1,$O3308/$F$3262,1)</f>
        <v/>
      </c>
      <c r="T3308" s="95">
        <f>IF($G3308&lt;nr_MStartP,$S3308,$T3296*(1+IF($G3308&lt;nr_MStartP1,$M$3262,$N$3262)))</f>
        <v/>
      </c>
      <c r="U3308" s="95">
        <f>IF($L$3262,$T3308,$N3308)</f>
        <v/>
      </c>
    </row>
    <row r="3309">
      <c r="A3309" s="90" t="n">
        <v>45</v>
      </c>
      <c r="B3309" s="91">
        <f>EDATE($B3308,1)</f>
        <v/>
      </c>
      <c r="C3309" s="92">
        <f>EOMONTH($B3309,0)</f>
        <v/>
      </c>
      <c r="D3309" s="87">
        <f>$C3309-$B3309+1</f>
        <v/>
      </c>
      <c r="E3309" s="87">
        <f>MONTH($B3309)</f>
        <v/>
      </c>
      <c r="F3309" s="93">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$N3309*IF($O$3262=1,$O3309/$F$3262,1)</f>
        <v/>
      </c>
      <c r="T3309" s="95">
        <f>IF($G3309&lt;nr_MStartP,$S3309,$T3297*(1+IF($G3309&lt;nr_MStartP1,$M$3262,$N$3262)))</f>
        <v/>
      </c>
      <c r="U3309" s="95">
        <f>IF($L$3262,$T3309,$N3309)</f>
        <v/>
      </c>
    </row>
    <row r="3310">
      <c r="A3310" s="90" t="n">
        <v>46</v>
      </c>
      <c r="B3310" s="91">
        <f>EDATE($B3309,1)</f>
        <v/>
      </c>
      <c r="C3310" s="92">
        <f>EOMONTH($B3310,0)</f>
        <v/>
      </c>
      <c r="D3310" s="87">
        <f>$C3310-$B3310+1</f>
        <v/>
      </c>
      <c r="E3310" s="87">
        <f>MONTH($B3310)</f>
        <v/>
      </c>
      <c r="F3310" s="93">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$N3310*IF($O$3262=1,$O3310/$F$3262,1)</f>
        <v/>
      </c>
      <c r="T3310" s="95">
        <f>IF($G3310&lt;nr_MStartP,$S3310,$T3298*(1+IF($G3310&lt;nr_MStartP1,$M$3262,$N$3262)))</f>
        <v/>
      </c>
      <c r="U3310" s="95">
        <f>IF($L$3262,$T3310,$N3310)</f>
        <v/>
      </c>
    </row>
    <row r="3311">
      <c r="A3311" s="90" t="n">
        <v>47</v>
      </c>
      <c r="B3311" s="91">
        <f>EDATE($B3310,1)</f>
        <v/>
      </c>
      <c r="C3311" s="92">
        <f>EOMONTH($B3311,0)</f>
        <v/>
      </c>
      <c r="D3311" s="87">
        <f>$C3311-$B3311+1</f>
        <v/>
      </c>
      <c r="E3311" s="87">
        <f>MONTH($B3311)</f>
        <v/>
      </c>
      <c r="F3311" s="93">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$N3311*IF($O$3262=1,$O3311/$F$3262,1)</f>
        <v/>
      </c>
      <c r="T3311" s="95">
        <f>IF($G3311&lt;nr_MStartP,$S3311,$T3299*(1+IF($G3311&lt;nr_MStartP1,$M$3262,$N$3262)))</f>
        <v/>
      </c>
      <c r="U3311" s="95">
        <f>IF($L$3262,$T3311,$N3311)</f>
        <v/>
      </c>
    </row>
    <row r="3312">
      <c r="A3312" s="90" t="n">
        <v>48</v>
      </c>
      <c r="B3312" s="91">
        <f>EDATE($B3311,1)</f>
        <v/>
      </c>
      <c r="C3312" s="92">
        <f>EOMONTH($B3312,0)</f>
        <v/>
      </c>
      <c r="D3312" s="87">
        <f>$C3312-$B3312+1</f>
        <v/>
      </c>
      <c r="E3312" s="87">
        <f>MONTH($B3312)</f>
        <v/>
      </c>
      <c r="F3312" s="93">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$N3312*IF($O$3262=1,$O3312/$F$3262,1)</f>
        <v/>
      </c>
      <c r="T3312" s="95">
        <f>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04">
        <f>SUMPRODUCT($H$3265:$H$3312,$Q$3265:$Q$3312,$O$3265:$O$3312)/SUMPRODUCT($H$3265:$H$3312,$Q$3265:$Q$3312)</f>
        <v/>
      </c>
      <c r="G3313" s="20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04">
        <f>IF(N(INDEX(lr_mind,61))=0,1,INDEX(lr_mind,61))</f>
        <v/>
      </c>
      <c r="G3316" s="204">
        <f>IF(N(INDEX(lr_m0,61))=0,1,INDEX(lr_m0,61))</f>
        <v/>
      </c>
      <c r="H3316" s="73">
        <f>IF(N(INDEX(lr_m0asof,61))=0,DATE(nr_PlanYear-1,10,1),INDEX(lr_m0asof,61))</f>
        <v/>
      </c>
      <c r="I3316" s="204">
        <f>IF(N(INDEX(lr_m1,61))=0,1,INDEX(lr_m1,61))</f>
        <v/>
      </c>
      <c r="J3316" s="204">
        <f>INDEX(lr_mprior,61)</f>
        <v/>
      </c>
      <c r="K3316" s="20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93">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$N3319*IF($O$3316=1,$O3319/$F$3316,1)</f>
        <v/>
      </c>
      <c r="T3319" s="95">
        <f>IF($G3319&lt;nr_MStartP,$S3319,$T3307*(1+IF($G3319&lt;nr_MStartP1,$M$3316,$N$3316)))</f>
        <v/>
      </c>
      <c r="U3319" s="95">
        <f>IF($L$3316,$T3319,$N3319)</f>
        <v/>
      </c>
    </row>
    <row r="3320">
      <c r="A3320" s="90" t="n">
        <v>2</v>
      </c>
      <c r="B3320" s="91">
        <f>EDATE($B3319,1)</f>
        <v/>
      </c>
      <c r="C3320" s="92">
        <f>EOMONTH($B3320,0)</f>
        <v/>
      </c>
      <c r="D3320" s="87">
        <f>$C3320-$B3320+1</f>
        <v/>
      </c>
      <c r="E3320" s="87">
        <f>MONTH($B3320)</f>
        <v/>
      </c>
      <c r="F3320" s="93">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$N3320*IF($O$3316=1,$O3320/$F$3316,1)</f>
        <v/>
      </c>
      <c r="T3320" s="95">
        <f>IF($G3320&lt;nr_MStartP,$S3320,$T3308*(1+IF($G3320&lt;nr_MStartP1,$M$3316,$N$3316)))</f>
        <v/>
      </c>
      <c r="U3320" s="95">
        <f>IF($L$3316,$T3320,$N3320)</f>
        <v/>
      </c>
    </row>
    <row r="3321">
      <c r="A3321" s="90" t="n">
        <v>3</v>
      </c>
      <c r="B3321" s="91">
        <f>EDATE($B3320,1)</f>
        <v/>
      </c>
      <c r="C3321" s="92">
        <f>EOMONTH($B3321,0)</f>
        <v/>
      </c>
      <c r="D3321" s="87">
        <f>$C3321-$B3321+1</f>
        <v/>
      </c>
      <c r="E3321" s="87">
        <f>MONTH($B3321)</f>
        <v/>
      </c>
      <c r="F3321" s="93">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$N3321*IF($O$3316=1,$O3321/$F$3316,1)</f>
        <v/>
      </c>
      <c r="T3321" s="95">
        <f>IF($G3321&lt;nr_MStartP,$S3321,$T3309*(1+IF($G3321&lt;nr_MStartP1,$M$3316,$N$3316)))</f>
        <v/>
      </c>
      <c r="U3321" s="95">
        <f>IF($L$3316,$T3321,$N3321)</f>
        <v/>
      </c>
    </row>
    <row r="3322">
      <c r="A3322" s="90" t="n">
        <v>4</v>
      </c>
      <c r="B3322" s="91">
        <f>EDATE($B3321,1)</f>
        <v/>
      </c>
      <c r="C3322" s="92">
        <f>EOMONTH($B3322,0)</f>
        <v/>
      </c>
      <c r="D3322" s="87">
        <f>$C3322-$B3322+1</f>
        <v/>
      </c>
      <c r="E3322" s="87">
        <f>MONTH($B3322)</f>
        <v/>
      </c>
      <c r="F3322" s="93">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$N3322*IF($O$3316=1,$O3322/$F$3316,1)</f>
        <v/>
      </c>
      <c r="T3322" s="95">
        <f>IF($G3322&lt;nr_MStartP,$S3322,$T3310*(1+IF($G3322&lt;nr_MStartP1,$M$3316,$N$3316)))</f>
        <v/>
      </c>
      <c r="U3322" s="95">
        <f>IF($L$3316,$T3322,$N3322)</f>
        <v/>
      </c>
    </row>
    <row r="3323">
      <c r="A3323" s="90" t="n">
        <v>5</v>
      </c>
      <c r="B3323" s="91">
        <f>EDATE($B3322,1)</f>
        <v/>
      </c>
      <c r="C3323" s="92">
        <f>EOMONTH($B3323,0)</f>
        <v/>
      </c>
      <c r="D3323" s="87">
        <f>$C3323-$B3323+1</f>
        <v/>
      </c>
      <c r="E3323" s="87">
        <f>MONTH($B3323)</f>
        <v/>
      </c>
      <c r="F3323" s="93">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$N3323*IF($O$3316=1,$O3323/$F$3316,1)</f>
        <v/>
      </c>
      <c r="T3323" s="95">
        <f>IF($G3323&lt;nr_MStartP,$S3323,$T3311*(1+IF($G3323&lt;nr_MStartP1,$M$3316,$N$3316)))</f>
        <v/>
      </c>
      <c r="U3323" s="95">
        <f>IF($L$3316,$T3323,$N3323)</f>
        <v/>
      </c>
    </row>
    <row r="3324">
      <c r="A3324" s="90" t="n">
        <v>6</v>
      </c>
      <c r="B3324" s="91">
        <f>EDATE($B3323,1)</f>
        <v/>
      </c>
      <c r="C3324" s="92">
        <f>EOMONTH($B3324,0)</f>
        <v/>
      </c>
      <c r="D3324" s="87">
        <f>$C3324-$B3324+1</f>
        <v/>
      </c>
      <c r="E3324" s="87">
        <f>MONTH($B3324)</f>
        <v/>
      </c>
      <c r="F3324" s="93">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$N3324*IF($O$3316=1,$O3324/$F$3316,1)</f>
        <v/>
      </c>
      <c r="T3324" s="95">
        <f>IF($G3324&lt;nr_MStartP,$S3324,$T3312*(1+IF($G3324&lt;nr_MStartP1,$M$3316,$N$3316)))</f>
        <v/>
      </c>
      <c r="U3324" s="95">
        <f>IF($L$3316,$T3324,$N3324)</f>
        <v/>
      </c>
    </row>
    <row r="3325">
      <c r="A3325" s="90" t="n">
        <v>7</v>
      </c>
      <c r="B3325" s="91">
        <f>EDATE($B3324,1)</f>
        <v/>
      </c>
      <c r="C3325" s="92">
        <f>EOMONTH($B3325,0)</f>
        <v/>
      </c>
      <c r="D3325" s="87">
        <f>$C3325-$B3325+1</f>
        <v/>
      </c>
      <c r="E3325" s="87">
        <f>MONTH($B3325)</f>
        <v/>
      </c>
      <c r="F3325" s="93">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$N3325*IF($O$3316=1,$O3325/$F$3316,1)</f>
        <v/>
      </c>
      <c r="T3325" s="95">
        <f>IF($G3325&lt;nr_MStartP,$S3325,$T3313*(1+IF($G3325&lt;nr_MStartP1,$M$3316,$N$3316)))</f>
        <v/>
      </c>
      <c r="U3325" s="95">
        <f>IF($L$3316,$T3325,$N3325)</f>
        <v/>
      </c>
    </row>
    <row r="3326">
      <c r="A3326" s="90" t="n">
        <v>8</v>
      </c>
      <c r="B3326" s="91">
        <f>EDATE($B3325,1)</f>
        <v/>
      </c>
      <c r="C3326" s="92">
        <f>EOMONTH($B3326,0)</f>
        <v/>
      </c>
      <c r="D3326" s="87">
        <f>$C3326-$B3326+1</f>
        <v/>
      </c>
      <c r="E3326" s="87">
        <f>MONTH($B3326)</f>
        <v/>
      </c>
      <c r="F3326" s="93">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$N3326*IF($O$3316=1,$O3326/$F$3316,1)</f>
        <v/>
      </c>
      <c r="T3326" s="95">
        <f>IF($G3326&lt;nr_MStartP,$S3326,$T3314*(1+IF($G3326&lt;nr_MStartP1,$M$3316,$N$3316)))</f>
        <v/>
      </c>
      <c r="U3326" s="95">
        <f>IF($L$3316,$T3326,$N3326)</f>
        <v/>
      </c>
    </row>
    <row r="3327">
      <c r="A3327" s="90" t="n">
        <v>9</v>
      </c>
      <c r="B3327" s="91">
        <f>EDATE($B3326,1)</f>
        <v/>
      </c>
      <c r="C3327" s="92">
        <f>EOMONTH($B3327,0)</f>
        <v/>
      </c>
      <c r="D3327" s="87">
        <f>$C3327-$B3327+1</f>
        <v/>
      </c>
      <c r="E3327" s="87">
        <f>MONTH($B3327)</f>
        <v/>
      </c>
      <c r="F3327" s="93">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$N3327*IF($O$3316=1,$O3327/$F$3316,1)</f>
        <v/>
      </c>
      <c r="T3327" s="95">
        <f>IF($G3327&lt;nr_MStartP,$S3327,$T3315*(1+IF($G3327&lt;nr_MStartP1,$M$3316,$N$3316)))</f>
        <v/>
      </c>
      <c r="U3327" s="95">
        <f>IF($L$3316,$T3327,$N3327)</f>
        <v/>
      </c>
    </row>
    <row r="3328">
      <c r="A3328" s="90" t="n">
        <v>10</v>
      </c>
      <c r="B3328" s="91">
        <f>EDATE($B3327,1)</f>
        <v/>
      </c>
      <c r="C3328" s="92">
        <f>EOMONTH($B3328,0)</f>
        <v/>
      </c>
      <c r="D3328" s="87">
        <f>$C3328-$B3328+1</f>
        <v/>
      </c>
      <c r="E3328" s="87">
        <f>MONTH($B3328)</f>
        <v/>
      </c>
      <c r="F3328" s="93">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$N3328*IF($O$3316=1,$O3328/$F$3316,1)</f>
        <v/>
      </c>
      <c r="T3328" s="95">
        <f>IF($G3328&lt;nr_MStartP,$S3328,$T3316*(1+IF($G3328&lt;nr_MStartP1,$M$3316,$N$3316)))</f>
        <v/>
      </c>
      <c r="U3328" s="95">
        <f>IF($L$3316,$T3328,$N3328)</f>
        <v/>
      </c>
    </row>
    <row r="3329">
      <c r="A3329" s="90" t="n">
        <v>11</v>
      </c>
      <c r="B3329" s="91">
        <f>EDATE($B3328,1)</f>
        <v/>
      </c>
      <c r="C3329" s="92">
        <f>EOMONTH($B3329,0)</f>
        <v/>
      </c>
      <c r="D3329" s="87">
        <f>$C3329-$B3329+1</f>
        <v/>
      </c>
      <c r="E3329" s="87">
        <f>MONTH($B3329)</f>
        <v/>
      </c>
      <c r="F3329" s="93">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$N3329*IF($O$3316=1,$O3329/$F$3316,1)</f>
        <v/>
      </c>
      <c r="T3329" s="95">
        <f>IF($G3329&lt;nr_MStartP,$S3329,$T3317*(1+IF($G3329&lt;nr_MStartP1,$M$3316,$N$3316)))</f>
        <v/>
      </c>
      <c r="U3329" s="95">
        <f>IF($L$3316,$T3329,$N3329)</f>
        <v/>
      </c>
    </row>
    <row r="3330">
      <c r="A3330" s="90" t="n">
        <v>12</v>
      </c>
      <c r="B3330" s="91">
        <f>EDATE($B3329,1)</f>
        <v/>
      </c>
      <c r="C3330" s="92">
        <f>EOMONTH($B3330,0)</f>
        <v/>
      </c>
      <c r="D3330" s="87">
        <f>$C3330-$B3330+1</f>
        <v/>
      </c>
      <c r="E3330" s="87">
        <f>MONTH($B3330)</f>
        <v/>
      </c>
      <c r="F3330" s="93">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$N3330*IF($O$3316=1,$O3330/$F$3316,1)</f>
        <v/>
      </c>
      <c r="T3330" s="95">
        <f>IF($G3330&lt;nr_MStartP,$S3330,$T3318*(1+IF($G3330&lt;nr_MStartP1,$M$3316,$N$3316)))</f>
        <v/>
      </c>
      <c r="U3330" s="95">
        <f>IF($L$3316,$T3330,$N3330)</f>
        <v/>
      </c>
    </row>
    <row r="3331">
      <c r="A3331" s="90" t="n">
        <v>13</v>
      </c>
      <c r="B3331" s="91">
        <f>EDATE($B3330,1)</f>
        <v/>
      </c>
      <c r="C3331" s="92">
        <f>EOMONTH($B3331,0)</f>
        <v/>
      </c>
      <c r="D3331" s="87">
        <f>$C3331-$B3331+1</f>
        <v/>
      </c>
      <c r="E3331" s="87">
        <f>MONTH($B3331)</f>
        <v/>
      </c>
      <c r="F3331" s="93">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$N3331*IF($O$3316=1,$O3331/$F$3316,1)</f>
        <v/>
      </c>
      <c r="T3331" s="95">
        <f>IF($G3331&lt;nr_MStartP,$S3331,$T3319*(1+IF($G3331&lt;nr_MStartP1,$M$3316,$N$3316)))</f>
        <v/>
      </c>
      <c r="U3331" s="95">
        <f>IF($L$3316,$T3331,$N3331)</f>
        <v/>
      </c>
    </row>
    <row r="3332">
      <c r="A3332" s="90" t="n">
        <v>14</v>
      </c>
      <c r="B3332" s="91">
        <f>EDATE($B3331,1)</f>
        <v/>
      </c>
      <c r="C3332" s="92">
        <f>EOMONTH($B3332,0)</f>
        <v/>
      </c>
      <c r="D3332" s="87">
        <f>$C3332-$B3332+1</f>
        <v/>
      </c>
      <c r="E3332" s="87">
        <f>MONTH($B3332)</f>
        <v/>
      </c>
      <c r="F3332" s="93">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$N3332*IF($O$3316=1,$O3332/$F$3316,1)</f>
        <v/>
      </c>
      <c r="T3332" s="95">
        <f>IF($G3332&lt;nr_MStartP,$S3332,$T3320*(1+IF($G3332&lt;nr_MStartP1,$M$3316,$N$3316)))</f>
        <v/>
      </c>
      <c r="U3332" s="95">
        <f>IF($L$3316,$T3332,$N3332)</f>
        <v/>
      </c>
    </row>
    <row r="3333">
      <c r="A3333" s="90" t="n">
        <v>15</v>
      </c>
      <c r="B3333" s="91">
        <f>EDATE($B3332,1)</f>
        <v/>
      </c>
      <c r="C3333" s="92">
        <f>EOMONTH($B3333,0)</f>
        <v/>
      </c>
      <c r="D3333" s="87">
        <f>$C3333-$B3333+1</f>
        <v/>
      </c>
      <c r="E3333" s="87">
        <f>MONTH($B3333)</f>
        <v/>
      </c>
      <c r="F3333" s="93">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$N3333*IF($O$3316=1,$O3333/$F$3316,1)</f>
        <v/>
      </c>
      <c r="T3333" s="95">
        <f>IF($G3333&lt;nr_MStartP,$S3333,$T3321*(1+IF($G3333&lt;nr_MStartP1,$M$3316,$N$3316)))</f>
        <v/>
      </c>
      <c r="U3333" s="95">
        <f>IF($L$3316,$T3333,$N3333)</f>
        <v/>
      </c>
    </row>
    <row r="3334">
      <c r="A3334" s="90" t="n">
        <v>16</v>
      </c>
      <c r="B3334" s="91">
        <f>EDATE($B3333,1)</f>
        <v/>
      </c>
      <c r="C3334" s="92">
        <f>EOMONTH($B3334,0)</f>
        <v/>
      </c>
      <c r="D3334" s="87">
        <f>$C3334-$B3334+1</f>
        <v/>
      </c>
      <c r="E3334" s="87">
        <f>MONTH($B3334)</f>
        <v/>
      </c>
      <c r="F3334" s="93">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$N3334*IF($O$3316=1,$O3334/$F$3316,1)</f>
        <v/>
      </c>
      <c r="T3334" s="95">
        <f>IF($G3334&lt;nr_MStartP,$S3334,$T3322*(1+IF($G3334&lt;nr_MStartP1,$M$3316,$N$3316)))</f>
        <v/>
      </c>
      <c r="U3334" s="95">
        <f>IF($L$3316,$T3334,$N3334)</f>
        <v/>
      </c>
    </row>
    <row r="3335">
      <c r="A3335" s="90" t="n">
        <v>17</v>
      </c>
      <c r="B3335" s="91">
        <f>EDATE($B3334,1)</f>
        <v/>
      </c>
      <c r="C3335" s="92">
        <f>EOMONTH($B3335,0)</f>
        <v/>
      </c>
      <c r="D3335" s="87">
        <f>$C3335-$B3335+1</f>
        <v/>
      </c>
      <c r="E3335" s="87">
        <f>MONTH($B3335)</f>
        <v/>
      </c>
      <c r="F3335" s="93">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$N3335*IF($O$3316=1,$O3335/$F$3316,1)</f>
        <v/>
      </c>
      <c r="T3335" s="95">
        <f>IF($G3335&lt;nr_MStartP,$S3335,$T3323*(1+IF($G3335&lt;nr_MStartP1,$M$3316,$N$3316)))</f>
        <v/>
      </c>
      <c r="U3335" s="95">
        <f>IF($L$3316,$T3335,$N3335)</f>
        <v/>
      </c>
    </row>
    <row r="3336">
      <c r="A3336" s="90" t="n">
        <v>18</v>
      </c>
      <c r="B3336" s="91">
        <f>EDATE($B3335,1)</f>
        <v/>
      </c>
      <c r="C3336" s="92">
        <f>EOMONTH($B3336,0)</f>
        <v/>
      </c>
      <c r="D3336" s="87">
        <f>$C3336-$B3336+1</f>
        <v/>
      </c>
      <c r="E3336" s="87">
        <f>MONTH($B3336)</f>
        <v/>
      </c>
      <c r="F3336" s="93">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$N3336*IF($O$3316=1,$O3336/$F$3316,1)</f>
        <v/>
      </c>
      <c r="T3336" s="95">
        <f>IF($G3336&lt;nr_MStartP,$S3336,$T3324*(1+IF($G3336&lt;nr_MStartP1,$M$3316,$N$3316)))</f>
        <v/>
      </c>
      <c r="U3336" s="95">
        <f>IF($L$3316,$T3336,$N3336)</f>
        <v/>
      </c>
    </row>
    <row r="3337">
      <c r="A3337" s="90" t="n">
        <v>19</v>
      </c>
      <c r="B3337" s="91">
        <f>EDATE($B3336,1)</f>
        <v/>
      </c>
      <c r="C3337" s="92">
        <f>EOMONTH($B3337,0)</f>
        <v/>
      </c>
      <c r="D3337" s="87">
        <f>$C3337-$B3337+1</f>
        <v/>
      </c>
      <c r="E3337" s="87">
        <f>MONTH($B3337)</f>
        <v/>
      </c>
      <c r="F3337" s="93">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$N3337*IF($O$3316=1,$O3337/$F$3316,1)</f>
        <v/>
      </c>
      <c r="T3337" s="95">
        <f>IF($G3337&lt;nr_MStartP,$S3337,$T3325*(1+IF($G3337&lt;nr_MStartP1,$M$3316,$N$3316)))</f>
        <v/>
      </c>
      <c r="U3337" s="95">
        <f>IF($L$3316,$T3337,$N3337)</f>
        <v/>
      </c>
    </row>
    <row r="3338">
      <c r="A3338" s="90" t="n">
        <v>20</v>
      </c>
      <c r="B3338" s="91">
        <f>EDATE($B3337,1)</f>
        <v/>
      </c>
      <c r="C3338" s="92">
        <f>EOMONTH($B3338,0)</f>
        <v/>
      </c>
      <c r="D3338" s="87">
        <f>$C3338-$B3338+1</f>
        <v/>
      </c>
      <c r="E3338" s="87">
        <f>MONTH($B3338)</f>
        <v/>
      </c>
      <c r="F3338" s="93">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$N3338*IF($O$3316=1,$O3338/$F$3316,1)</f>
        <v/>
      </c>
      <c r="T3338" s="95">
        <f>IF($G3338&lt;nr_MStartP,$S3338,$T3326*(1+IF($G3338&lt;nr_MStartP1,$M$3316,$N$3316)))</f>
        <v/>
      </c>
      <c r="U3338" s="95">
        <f>IF($L$3316,$T3338,$N3338)</f>
        <v/>
      </c>
    </row>
    <row r="3339">
      <c r="A3339" s="90" t="n">
        <v>21</v>
      </c>
      <c r="B3339" s="91">
        <f>EDATE($B3338,1)</f>
        <v/>
      </c>
      <c r="C3339" s="92">
        <f>EOMONTH($B3339,0)</f>
        <v/>
      </c>
      <c r="D3339" s="87">
        <f>$C3339-$B3339+1</f>
        <v/>
      </c>
      <c r="E3339" s="87">
        <f>MONTH($B3339)</f>
        <v/>
      </c>
      <c r="F3339" s="93">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$N3339*IF($O$3316=1,$O3339/$F$3316,1)</f>
        <v/>
      </c>
      <c r="T3339" s="95">
        <f>IF($G3339&lt;nr_MStartP,$S3339,$T3327*(1+IF($G3339&lt;nr_MStartP1,$M$3316,$N$3316)))</f>
        <v/>
      </c>
      <c r="U3339" s="95">
        <f>IF($L$3316,$T3339,$N3339)</f>
        <v/>
      </c>
    </row>
    <row r="3340">
      <c r="A3340" s="90" t="n">
        <v>22</v>
      </c>
      <c r="B3340" s="91">
        <f>EDATE($B3339,1)</f>
        <v/>
      </c>
      <c r="C3340" s="92">
        <f>EOMONTH($B3340,0)</f>
        <v/>
      </c>
      <c r="D3340" s="87">
        <f>$C3340-$B3340+1</f>
        <v/>
      </c>
      <c r="E3340" s="87">
        <f>MONTH($B3340)</f>
        <v/>
      </c>
      <c r="F3340" s="93">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$N3340*IF($O$3316=1,$O3340/$F$3316,1)</f>
        <v/>
      </c>
      <c r="T3340" s="95">
        <f>IF($G3340&lt;nr_MStartP,$S3340,$T3328*(1+IF($G3340&lt;nr_MStartP1,$M$3316,$N$3316)))</f>
        <v/>
      </c>
      <c r="U3340" s="95">
        <f>IF($L$3316,$T3340,$N3340)</f>
        <v/>
      </c>
    </row>
    <row r="3341">
      <c r="A3341" s="90" t="n">
        <v>23</v>
      </c>
      <c r="B3341" s="91">
        <f>EDATE($B3340,1)</f>
        <v/>
      </c>
      <c r="C3341" s="92">
        <f>EOMONTH($B3341,0)</f>
        <v/>
      </c>
      <c r="D3341" s="87">
        <f>$C3341-$B3341+1</f>
        <v/>
      </c>
      <c r="E3341" s="87">
        <f>MONTH($B3341)</f>
        <v/>
      </c>
      <c r="F3341" s="93">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$N3341*IF($O$3316=1,$O3341/$F$3316,1)</f>
        <v/>
      </c>
      <c r="T3341" s="95">
        <f>IF($G3341&lt;nr_MStartP,$S3341,$T3329*(1+IF($G3341&lt;nr_MStartP1,$M$3316,$N$3316)))</f>
        <v/>
      </c>
      <c r="U3341" s="95">
        <f>IF($L$3316,$T3341,$N3341)</f>
        <v/>
      </c>
    </row>
    <row r="3342">
      <c r="A3342" s="90" t="n">
        <v>24</v>
      </c>
      <c r="B3342" s="91">
        <f>EDATE($B3341,1)</f>
        <v/>
      </c>
      <c r="C3342" s="92">
        <f>EOMONTH($B3342,0)</f>
        <v/>
      </c>
      <c r="D3342" s="87">
        <f>$C3342-$B3342+1</f>
        <v/>
      </c>
      <c r="E3342" s="87">
        <f>MONTH($B3342)</f>
        <v/>
      </c>
      <c r="F3342" s="93">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$N3342*IF($O$3316=1,$O3342/$F$3316,1)</f>
        <v/>
      </c>
      <c r="T3342" s="95">
        <f>IF($G3342&lt;nr_MStartP,$S3342,$T3330*(1+IF($G3342&lt;nr_MStartP1,$M$3316,$N$3316)))</f>
        <v/>
      </c>
      <c r="U3342" s="95">
        <f>IF($L$3316,$T3342,$N3342)</f>
        <v/>
      </c>
    </row>
    <row r="3343">
      <c r="A3343" s="90" t="n">
        <v>25</v>
      </c>
      <c r="B3343" s="91">
        <f>EDATE($B3342,1)</f>
        <v/>
      </c>
      <c r="C3343" s="92">
        <f>EOMONTH($B3343,0)</f>
        <v/>
      </c>
      <c r="D3343" s="87">
        <f>$C3343-$B3343+1</f>
        <v/>
      </c>
      <c r="E3343" s="87">
        <f>MONTH($B3343)</f>
        <v/>
      </c>
      <c r="F3343" s="93">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$N3343*IF($O$3316=1,$O3343/$F$3316,1)</f>
        <v/>
      </c>
      <c r="T3343" s="95">
        <f>IF($G3343&lt;nr_MStartP,$S3343,$T3331*(1+IF($G3343&lt;nr_MStartP1,$M$3316,$N$3316)))</f>
        <v/>
      </c>
      <c r="U3343" s="95">
        <f>IF($L$3316,$T3343,$N3343)</f>
        <v/>
      </c>
    </row>
    <row r="3344">
      <c r="A3344" s="90" t="n">
        <v>26</v>
      </c>
      <c r="B3344" s="91">
        <f>EDATE($B3343,1)</f>
        <v/>
      </c>
      <c r="C3344" s="92">
        <f>EOMONTH($B3344,0)</f>
        <v/>
      </c>
      <c r="D3344" s="87">
        <f>$C3344-$B3344+1</f>
        <v/>
      </c>
      <c r="E3344" s="87">
        <f>MONTH($B3344)</f>
        <v/>
      </c>
      <c r="F3344" s="93">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$N3344*IF($O$3316=1,$O3344/$F$3316,1)</f>
        <v/>
      </c>
      <c r="T3344" s="95">
        <f>IF($G3344&lt;nr_MStartP,$S3344,$T3332*(1+IF($G3344&lt;nr_MStartP1,$M$3316,$N$3316)))</f>
        <v/>
      </c>
      <c r="U3344" s="95">
        <f>IF($L$3316,$T3344,$N3344)</f>
        <v/>
      </c>
    </row>
    <row r="3345">
      <c r="A3345" s="90" t="n">
        <v>27</v>
      </c>
      <c r="B3345" s="91">
        <f>EDATE($B3344,1)</f>
        <v/>
      </c>
      <c r="C3345" s="92">
        <f>EOMONTH($B3345,0)</f>
        <v/>
      </c>
      <c r="D3345" s="87">
        <f>$C3345-$B3345+1</f>
        <v/>
      </c>
      <c r="E3345" s="87">
        <f>MONTH($B3345)</f>
        <v/>
      </c>
      <c r="F3345" s="93">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$N3345*IF($O$3316=1,$O3345/$F$3316,1)</f>
        <v/>
      </c>
      <c r="T3345" s="95">
        <f>IF($G3345&lt;nr_MStartP,$S3345,$T3333*(1+IF($G3345&lt;nr_MStartP1,$M$3316,$N$3316)))</f>
        <v/>
      </c>
      <c r="U3345" s="95">
        <f>IF($L$3316,$T3345,$N3345)</f>
        <v/>
      </c>
    </row>
    <row r="3346">
      <c r="A3346" s="90" t="n">
        <v>28</v>
      </c>
      <c r="B3346" s="91">
        <f>EDATE($B3345,1)</f>
        <v/>
      </c>
      <c r="C3346" s="92">
        <f>EOMONTH($B3346,0)</f>
        <v/>
      </c>
      <c r="D3346" s="87">
        <f>$C3346-$B3346+1</f>
        <v/>
      </c>
      <c r="E3346" s="87">
        <f>MONTH($B3346)</f>
        <v/>
      </c>
      <c r="F3346" s="93">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$N3346*IF($O$3316=1,$O3346/$F$3316,1)</f>
        <v/>
      </c>
      <c r="T3346" s="95">
        <f>IF($G3346&lt;nr_MStartP,$S3346,$T3334*(1+IF($G3346&lt;nr_MStartP1,$M$3316,$N$3316)))</f>
        <v/>
      </c>
      <c r="U3346" s="95">
        <f>IF($L$3316,$T3346,$N3346)</f>
        <v/>
      </c>
    </row>
    <row r="3347">
      <c r="A3347" s="90" t="n">
        <v>29</v>
      </c>
      <c r="B3347" s="91">
        <f>EDATE($B3346,1)</f>
        <v/>
      </c>
      <c r="C3347" s="92">
        <f>EOMONTH($B3347,0)</f>
        <v/>
      </c>
      <c r="D3347" s="87">
        <f>$C3347-$B3347+1</f>
        <v/>
      </c>
      <c r="E3347" s="87">
        <f>MONTH($B3347)</f>
        <v/>
      </c>
      <c r="F3347" s="93">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$N3347*IF($O$3316=1,$O3347/$F$3316,1)</f>
        <v/>
      </c>
      <c r="T3347" s="95">
        <f>IF($G3347&lt;nr_MStartP,$S3347,$T3335*(1+IF($G3347&lt;nr_MStartP1,$M$3316,$N$3316)))</f>
        <v/>
      </c>
      <c r="U3347" s="95">
        <f>IF($L$3316,$T3347,$N3347)</f>
        <v/>
      </c>
    </row>
    <row r="3348">
      <c r="A3348" s="90" t="n">
        <v>30</v>
      </c>
      <c r="B3348" s="91">
        <f>EDATE($B3347,1)</f>
        <v/>
      </c>
      <c r="C3348" s="92">
        <f>EOMONTH($B3348,0)</f>
        <v/>
      </c>
      <c r="D3348" s="87">
        <f>$C3348-$B3348+1</f>
        <v/>
      </c>
      <c r="E3348" s="87">
        <f>MONTH($B3348)</f>
        <v/>
      </c>
      <c r="F3348" s="93">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$N3348*IF($O$3316=1,$O3348/$F$3316,1)</f>
        <v/>
      </c>
      <c r="T3348" s="95">
        <f>IF($G3348&lt;nr_MStartP,$S3348,$T3336*(1+IF($G3348&lt;nr_MStartP1,$M$3316,$N$3316)))</f>
        <v/>
      </c>
      <c r="U3348" s="95">
        <f>IF($L$3316,$T3348,$N3348)</f>
        <v/>
      </c>
    </row>
    <row r="3349">
      <c r="A3349" s="90" t="n">
        <v>31</v>
      </c>
      <c r="B3349" s="91">
        <f>EDATE($B3348,1)</f>
        <v/>
      </c>
      <c r="C3349" s="92">
        <f>EOMONTH($B3349,0)</f>
        <v/>
      </c>
      <c r="D3349" s="87">
        <f>$C3349-$B3349+1</f>
        <v/>
      </c>
      <c r="E3349" s="87">
        <f>MONTH($B3349)</f>
        <v/>
      </c>
      <c r="F3349" s="93">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$N3349*IF($O$3316=1,$O3349/$F$3316,1)</f>
        <v/>
      </c>
      <c r="T3349" s="95">
        <f>IF($G3349&lt;nr_MStartP,$S3349,$T3337*(1+IF($G3349&lt;nr_MStartP1,$M$3316,$N$3316)))</f>
        <v/>
      </c>
      <c r="U3349" s="95">
        <f>IF($L$3316,$T3349,$N3349)</f>
        <v/>
      </c>
    </row>
    <row r="3350">
      <c r="A3350" s="90" t="n">
        <v>32</v>
      </c>
      <c r="B3350" s="91">
        <f>EDATE($B3349,1)</f>
        <v/>
      </c>
      <c r="C3350" s="92">
        <f>EOMONTH($B3350,0)</f>
        <v/>
      </c>
      <c r="D3350" s="87">
        <f>$C3350-$B3350+1</f>
        <v/>
      </c>
      <c r="E3350" s="87">
        <f>MONTH($B3350)</f>
        <v/>
      </c>
      <c r="F3350" s="93">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$N3350*IF($O$3316=1,$O3350/$F$3316,1)</f>
        <v/>
      </c>
      <c r="T3350" s="95">
        <f>IF($G3350&lt;nr_MStartP,$S3350,$T3338*(1+IF($G3350&lt;nr_MStartP1,$M$3316,$N$3316)))</f>
        <v/>
      </c>
      <c r="U3350" s="95">
        <f>IF($L$3316,$T3350,$N3350)</f>
        <v/>
      </c>
    </row>
    <row r="3351">
      <c r="A3351" s="90" t="n">
        <v>33</v>
      </c>
      <c r="B3351" s="91">
        <f>EDATE($B3350,1)</f>
        <v/>
      </c>
      <c r="C3351" s="92">
        <f>EOMONTH($B3351,0)</f>
        <v/>
      </c>
      <c r="D3351" s="87">
        <f>$C3351-$B3351+1</f>
        <v/>
      </c>
      <c r="E3351" s="87">
        <f>MONTH($B3351)</f>
        <v/>
      </c>
      <c r="F3351" s="93">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$N3351*IF($O$3316=1,$O3351/$F$3316,1)</f>
        <v/>
      </c>
      <c r="T3351" s="95">
        <f>IF($G3351&lt;nr_MStartP,$S3351,$T3339*(1+IF($G3351&lt;nr_MStartP1,$M$3316,$N$3316)))</f>
        <v/>
      </c>
      <c r="U3351" s="95">
        <f>IF($L$3316,$T3351,$N3351)</f>
        <v/>
      </c>
    </row>
    <row r="3352">
      <c r="A3352" s="90" t="n">
        <v>34</v>
      </c>
      <c r="B3352" s="91">
        <f>EDATE($B3351,1)</f>
        <v/>
      </c>
      <c r="C3352" s="92">
        <f>EOMONTH($B3352,0)</f>
        <v/>
      </c>
      <c r="D3352" s="87">
        <f>$C3352-$B3352+1</f>
        <v/>
      </c>
      <c r="E3352" s="87">
        <f>MONTH($B3352)</f>
        <v/>
      </c>
      <c r="F3352" s="93">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$N3352*IF($O$3316=1,$O3352/$F$3316,1)</f>
        <v/>
      </c>
      <c r="T3352" s="95">
        <f>IF($G3352&lt;nr_MStartP,$S3352,$T3340*(1+IF($G3352&lt;nr_MStartP1,$M$3316,$N$3316)))</f>
        <v/>
      </c>
      <c r="U3352" s="95">
        <f>IF($L$3316,$T3352,$N3352)</f>
        <v/>
      </c>
    </row>
    <row r="3353">
      <c r="A3353" s="90" t="n">
        <v>35</v>
      </c>
      <c r="B3353" s="91">
        <f>EDATE($B3352,1)</f>
        <v/>
      </c>
      <c r="C3353" s="92">
        <f>EOMONTH($B3353,0)</f>
        <v/>
      </c>
      <c r="D3353" s="87">
        <f>$C3353-$B3353+1</f>
        <v/>
      </c>
      <c r="E3353" s="87">
        <f>MONTH($B3353)</f>
        <v/>
      </c>
      <c r="F3353" s="93">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$N3353*IF($O$3316=1,$O3353/$F$3316,1)</f>
        <v/>
      </c>
      <c r="T3353" s="95">
        <f>IF($G3353&lt;nr_MStartP,$S3353,$T3341*(1+IF($G3353&lt;nr_MStartP1,$M$3316,$N$3316)))</f>
        <v/>
      </c>
      <c r="U3353" s="95">
        <f>IF($L$3316,$T3353,$N3353)</f>
        <v/>
      </c>
    </row>
    <row r="3354">
      <c r="A3354" s="90" t="n">
        <v>36</v>
      </c>
      <c r="B3354" s="91">
        <f>EDATE($B3353,1)</f>
        <v/>
      </c>
      <c r="C3354" s="92">
        <f>EOMONTH($B3354,0)</f>
        <v/>
      </c>
      <c r="D3354" s="87">
        <f>$C3354-$B3354+1</f>
        <v/>
      </c>
      <c r="E3354" s="87">
        <f>MONTH($B3354)</f>
        <v/>
      </c>
      <c r="F3354" s="93">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$N3354*IF($O$3316=1,$O3354/$F$3316,1)</f>
        <v/>
      </c>
      <c r="T3354" s="95">
        <f>IF($G3354&lt;nr_MStartP,$S3354,$T3342*(1+IF($G3354&lt;nr_MStartP1,$M$3316,$N$3316)))</f>
        <v/>
      </c>
      <c r="U3354" s="95">
        <f>IF($L$3316,$T3354,$N3354)</f>
        <v/>
      </c>
    </row>
    <row r="3355">
      <c r="A3355" s="90" t="n">
        <v>37</v>
      </c>
      <c r="B3355" s="91">
        <f>EDATE($B3354,1)</f>
        <v/>
      </c>
      <c r="C3355" s="92">
        <f>EOMONTH($B3355,0)</f>
        <v/>
      </c>
      <c r="D3355" s="87">
        <f>$C3355-$B3355+1</f>
        <v/>
      </c>
      <c r="E3355" s="87">
        <f>MONTH($B3355)</f>
        <v/>
      </c>
      <c r="F3355" s="93">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$N3355*IF($O$3316=1,$O3355/$F$3316,1)</f>
        <v/>
      </c>
      <c r="T3355" s="95">
        <f>IF($G3355&lt;nr_MStartP,$S3355,$T3343*(1+IF($G3355&lt;nr_MStartP1,$M$3316,$N$3316)))</f>
        <v/>
      </c>
      <c r="U3355" s="95">
        <f>IF($L$3316,$T3355,$N3355)</f>
        <v/>
      </c>
    </row>
    <row r="3356">
      <c r="A3356" s="90" t="n">
        <v>38</v>
      </c>
      <c r="B3356" s="91">
        <f>EDATE($B3355,1)</f>
        <v/>
      </c>
      <c r="C3356" s="92">
        <f>EOMONTH($B3356,0)</f>
        <v/>
      </c>
      <c r="D3356" s="87">
        <f>$C3356-$B3356+1</f>
        <v/>
      </c>
      <c r="E3356" s="87">
        <f>MONTH($B3356)</f>
        <v/>
      </c>
      <c r="F3356" s="93">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$N3356*IF($O$3316=1,$O3356/$F$3316,1)</f>
        <v/>
      </c>
      <c r="T3356" s="95">
        <f>IF($G3356&lt;nr_MStartP,$S3356,$T3344*(1+IF($G3356&lt;nr_MStartP1,$M$3316,$N$3316)))</f>
        <v/>
      </c>
      <c r="U3356" s="95">
        <f>IF($L$3316,$T3356,$N3356)</f>
        <v/>
      </c>
    </row>
    <row r="3357">
      <c r="A3357" s="90" t="n">
        <v>39</v>
      </c>
      <c r="B3357" s="91">
        <f>EDATE($B3356,1)</f>
        <v/>
      </c>
      <c r="C3357" s="92">
        <f>EOMONTH($B3357,0)</f>
        <v/>
      </c>
      <c r="D3357" s="87">
        <f>$C3357-$B3357+1</f>
        <v/>
      </c>
      <c r="E3357" s="87">
        <f>MONTH($B3357)</f>
        <v/>
      </c>
      <c r="F3357" s="93">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$N3357*IF($O$3316=1,$O3357/$F$3316,1)</f>
        <v/>
      </c>
      <c r="T3357" s="95">
        <f>IF($G3357&lt;nr_MStartP,$S3357,$T3345*(1+IF($G3357&lt;nr_MStartP1,$M$3316,$N$3316)))</f>
        <v/>
      </c>
      <c r="U3357" s="95">
        <f>IF($L$3316,$T3357,$N3357)</f>
        <v/>
      </c>
    </row>
    <row r="3358">
      <c r="A3358" s="90" t="n">
        <v>40</v>
      </c>
      <c r="B3358" s="91">
        <f>EDATE($B3357,1)</f>
        <v/>
      </c>
      <c r="C3358" s="92">
        <f>EOMONTH($B3358,0)</f>
        <v/>
      </c>
      <c r="D3358" s="87">
        <f>$C3358-$B3358+1</f>
        <v/>
      </c>
      <c r="E3358" s="87">
        <f>MONTH($B3358)</f>
        <v/>
      </c>
      <c r="F3358" s="93">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$N3358*IF($O$3316=1,$O3358/$F$3316,1)</f>
        <v/>
      </c>
      <c r="T3358" s="95">
        <f>IF($G3358&lt;nr_MStartP,$S3358,$T3346*(1+IF($G3358&lt;nr_MStartP1,$M$3316,$N$3316)))</f>
        <v/>
      </c>
      <c r="U3358" s="95">
        <f>IF($L$3316,$T3358,$N3358)</f>
        <v/>
      </c>
    </row>
    <row r="3359">
      <c r="A3359" s="90" t="n">
        <v>41</v>
      </c>
      <c r="B3359" s="91">
        <f>EDATE($B3358,1)</f>
        <v/>
      </c>
      <c r="C3359" s="92">
        <f>EOMONTH($B3359,0)</f>
        <v/>
      </c>
      <c r="D3359" s="87">
        <f>$C3359-$B3359+1</f>
        <v/>
      </c>
      <c r="E3359" s="87">
        <f>MONTH($B3359)</f>
        <v/>
      </c>
      <c r="F3359" s="93">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$N3359*IF($O$3316=1,$O3359/$F$3316,1)</f>
        <v/>
      </c>
      <c r="T3359" s="95">
        <f>IF($G3359&lt;nr_MStartP,$S3359,$T3347*(1+IF($G3359&lt;nr_MStartP1,$M$3316,$N$3316)))</f>
        <v/>
      </c>
      <c r="U3359" s="95">
        <f>IF($L$3316,$T3359,$N3359)</f>
        <v/>
      </c>
    </row>
    <row r="3360">
      <c r="A3360" s="90" t="n">
        <v>42</v>
      </c>
      <c r="B3360" s="91">
        <f>EDATE($B3359,1)</f>
        <v/>
      </c>
      <c r="C3360" s="92">
        <f>EOMONTH($B3360,0)</f>
        <v/>
      </c>
      <c r="D3360" s="87">
        <f>$C3360-$B3360+1</f>
        <v/>
      </c>
      <c r="E3360" s="87">
        <f>MONTH($B3360)</f>
        <v/>
      </c>
      <c r="F3360" s="93">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$N3360*IF($O$3316=1,$O3360/$F$3316,1)</f>
        <v/>
      </c>
      <c r="T3360" s="95">
        <f>IF($G3360&lt;nr_MStartP,$S3360,$T3348*(1+IF($G3360&lt;nr_MStartP1,$M$3316,$N$3316)))</f>
        <v/>
      </c>
      <c r="U3360" s="95">
        <f>IF($L$3316,$T3360,$N3360)</f>
        <v/>
      </c>
    </row>
    <row r="3361">
      <c r="A3361" s="90" t="n">
        <v>43</v>
      </c>
      <c r="B3361" s="91">
        <f>EDATE($B3360,1)</f>
        <v/>
      </c>
      <c r="C3361" s="92">
        <f>EOMONTH($B3361,0)</f>
        <v/>
      </c>
      <c r="D3361" s="87">
        <f>$C3361-$B3361+1</f>
        <v/>
      </c>
      <c r="E3361" s="87">
        <f>MONTH($B3361)</f>
        <v/>
      </c>
      <c r="F3361" s="93">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$N3361*IF($O$3316=1,$O3361/$F$3316,1)</f>
        <v/>
      </c>
      <c r="T3361" s="95">
        <f>IF($G3361&lt;nr_MStartP,$S3361,$T3349*(1+IF($G3361&lt;nr_MStartP1,$M$3316,$N$3316)))</f>
        <v/>
      </c>
      <c r="U3361" s="95">
        <f>IF($L$3316,$T3361,$N3361)</f>
        <v/>
      </c>
    </row>
    <row r="3362">
      <c r="A3362" s="90" t="n">
        <v>44</v>
      </c>
      <c r="B3362" s="91">
        <f>EDATE($B3361,1)</f>
        <v/>
      </c>
      <c r="C3362" s="92">
        <f>EOMONTH($B3362,0)</f>
        <v/>
      </c>
      <c r="D3362" s="87">
        <f>$C3362-$B3362+1</f>
        <v/>
      </c>
      <c r="E3362" s="87">
        <f>MONTH($B3362)</f>
        <v/>
      </c>
      <c r="F3362" s="93">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$N3362*IF($O$3316=1,$O3362/$F$3316,1)</f>
        <v/>
      </c>
      <c r="T3362" s="95">
        <f>IF($G3362&lt;nr_MStartP,$S3362,$T3350*(1+IF($G3362&lt;nr_MStartP1,$M$3316,$N$3316)))</f>
        <v/>
      </c>
      <c r="U3362" s="95">
        <f>IF($L$3316,$T3362,$N3362)</f>
        <v/>
      </c>
    </row>
    <row r="3363">
      <c r="A3363" s="90" t="n">
        <v>45</v>
      </c>
      <c r="B3363" s="91">
        <f>EDATE($B3362,1)</f>
        <v/>
      </c>
      <c r="C3363" s="92">
        <f>EOMONTH($B3363,0)</f>
        <v/>
      </c>
      <c r="D3363" s="87">
        <f>$C3363-$B3363+1</f>
        <v/>
      </c>
      <c r="E3363" s="87">
        <f>MONTH($B3363)</f>
        <v/>
      </c>
      <c r="F3363" s="93">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$N3363*IF($O$3316=1,$O3363/$F$3316,1)</f>
        <v/>
      </c>
      <c r="T3363" s="95">
        <f>IF($G3363&lt;nr_MStartP,$S3363,$T3351*(1+IF($G3363&lt;nr_MStartP1,$M$3316,$N$3316)))</f>
        <v/>
      </c>
      <c r="U3363" s="95">
        <f>IF($L$3316,$T3363,$N3363)</f>
        <v/>
      </c>
    </row>
    <row r="3364">
      <c r="A3364" s="90" t="n">
        <v>46</v>
      </c>
      <c r="B3364" s="91">
        <f>EDATE($B3363,1)</f>
        <v/>
      </c>
      <c r="C3364" s="92">
        <f>EOMONTH($B3364,0)</f>
        <v/>
      </c>
      <c r="D3364" s="87">
        <f>$C3364-$B3364+1</f>
        <v/>
      </c>
      <c r="E3364" s="87">
        <f>MONTH($B3364)</f>
        <v/>
      </c>
      <c r="F3364" s="93">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$N3364*IF($O$3316=1,$O3364/$F$3316,1)</f>
        <v/>
      </c>
      <c r="T3364" s="95">
        <f>IF($G3364&lt;nr_MStartP,$S3364,$T3352*(1+IF($G3364&lt;nr_MStartP1,$M$3316,$N$3316)))</f>
        <v/>
      </c>
      <c r="U3364" s="95">
        <f>IF($L$3316,$T3364,$N3364)</f>
        <v/>
      </c>
    </row>
    <row r="3365">
      <c r="A3365" s="90" t="n">
        <v>47</v>
      </c>
      <c r="B3365" s="91">
        <f>EDATE($B3364,1)</f>
        <v/>
      </c>
      <c r="C3365" s="92">
        <f>EOMONTH($B3365,0)</f>
        <v/>
      </c>
      <c r="D3365" s="87">
        <f>$C3365-$B3365+1</f>
        <v/>
      </c>
      <c r="E3365" s="87">
        <f>MONTH($B3365)</f>
        <v/>
      </c>
      <c r="F3365" s="93">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$N3365*IF($O$3316=1,$O3365/$F$3316,1)</f>
        <v/>
      </c>
      <c r="T3365" s="95">
        <f>IF($G3365&lt;nr_MStartP,$S3365,$T3353*(1+IF($G3365&lt;nr_MStartP1,$M$3316,$N$3316)))</f>
        <v/>
      </c>
      <c r="U3365" s="95">
        <f>IF($L$3316,$T3365,$N3365)</f>
        <v/>
      </c>
    </row>
    <row r="3366">
      <c r="A3366" s="90" t="n">
        <v>48</v>
      </c>
      <c r="B3366" s="91">
        <f>EDATE($B3365,1)</f>
        <v/>
      </c>
      <c r="C3366" s="92">
        <f>EOMONTH($B3366,0)</f>
        <v/>
      </c>
      <c r="D3366" s="87">
        <f>$C3366-$B3366+1</f>
        <v/>
      </c>
      <c r="E3366" s="87">
        <f>MONTH($B3366)</f>
        <v/>
      </c>
      <c r="F3366" s="93">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$N3366*IF($O$3316=1,$O3366/$F$3316,1)</f>
        <v/>
      </c>
      <c r="T3366" s="95">
        <f>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04">
        <f>SUMPRODUCT($H$3319:$H$3366,$Q$3319:$Q$3366,$O$3319:$O$3366)/SUMPRODUCT($H$3319:$H$3366,$Q$3319:$Q$3366)</f>
        <v/>
      </c>
      <c r="G3367" s="20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04">
        <f>IF(N(INDEX(lr_mind,62))=0,1,INDEX(lr_mind,62))</f>
        <v/>
      </c>
      <c r="G3370" s="204">
        <f>IF(N(INDEX(lr_m0,62))=0,1,INDEX(lr_m0,62))</f>
        <v/>
      </c>
      <c r="H3370" s="73">
        <f>IF(N(INDEX(lr_m0asof,62))=0,DATE(nr_PlanYear-1,10,1),INDEX(lr_m0asof,62))</f>
        <v/>
      </c>
      <c r="I3370" s="204">
        <f>IF(N(INDEX(lr_m1,62))=0,1,INDEX(lr_m1,62))</f>
        <v/>
      </c>
      <c r="J3370" s="204">
        <f>INDEX(lr_mprior,62)</f>
        <v/>
      </c>
      <c r="K3370" s="20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93">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$N3373*IF($O$3370=1,$O3373/$F$3370,1)</f>
        <v/>
      </c>
      <c r="T3373" s="95">
        <f>IF($G3373&lt;nr_MStartP,$S3373,$T3361*(1+IF($G3373&lt;nr_MStartP1,$M$3370,$N$3370)))</f>
        <v/>
      </c>
      <c r="U3373" s="95">
        <f>IF($L$3370,$T3373,$N3373)</f>
        <v/>
      </c>
    </row>
    <row r="3374">
      <c r="A3374" s="90" t="n">
        <v>2</v>
      </c>
      <c r="B3374" s="91">
        <f>EDATE($B3373,1)</f>
        <v/>
      </c>
      <c r="C3374" s="92">
        <f>EOMONTH($B3374,0)</f>
        <v/>
      </c>
      <c r="D3374" s="87">
        <f>$C3374-$B3374+1</f>
        <v/>
      </c>
      <c r="E3374" s="87">
        <f>MONTH($B3374)</f>
        <v/>
      </c>
      <c r="F3374" s="93">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$N3374*IF($O$3370=1,$O3374/$F$3370,1)</f>
        <v/>
      </c>
      <c r="T3374" s="95">
        <f>IF($G3374&lt;nr_MStartP,$S3374,$T3362*(1+IF($G3374&lt;nr_MStartP1,$M$3370,$N$3370)))</f>
        <v/>
      </c>
      <c r="U3374" s="95">
        <f>IF($L$3370,$T3374,$N3374)</f>
        <v/>
      </c>
    </row>
    <row r="3375">
      <c r="A3375" s="90" t="n">
        <v>3</v>
      </c>
      <c r="B3375" s="91">
        <f>EDATE($B3374,1)</f>
        <v/>
      </c>
      <c r="C3375" s="92">
        <f>EOMONTH($B3375,0)</f>
        <v/>
      </c>
      <c r="D3375" s="87">
        <f>$C3375-$B3375+1</f>
        <v/>
      </c>
      <c r="E3375" s="87">
        <f>MONTH($B3375)</f>
        <v/>
      </c>
      <c r="F3375" s="93">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$N3375*IF($O$3370=1,$O3375/$F$3370,1)</f>
        <v/>
      </c>
      <c r="T3375" s="95">
        <f>IF($G3375&lt;nr_MStartP,$S3375,$T3363*(1+IF($G3375&lt;nr_MStartP1,$M$3370,$N$3370)))</f>
        <v/>
      </c>
      <c r="U3375" s="95">
        <f>IF($L$3370,$T3375,$N3375)</f>
        <v/>
      </c>
    </row>
    <row r="3376">
      <c r="A3376" s="90" t="n">
        <v>4</v>
      </c>
      <c r="B3376" s="91">
        <f>EDATE($B3375,1)</f>
        <v/>
      </c>
      <c r="C3376" s="92">
        <f>EOMONTH($B3376,0)</f>
        <v/>
      </c>
      <c r="D3376" s="87">
        <f>$C3376-$B3376+1</f>
        <v/>
      </c>
      <c r="E3376" s="87">
        <f>MONTH($B3376)</f>
        <v/>
      </c>
      <c r="F3376" s="93">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$N3376*IF($O$3370=1,$O3376/$F$3370,1)</f>
        <v/>
      </c>
      <c r="T3376" s="95">
        <f>IF($G3376&lt;nr_MStartP,$S3376,$T3364*(1+IF($G3376&lt;nr_MStartP1,$M$3370,$N$3370)))</f>
        <v/>
      </c>
      <c r="U3376" s="95">
        <f>IF($L$3370,$T3376,$N3376)</f>
        <v/>
      </c>
    </row>
    <row r="3377">
      <c r="A3377" s="90" t="n">
        <v>5</v>
      </c>
      <c r="B3377" s="91">
        <f>EDATE($B3376,1)</f>
        <v/>
      </c>
      <c r="C3377" s="92">
        <f>EOMONTH($B3377,0)</f>
        <v/>
      </c>
      <c r="D3377" s="87">
        <f>$C3377-$B3377+1</f>
        <v/>
      </c>
      <c r="E3377" s="87">
        <f>MONTH($B3377)</f>
        <v/>
      </c>
      <c r="F3377" s="93">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$N3377*IF($O$3370=1,$O3377/$F$3370,1)</f>
        <v/>
      </c>
      <c r="T3377" s="95">
        <f>IF($G3377&lt;nr_MStartP,$S3377,$T3365*(1+IF($G3377&lt;nr_MStartP1,$M$3370,$N$3370)))</f>
        <v/>
      </c>
      <c r="U3377" s="95">
        <f>IF($L$3370,$T3377,$N3377)</f>
        <v/>
      </c>
    </row>
    <row r="3378">
      <c r="A3378" s="90" t="n">
        <v>6</v>
      </c>
      <c r="B3378" s="91">
        <f>EDATE($B3377,1)</f>
        <v/>
      </c>
      <c r="C3378" s="92">
        <f>EOMONTH($B3378,0)</f>
        <v/>
      </c>
      <c r="D3378" s="87">
        <f>$C3378-$B3378+1</f>
        <v/>
      </c>
      <c r="E3378" s="87">
        <f>MONTH($B3378)</f>
        <v/>
      </c>
      <c r="F3378" s="93">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$N3378*IF($O$3370=1,$O3378/$F$3370,1)</f>
        <v/>
      </c>
      <c r="T3378" s="95">
        <f>IF($G3378&lt;nr_MStartP,$S3378,$T3366*(1+IF($G3378&lt;nr_MStartP1,$M$3370,$N$3370)))</f>
        <v/>
      </c>
      <c r="U3378" s="95">
        <f>IF($L$3370,$T3378,$N3378)</f>
        <v/>
      </c>
    </row>
    <row r="3379">
      <c r="A3379" s="90" t="n">
        <v>7</v>
      </c>
      <c r="B3379" s="91">
        <f>EDATE($B3378,1)</f>
        <v/>
      </c>
      <c r="C3379" s="92">
        <f>EOMONTH($B3379,0)</f>
        <v/>
      </c>
      <c r="D3379" s="87">
        <f>$C3379-$B3379+1</f>
        <v/>
      </c>
      <c r="E3379" s="87">
        <f>MONTH($B3379)</f>
        <v/>
      </c>
      <c r="F3379" s="93">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$N3379*IF($O$3370=1,$O3379/$F$3370,1)</f>
        <v/>
      </c>
      <c r="T3379" s="95">
        <f>IF($G3379&lt;nr_MStartP,$S3379,$T3367*(1+IF($G3379&lt;nr_MStartP1,$M$3370,$N$3370)))</f>
        <v/>
      </c>
      <c r="U3379" s="95">
        <f>IF($L$3370,$T3379,$N3379)</f>
        <v/>
      </c>
    </row>
    <row r="3380">
      <c r="A3380" s="90" t="n">
        <v>8</v>
      </c>
      <c r="B3380" s="91">
        <f>EDATE($B3379,1)</f>
        <v/>
      </c>
      <c r="C3380" s="92">
        <f>EOMONTH($B3380,0)</f>
        <v/>
      </c>
      <c r="D3380" s="87">
        <f>$C3380-$B3380+1</f>
        <v/>
      </c>
      <c r="E3380" s="87">
        <f>MONTH($B3380)</f>
        <v/>
      </c>
      <c r="F3380" s="93">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$N3380*IF($O$3370=1,$O3380/$F$3370,1)</f>
        <v/>
      </c>
      <c r="T3380" s="95">
        <f>IF($G3380&lt;nr_MStartP,$S3380,$T3368*(1+IF($G3380&lt;nr_MStartP1,$M$3370,$N$3370)))</f>
        <v/>
      </c>
      <c r="U3380" s="95">
        <f>IF($L$3370,$T3380,$N3380)</f>
        <v/>
      </c>
    </row>
    <row r="3381">
      <c r="A3381" s="90" t="n">
        <v>9</v>
      </c>
      <c r="B3381" s="91">
        <f>EDATE($B3380,1)</f>
        <v/>
      </c>
      <c r="C3381" s="92">
        <f>EOMONTH($B3381,0)</f>
        <v/>
      </c>
      <c r="D3381" s="87">
        <f>$C3381-$B3381+1</f>
        <v/>
      </c>
      <c r="E3381" s="87">
        <f>MONTH($B3381)</f>
        <v/>
      </c>
      <c r="F3381" s="93">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$N3381*IF($O$3370=1,$O3381/$F$3370,1)</f>
        <v/>
      </c>
      <c r="T3381" s="95">
        <f>IF($G3381&lt;nr_MStartP,$S3381,$T3369*(1+IF($G3381&lt;nr_MStartP1,$M$3370,$N$3370)))</f>
        <v/>
      </c>
      <c r="U3381" s="95">
        <f>IF($L$3370,$T3381,$N3381)</f>
        <v/>
      </c>
    </row>
    <row r="3382">
      <c r="A3382" s="90" t="n">
        <v>10</v>
      </c>
      <c r="B3382" s="91">
        <f>EDATE($B3381,1)</f>
        <v/>
      </c>
      <c r="C3382" s="92">
        <f>EOMONTH($B3382,0)</f>
        <v/>
      </c>
      <c r="D3382" s="87">
        <f>$C3382-$B3382+1</f>
        <v/>
      </c>
      <c r="E3382" s="87">
        <f>MONTH($B3382)</f>
        <v/>
      </c>
      <c r="F3382" s="93">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$N3382*IF($O$3370=1,$O3382/$F$3370,1)</f>
        <v/>
      </c>
      <c r="T3382" s="95">
        <f>IF($G3382&lt;nr_MStartP,$S3382,$T3370*(1+IF($G3382&lt;nr_MStartP1,$M$3370,$N$3370)))</f>
        <v/>
      </c>
      <c r="U3382" s="95">
        <f>IF($L$3370,$T3382,$N3382)</f>
        <v/>
      </c>
    </row>
    <row r="3383">
      <c r="A3383" s="90" t="n">
        <v>11</v>
      </c>
      <c r="B3383" s="91">
        <f>EDATE($B3382,1)</f>
        <v/>
      </c>
      <c r="C3383" s="92">
        <f>EOMONTH($B3383,0)</f>
        <v/>
      </c>
      <c r="D3383" s="87">
        <f>$C3383-$B3383+1</f>
        <v/>
      </c>
      <c r="E3383" s="87">
        <f>MONTH($B3383)</f>
        <v/>
      </c>
      <c r="F3383" s="93">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$N3383*IF($O$3370=1,$O3383/$F$3370,1)</f>
        <v/>
      </c>
      <c r="T3383" s="95">
        <f>IF($G3383&lt;nr_MStartP,$S3383,$T3371*(1+IF($G3383&lt;nr_MStartP1,$M$3370,$N$3370)))</f>
        <v/>
      </c>
      <c r="U3383" s="95">
        <f>IF($L$3370,$T3383,$N3383)</f>
        <v/>
      </c>
    </row>
    <row r="3384">
      <c r="A3384" s="90" t="n">
        <v>12</v>
      </c>
      <c r="B3384" s="91">
        <f>EDATE($B3383,1)</f>
        <v/>
      </c>
      <c r="C3384" s="92">
        <f>EOMONTH($B3384,0)</f>
        <v/>
      </c>
      <c r="D3384" s="87">
        <f>$C3384-$B3384+1</f>
        <v/>
      </c>
      <c r="E3384" s="87">
        <f>MONTH($B3384)</f>
        <v/>
      </c>
      <c r="F3384" s="93">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$N3384*IF($O$3370=1,$O3384/$F$3370,1)</f>
        <v/>
      </c>
      <c r="T3384" s="95">
        <f>IF($G3384&lt;nr_MStartP,$S3384,$T3372*(1+IF($G3384&lt;nr_MStartP1,$M$3370,$N$3370)))</f>
        <v/>
      </c>
      <c r="U3384" s="95">
        <f>IF($L$3370,$T3384,$N3384)</f>
        <v/>
      </c>
    </row>
    <row r="3385">
      <c r="A3385" s="90" t="n">
        <v>13</v>
      </c>
      <c r="B3385" s="91">
        <f>EDATE($B3384,1)</f>
        <v/>
      </c>
      <c r="C3385" s="92">
        <f>EOMONTH($B3385,0)</f>
        <v/>
      </c>
      <c r="D3385" s="87">
        <f>$C3385-$B3385+1</f>
        <v/>
      </c>
      <c r="E3385" s="87">
        <f>MONTH($B3385)</f>
        <v/>
      </c>
      <c r="F3385" s="93">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$N3385*IF($O$3370=1,$O3385/$F$3370,1)</f>
        <v/>
      </c>
      <c r="T3385" s="95">
        <f>IF($G3385&lt;nr_MStartP,$S3385,$T3373*(1+IF($G3385&lt;nr_MStartP1,$M$3370,$N$3370)))</f>
        <v/>
      </c>
      <c r="U3385" s="95">
        <f>IF($L$3370,$T3385,$N3385)</f>
        <v/>
      </c>
    </row>
    <row r="3386">
      <c r="A3386" s="90" t="n">
        <v>14</v>
      </c>
      <c r="B3386" s="91">
        <f>EDATE($B3385,1)</f>
        <v/>
      </c>
      <c r="C3386" s="92">
        <f>EOMONTH($B3386,0)</f>
        <v/>
      </c>
      <c r="D3386" s="87">
        <f>$C3386-$B3386+1</f>
        <v/>
      </c>
      <c r="E3386" s="87">
        <f>MONTH($B3386)</f>
        <v/>
      </c>
      <c r="F3386" s="93">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$N3386*IF($O$3370=1,$O3386/$F$3370,1)</f>
        <v/>
      </c>
      <c r="T3386" s="95">
        <f>IF($G3386&lt;nr_MStartP,$S3386,$T3374*(1+IF($G3386&lt;nr_MStartP1,$M$3370,$N$3370)))</f>
        <v/>
      </c>
      <c r="U3386" s="95">
        <f>IF($L$3370,$T3386,$N3386)</f>
        <v/>
      </c>
    </row>
    <row r="3387">
      <c r="A3387" s="90" t="n">
        <v>15</v>
      </c>
      <c r="B3387" s="91">
        <f>EDATE($B3386,1)</f>
        <v/>
      </c>
      <c r="C3387" s="92">
        <f>EOMONTH($B3387,0)</f>
        <v/>
      </c>
      <c r="D3387" s="87">
        <f>$C3387-$B3387+1</f>
        <v/>
      </c>
      <c r="E3387" s="87">
        <f>MONTH($B3387)</f>
        <v/>
      </c>
      <c r="F3387" s="93">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$N3387*IF($O$3370=1,$O3387/$F$3370,1)</f>
        <v/>
      </c>
      <c r="T3387" s="95">
        <f>IF($G3387&lt;nr_MStartP,$S3387,$T3375*(1+IF($G3387&lt;nr_MStartP1,$M$3370,$N$3370)))</f>
        <v/>
      </c>
      <c r="U3387" s="95">
        <f>IF($L$3370,$T3387,$N3387)</f>
        <v/>
      </c>
    </row>
    <row r="3388">
      <c r="A3388" s="90" t="n">
        <v>16</v>
      </c>
      <c r="B3388" s="91">
        <f>EDATE($B3387,1)</f>
        <v/>
      </c>
      <c r="C3388" s="92">
        <f>EOMONTH($B3388,0)</f>
        <v/>
      </c>
      <c r="D3388" s="87">
        <f>$C3388-$B3388+1</f>
        <v/>
      </c>
      <c r="E3388" s="87">
        <f>MONTH($B3388)</f>
        <v/>
      </c>
      <c r="F3388" s="93">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$N3388*IF($O$3370=1,$O3388/$F$3370,1)</f>
        <v/>
      </c>
      <c r="T3388" s="95">
        <f>IF($G3388&lt;nr_MStartP,$S3388,$T3376*(1+IF($G3388&lt;nr_MStartP1,$M$3370,$N$3370)))</f>
        <v/>
      </c>
      <c r="U3388" s="95">
        <f>IF($L$3370,$T3388,$N3388)</f>
        <v/>
      </c>
    </row>
    <row r="3389">
      <c r="A3389" s="90" t="n">
        <v>17</v>
      </c>
      <c r="B3389" s="91">
        <f>EDATE($B3388,1)</f>
        <v/>
      </c>
      <c r="C3389" s="92">
        <f>EOMONTH($B3389,0)</f>
        <v/>
      </c>
      <c r="D3389" s="87">
        <f>$C3389-$B3389+1</f>
        <v/>
      </c>
      <c r="E3389" s="87">
        <f>MONTH($B3389)</f>
        <v/>
      </c>
      <c r="F3389" s="93">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$N3389*IF($O$3370=1,$O3389/$F$3370,1)</f>
        <v/>
      </c>
      <c r="T3389" s="95">
        <f>IF($G3389&lt;nr_MStartP,$S3389,$T3377*(1+IF($G3389&lt;nr_MStartP1,$M$3370,$N$3370)))</f>
        <v/>
      </c>
      <c r="U3389" s="95">
        <f>IF($L$3370,$T3389,$N3389)</f>
        <v/>
      </c>
    </row>
    <row r="3390">
      <c r="A3390" s="90" t="n">
        <v>18</v>
      </c>
      <c r="B3390" s="91">
        <f>EDATE($B3389,1)</f>
        <v/>
      </c>
      <c r="C3390" s="92">
        <f>EOMONTH($B3390,0)</f>
        <v/>
      </c>
      <c r="D3390" s="87">
        <f>$C3390-$B3390+1</f>
        <v/>
      </c>
      <c r="E3390" s="87">
        <f>MONTH($B3390)</f>
        <v/>
      </c>
      <c r="F3390" s="93">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$N3390*IF($O$3370=1,$O3390/$F$3370,1)</f>
        <v/>
      </c>
      <c r="T3390" s="95">
        <f>IF($G3390&lt;nr_MStartP,$S3390,$T3378*(1+IF($G3390&lt;nr_MStartP1,$M$3370,$N$3370)))</f>
        <v/>
      </c>
      <c r="U3390" s="95">
        <f>IF($L$3370,$T3390,$N3390)</f>
        <v/>
      </c>
    </row>
    <row r="3391">
      <c r="A3391" s="90" t="n">
        <v>19</v>
      </c>
      <c r="B3391" s="91">
        <f>EDATE($B3390,1)</f>
        <v/>
      </c>
      <c r="C3391" s="92">
        <f>EOMONTH($B3391,0)</f>
        <v/>
      </c>
      <c r="D3391" s="87">
        <f>$C3391-$B3391+1</f>
        <v/>
      </c>
      <c r="E3391" s="87">
        <f>MONTH($B3391)</f>
        <v/>
      </c>
      <c r="F3391" s="93">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$N3391*IF($O$3370=1,$O3391/$F$3370,1)</f>
        <v/>
      </c>
      <c r="T3391" s="95">
        <f>IF($G3391&lt;nr_MStartP,$S3391,$T3379*(1+IF($G3391&lt;nr_MStartP1,$M$3370,$N$3370)))</f>
        <v/>
      </c>
      <c r="U3391" s="95">
        <f>IF($L$3370,$T3391,$N3391)</f>
        <v/>
      </c>
    </row>
    <row r="3392">
      <c r="A3392" s="90" t="n">
        <v>20</v>
      </c>
      <c r="B3392" s="91">
        <f>EDATE($B3391,1)</f>
        <v/>
      </c>
      <c r="C3392" s="92">
        <f>EOMONTH($B3392,0)</f>
        <v/>
      </c>
      <c r="D3392" s="87">
        <f>$C3392-$B3392+1</f>
        <v/>
      </c>
      <c r="E3392" s="87">
        <f>MONTH($B3392)</f>
        <v/>
      </c>
      <c r="F3392" s="93">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$N3392*IF($O$3370=1,$O3392/$F$3370,1)</f>
        <v/>
      </c>
      <c r="T3392" s="95">
        <f>IF($G3392&lt;nr_MStartP,$S3392,$T3380*(1+IF($G3392&lt;nr_MStartP1,$M$3370,$N$3370)))</f>
        <v/>
      </c>
      <c r="U3392" s="95">
        <f>IF($L$3370,$T3392,$N3392)</f>
        <v/>
      </c>
    </row>
    <row r="3393">
      <c r="A3393" s="90" t="n">
        <v>21</v>
      </c>
      <c r="B3393" s="91">
        <f>EDATE($B3392,1)</f>
        <v/>
      </c>
      <c r="C3393" s="92">
        <f>EOMONTH($B3393,0)</f>
        <v/>
      </c>
      <c r="D3393" s="87">
        <f>$C3393-$B3393+1</f>
        <v/>
      </c>
      <c r="E3393" s="87">
        <f>MONTH($B3393)</f>
        <v/>
      </c>
      <c r="F3393" s="93">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$N3393*IF($O$3370=1,$O3393/$F$3370,1)</f>
        <v/>
      </c>
      <c r="T3393" s="95">
        <f>IF($G3393&lt;nr_MStartP,$S3393,$T3381*(1+IF($G3393&lt;nr_MStartP1,$M$3370,$N$3370)))</f>
        <v/>
      </c>
      <c r="U3393" s="95">
        <f>IF($L$3370,$T3393,$N3393)</f>
        <v/>
      </c>
    </row>
    <row r="3394">
      <c r="A3394" s="90" t="n">
        <v>22</v>
      </c>
      <c r="B3394" s="91">
        <f>EDATE($B3393,1)</f>
        <v/>
      </c>
      <c r="C3394" s="92">
        <f>EOMONTH($B3394,0)</f>
        <v/>
      </c>
      <c r="D3394" s="87">
        <f>$C3394-$B3394+1</f>
        <v/>
      </c>
      <c r="E3394" s="87">
        <f>MONTH($B3394)</f>
        <v/>
      </c>
      <c r="F3394" s="93">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$N3394*IF($O$3370=1,$O3394/$F$3370,1)</f>
        <v/>
      </c>
      <c r="T3394" s="95">
        <f>IF($G3394&lt;nr_MStartP,$S3394,$T3382*(1+IF($G3394&lt;nr_MStartP1,$M$3370,$N$3370)))</f>
        <v/>
      </c>
      <c r="U3394" s="95">
        <f>IF($L$3370,$T3394,$N3394)</f>
        <v/>
      </c>
    </row>
    <row r="3395">
      <c r="A3395" s="90" t="n">
        <v>23</v>
      </c>
      <c r="B3395" s="91">
        <f>EDATE($B3394,1)</f>
        <v/>
      </c>
      <c r="C3395" s="92">
        <f>EOMONTH($B3395,0)</f>
        <v/>
      </c>
      <c r="D3395" s="87">
        <f>$C3395-$B3395+1</f>
        <v/>
      </c>
      <c r="E3395" s="87">
        <f>MONTH($B3395)</f>
        <v/>
      </c>
      <c r="F3395" s="93">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$N3395*IF($O$3370=1,$O3395/$F$3370,1)</f>
        <v/>
      </c>
      <c r="T3395" s="95">
        <f>IF($G3395&lt;nr_MStartP,$S3395,$T3383*(1+IF($G3395&lt;nr_MStartP1,$M$3370,$N$3370)))</f>
        <v/>
      </c>
      <c r="U3395" s="95">
        <f>IF($L$3370,$T3395,$N3395)</f>
        <v/>
      </c>
    </row>
    <row r="3396">
      <c r="A3396" s="90" t="n">
        <v>24</v>
      </c>
      <c r="B3396" s="91">
        <f>EDATE($B3395,1)</f>
        <v/>
      </c>
      <c r="C3396" s="92">
        <f>EOMONTH($B3396,0)</f>
        <v/>
      </c>
      <c r="D3396" s="87">
        <f>$C3396-$B3396+1</f>
        <v/>
      </c>
      <c r="E3396" s="87">
        <f>MONTH($B3396)</f>
        <v/>
      </c>
      <c r="F3396" s="93">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$N3396*IF($O$3370=1,$O3396/$F$3370,1)</f>
        <v/>
      </c>
      <c r="T3396" s="95">
        <f>IF($G3396&lt;nr_MStartP,$S3396,$T3384*(1+IF($G3396&lt;nr_MStartP1,$M$3370,$N$3370)))</f>
        <v/>
      </c>
      <c r="U3396" s="95">
        <f>IF($L$3370,$T3396,$N3396)</f>
        <v/>
      </c>
    </row>
    <row r="3397">
      <c r="A3397" s="90" t="n">
        <v>25</v>
      </c>
      <c r="B3397" s="91">
        <f>EDATE($B3396,1)</f>
        <v/>
      </c>
      <c r="C3397" s="92">
        <f>EOMONTH($B3397,0)</f>
        <v/>
      </c>
      <c r="D3397" s="87">
        <f>$C3397-$B3397+1</f>
        <v/>
      </c>
      <c r="E3397" s="87">
        <f>MONTH($B3397)</f>
        <v/>
      </c>
      <c r="F3397" s="93">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$N3397*IF($O$3370=1,$O3397/$F$3370,1)</f>
        <v/>
      </c>
      <c r="T3397" s="95">
        <f>IF($G3397&lt;nr_MStartP,$S3397,$T3385*(1+IF($G3397&lt;nr_MStartP1,$M$3370,$N$3370)))</f>
        <v/>
      </c>
      <c r="U3397" s="95">
        <f>IF($L$3370,$T3397,$N3397)</f>
        <v/>
      </c>
    </row>
    <row r="3398">
      <c r="A3398" s="90" t="n">
        <v>26</v>
      </c>
      <c r="B3398" s="91">
        <f>EDATE($B3397,1)</f>
        <v/>
      </c>
      <c r="C3398" s="92">
        <f>EOMONTH($B3398,0)</f>
        <v/>
      </c>
      <c r="D3398" s="87">
        <f>$C3398-$B3398+1</f>
        <v/>
      </c>
      <c r="E3398" s="87">
        <f>MONTH($B3398)</f>
        <v/>
      </c>
      <c r="F3398" s="93">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$N3398*IF($O$3370=1,$O3398/$F$3370,1)</f>
        <v/>
      </c>
      <c r="T3398" s="95">
        <f>IF($G3398&lt;nr_MStartP,$S3398,$T3386*(1+IF($G3398&lt;nr_MStartP1,$M$3370,$N$3370)))</f>
        <v/>
      </c>
      <c r="U3398" s="95">
        <f>IF($L$3370,$T3398,$N3398)</f>
        <v/>
      </c>
    </row>
    <row r="3399">
      <c r="A3399" s="90" t="n">
        <v>27</v>
      </c>
      <c r="B3399" s="91">
        <f>EDATE($B3398,1)</f>
        <v/>
      </c>
      <c r="C3399" s="92">
        <f>EOMONTH($B3399,0)</f>
        <v/>
      </c>
      <c r="D3399" s="87">
        <f>$C3399-$B3399+1</f>
        <v/>
      </c>
      <c r="E3399" s="87">
        <f>MONTH($B3399)</f>
        <v/>
      </c>
      <c r="F3399" s="93">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$N3399*IF($O$3370=1,$O3399/$F$3370,1)</f>
        <v/>
      </c>
      <c r="T3399" s="95">
        <f>IF($G3399&lt;nr_MStartP,$S3399,$T3387*(1+IF($G3399&lt;nr_MStartP1,$M$3370,$N$3370)))</f>
        <v/>
      </c>
      <c r="U3399" s="95">
        <f>IF($L$3370,$T3399,$N3399)</f>
        <v/>
      </c>
    </row>
    <row r="3400">
      <c r="A3400" s="90" t="n">
        <v>28</v>
      </c>
      <c r="B3400" s="91">
        <f>EDATE($B3399,1)</f>
        <v/>
      </c>
      <c r="C3400" s="92">
        <f>EOMONTH($B3400,0)</f>
        <v/>
      </c>
      <c r="D3400" s="87">
        <f>$C3400-$B3400+1</f>
        <v/>
      </c>
      <c r="E3400" s="87">
        <f>MONTH($B3400)</f>
        <v/>
      </c>
      <c r="F3400" s="93">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$N3400*IF($O$3370=1,$O3400/$F$3370,1)</f>
        <v/>
      </c>
      <c r="T3400" s="95">
        <f>IF($G3400&lt;nr_MStartP,$S3400,$T3388*(1+IF($G3400&lt;nr_MStartP1,$M$3370,$N$3370)))</f>
        <v/>
      </c>
      <c r="U3400" s="95">
        <f>IF($L$3370,$T3400,$N3400)</f>
        <v/>
      </c>
    </row>
    <row r="3401">
      <c r="A3401" s="90" t="n">
        <v>29</v>
      </c>
      <c r="B3401" s="91">
        <f>EDATE($B3400,1)</f>
        <v/>
      </c>
      <c r="C3401" s="92">
        <f>EOMONTH($B3401,0)</f>
        <v/>
      </c>
      <c r="D3401" s="87">
        <f>$C3401-$B3401+1</f>
        <v/>
      </c>
      <c r="E3401" s="87">
        <f>MONTH($B3401)</f>
        <v/>
      </c>
      <c r="F3401" s="93">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$N3401*IF($O$3370=1,$O3401/$F$3370,1)</f>
        <v/>
      </c>
      <c r="T3401" s="95">
        <f>IF($G3401&lt;nr_MStartP,$S3401,$T3389*(1+IF($G3401&lt;nr_MStartP1,$M$3370,$N$3370)))</f>
        <v/>
      </c>
      <c r="U3401" s="95">
        <f>IF($L$3370,$T3401,$N3401)</f>
        <v/>
      </c>
    </row>
    <row r="3402">
      <c r="A3402" s="90" t="n">
        <v>30</v>
      </c>
      <c r="B3402" s="91">
        <f>EDATE($B3401,1)</f>
        <v/>
      </c>
      <c r="C3402" s="92">
        <f>EOMONTH($B3402,0)</f>
        <v/>
      </c>
      <c r="D3402" s="87">
        <f>$C3402-$B3402+1</f>
        <v/>
      </c>
      <c r="E3402" s="87">
        <f>MONTH($B3402)</f>
        <v/>
      </c>
      <c r="F3402" s="93">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$N3402*IF($O$3370=1,$O3402/$F$3370,1)</f>
        <v/>
      </c>
      <c r="T3402" s="95">
        <f>IF($G3402&lt;nr_MStartP,$S3402,$T3390*(1+IF($G3402&lt;nr_MStartP1,$M$3370,$N$3370)))</f>
        <v/>
      </c>
      <c r="U3402" s="95">
        <f>IF($L$3370,$T3402,$N3402)</f>
        <v/>
      </c>
    </row>
    <row r="3403">
      <c r="A3403" s="90" t="n">
        <v>31</v>
      </c>
      <c r="B3403" s="91">
        <f>EDATE($B3402,1)</f>
        <v/>
      </c>
      <c r="C3403" s="92">
        <f>EOMONTH($B3403,0)</f>
        <v/>
      </c>
      <c r="D3403" s="87">
        <f>$C3403-$B3403+1</f>
        <v/>
      </c>
      <c r="E3403" s="87">
        <f>MONTH($B3403)</f>
        <v/>
      </c>
      <c r="F3403" s="93">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$N3403*IF($O$3370=1,$O3403/$F$3370,1)</f>
        <v/>
      </c>
      <c r="T3403" s="95">
        <f>IF($G3403&lt;nr_MStartP,$S3403,$T3391*(1+IF($G3403&lt;nr_MStartP1,$M$3370,$N$3370)))</f>
        <v/>
      </c>
      <c r="U3403" s="95">
        <f>IF($L$3370,$T3403,$N3403)</f>
        <v/>
      </c>
    </row>
    <row r="3404">
      <c r="A3404" s="90" t="n">
        <v>32</v>
      </c>
      <c r="B3404" s="91">
        <f>EDATE($B3403,1)</f>
        <v/>
      </c>
      <c r="C3404" s="92">
        <f>EOMONTH($B3404,0)</f>
        <v/>
      </c>
      <c r="D3404" s="87">
        <f>$C3404-$B3404+1</f>
        <v/>
      </c>
      <c r="E3404" s="87">
        <f>MONTH($B3404)</f>
        <v/>
      </c>
      <c r="F3404" s="93">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$N3404*IF($O$3370=1,$O3404/$F$3370,1)</f>
        <v/>
      </c>
      <c r="T3404" s="95">
        <f>IF($G3404&lt;nr_MStartP,$S3404,$T3392*(1+IF($G3404&lt;nr_MStartP1,$M$3370,$N$3370)))</f>
        <v/>
      </c>
      <c r="U3404" s="95">
        <f>IF($L$3370,$T3404,$N3404)</f>
        <v/>
      </c>
    </row>
    <row r="3405">
      <c r="A3405" s="90" t="n">
        <v>33</v>
      </c>
      <c r="B3405" s="91">
        <f>EDATE($B3404,1)</f>
        <v/>
      </c>
      <c r="C3405" s="92">
        <f>EOMONTH($B3405,0)</f>
        <v/>
      </c>
      <c r="D3405" s="87">
        <f>$C3405-$B3405+1</f>
        <v/>
      </c>
      <c r="E3405" s="87">
        <f>MONTH($B3405)</f>
        <v/>
      </c>
      <c r="F3405" s="93">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$N3405*IF($O$3370=1,$O3405/$F$3370,1)</f>
        <v/>
      </c>
      <c r="T3405" s="95">
        <f>IF($G3405&lt;nr_MStartP,$S3405,$T3393*(1+IF($G3405&lt;nr_MStartP1,$M$3370,$N$3370)))</f>
        <v/>
      </c>
      <c r="U3405" s="95">
        <f>IF($L$3370,$T3405,$N3405)</f>
        <v/>
      </c>
    </row>
    <row r="3406">
      <c r="A3406" s="90" t="n">
        <v>34</v>
      </c>
      <c r="B3406" s="91">
        <f>EDATE($B3405,1)</f>
        <v/>
      </c>
      <c r="C3406" s="92">
        <f>EOMONTH($B3406,0)</f>
        <v/>
      </c>
      <c r="D3406" s="87">
        <f>$C3406-$B3406+1</f>
        <v/>
      </c>
      <c r="E3406" s="87">
        <f>MONTH($B3406)</f>
        <v/>
      </c>
      <c r="F3406" s="93">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$N3406*IF($O$3370=1,$O3406/$F$3370,1)</f>
        <v/>
      </c>
      <c r="T3406" s="95">
        <f>IF($G3406&lt;nr_MStartP,$S3406,$T3394*(1+IF($G3406&lt;nr_MStartP1,$M$3370,$N$3370)))</f>
        <v/>
      </c>
      <c r="U3406" s="95">
        <f>IF($L$3370,$T3406,$N3406)</f>
        <v/>
      </c>
    </row>
    <row r="3407">
      <c r="A3407" s="90" t="n">
        <v>35</v>
      </c>
      <c r="B3407" s="91">
        <f>EDATE($B3406,1)</f>
        <v/>
      </c>
      <c r="C3407" s="92">
        <f>EOMONTH($B3407,0)</f>
        <v/>
      </c>
      <c r="D3407" s="87">
        <f>$C3407-$B3407+1</f>
        <v/>
      </c>
      <c r="E3407" s="87">
        <f>MONTH($B3407)</f>
        <v/>
      </c>
      <c r="F3407" s="93">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$N3407*IF($O$3370=1,$O3407/$F$3370,1)</f>
        <v/>
      </c>
      <c r="T3407" s="95">
        <f>IF($G3407&lt;nr_MStartP,$S3407,$T3395*(1+IF($G3407&lt;nr_MStartP1,$M$3370,$N$3370)))</f>
        <v/>
      </c>
      <c r="U3407" s="95">
        <f>IF($L$3370,$T3407,$N3407)</f>
        <v/>
      </c>
    </row>
    <row r="3408">
      <c r="A3408" s="90" t="n">
        <v>36</v>
      </c>
      <c r="B3408" s="91">
        <f>EDATE($B3407,1)</f>
        <v/>
      </c>
      <c r="C3408" s="92">
        <f>EOMONTH($B3408,0)</f>
        <v/>
      </c>
      <c r="D3408" s="87">
        <f>$C3408-$B3408+1</f>
        <v/>
      </c>
      <c r="E3408" s="87">
        <f>MONTH($B3408)</f>
        <v/>
      </c>
      <c r="F3408" s="93">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$N3408*IF($O$3370=1,$O3408/$F$3370,1)</f>
        <v/>
      </c>
      <c r="T3408" s="95">
        <f>IF($G3408&lt;nr_MStartP,$S3408,$T3396*(1+IF($G3408&lt;nr_MStartP1,$M$3370,$N$3370)))</f>
        <v/>
      </c>
      <c r="U3408" s="95">
        <f>IF($L$3370,$T3408,$N3408)</f>
        <v/>
      </c>
    </row>
    <row r="3409">
      <c r="A3409" s="90" t="n">
        <v>37</v>
      </c>
      <c r="B3409" s="91">
        <f>EDATE($B3408,1)</f>
        <v/>
      </c>
      <c r="C3409" s="92">
        <f>EOMONTH($B3409,0)</f>
        <v/>
      </c>
      <c r="D3409" s="87">
        <f>$C3409-$B3409+1</f>
        <v/>
      </c>
      <c r="E3409" s="87">
        <f>MONTH($B3409)</f>
        <v/>
      </c>
      <c r="F3409" s="93">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$N3409*IF($O$3370=1,$O3409/$F$3370,1)</f>
        <v/>
      </c>
      <c r="T3409" s="95">
        <f>IF($G3409&lt;nr_MStartP,$S3409,$T3397*(1+IF($G3409&lt;nr_MStartP1,$M$3370,$N$3370)))</f>
        <v/>
      </c>
      <c r="U3409" s="95">
        <f>IF($L$3370,$T3409,$N3409)</f>
        <v/>
      </c>
    </row>
    <row r="3410">
      <c r="A3410" s="90" t="n">
        <v>38</v>
      </c>
      <c r="B3410" s="91">
        <f>EDATE($B3409,1)</f>
        <v/>
      </c>
      <c r="C3410" s="92">
        <f>EOMONTH($B3410,0)</f>
        <v/>
      </c>
      <c r="D3410" s="87">
        <f>$C3410-$B3410+1</f>
        <v/>
      </c>
      <c r="E3410" s="87">
        <f>MONTH($B3410)</f>
        <v/>
      </c>
      <c r="F3410" s="93">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$N3410*IF($O$3370=1,$O3410/$F$3370,1)</f>
        <v/>
      </c>
      <c r="T3410" s="95">
        <f>IF($G3410&lt;nr_MStartP,$S3410,$T3398*(1+IF($G3410&lt;nr_MStartP1,$M$3370,$N$3370)))</f>
        <v/>
      </c>
      <c r="U3410" s="95">
        <f>IF($L$3370,$T3410,$N3410)</f>
        <v/>
      </c>
    </row>
    <row r="3411">
      <c r="A3411" s="90" t="n">
        <v>39</v>
      </c>
      <c r="B3411" s="91">
        <f>EDATE($B3410,1)</f>
        <v/>
      </c>
      <c r="C3411" s="92">
        <f>EOMONTH($B3411,0)</f>
        <v/>
      </c>
      <c r="D3411" s="87">
        <f>$C3411-$B3411+1</f>
        <v/>
      </c>
      <c r="E3411" s="87">
        <f>MONTH($B3411)</f>
        <v/>
      </c>
      <c r="F3411" s="93">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$N3411*IF($O$3370=1,$O3411/$F$3370,1)</f>
        <v/>
      </c>
      <c r="T3411" s="95">
        <f>IF($G3411&lt;nr_MStartP,$S3411,$T3399*(1+IF($G3411&lt;nr_MStartP1,$M$3370,$N$3370)))</f>
        <v/>
      </c>
      <c r="U3411" s="95">
        <f>IF($L$3370,$T3411,$N3411)</f>
        <v/>
      </c>
    </row>
    <row r="3412">
      <c r="A3412" s="90" t="n">
        <v>40</v>
      </c>
      <c r="B3412" s="91">
        <f>EDATE($B3411,1)</f>
        <v/>
      </c>
      <c r="C3412" s="92">
        <f>EOMONTH($B3412,0)</f>
        <v/>
      </c>
      <c r="D3412" s="87">
        <f>$C3412-$B3412+1</f>
        <v/>
      </c>
      <c r="E3412" s="87">
        <f>MONTH($B3412)</f>
        <v/>
      </c>
      <c r="F3412" s="93">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$N3412*IF($O$3370=1,$O3412/$F$3370,1)</f>
        <v/>
      </c>
      <c r="T3412" s="95">
        <f>IF($G3412&lt;nr_MStartP,$S3412,$T3400*(1+IF($G3412&lt;nr_MStartP1,$M$3370,$N$3370)))</f>
        <v/>
      </c>
      <c r="U3412" s="95">
        <f>IF($L$3370,$T3412,$N3412)</f>
        <v/>
      </c>
    </row>
    <row r="3413">
      <c r="A3413" s="90" t="n">
        <v>41</v>
      </c>
      <c r="B3413" s="91">
        <f>EDATE($B3412,1)</f>
        <v/>
      </c>
      <c r="C3413" s="92">
        <f>EOMONTH($B3413,0)</f>
        <v/>
      </c>
      <c r="D3413" s="87">
        <f>$C3413-$B3413+1</f>
        <v/>
      </c>
      <c r="E3413" s="87">
        <f>MONTH($B3413)</f>
        <v/>
      </c>
      <c r="F3413" s="93">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$N3413*IF($O$3370=1,$O3413/$F$3370,1)</f>
        <v/>
      </c>
      <c r="T3413" s="95">
        <f>IF($G3413&lt;nr_MStartP,$S3413,$T3401*(1+IF($G3413&lt;nr_MStartP1,$M$3370,$N$3370)))</f>
        <v/>
      </c>
      <c r="U3413" s="95">
        <f>IF($L$3370,$T3413,$N3413)</f>
        <v/>
      </c>
    </row>
    <row r="3414">
      <c r="A3414" s="90" t="n">
        <v>42</v>
      </c>
      <c r="B3414" s="91">
        <f>EDATE($B3413,1)</f>
        <v/>
      </c>
      <c r="C3414" s="92">
        <f>EOMONTH($B3414,0)</f>
        <v/>
      </c>
      <c r="D3414" s="87">
        <f>$C3414-$B3414+1</f>
        <v/>
      </c>
      <c r="E3414" s="87">
        <f>MONTH($B3414)</f>
        <v/>
      </c>
      <c r="F3414" s="93">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$N3414*IF($O$3370=1,$O3414/$F$3370,1)</f>
        <v/>
      </c>
      <c r="T3414" s="95">
        <f>IF($G3414&lt;nr_MStartP,$S3414,$T3402*(1+IF($G3414&lt;nr_MStartP1,$M$3370,$N$3370)))</f>
        <v/>
      </c>
      <c r="U3414" s="95">
        <f>IF($L$3370,$T3414,$N3414)</f>
        <v/>
      </c>
    </row>
    <row r="3415">
      <c r="A3415" s="90" t="n">
        <v>43</v>
      </c>
      <c r="B3415" s="91">
        <f>EDATE($B3414,1)</f>
        <v/>
      </c>
      <c r="C3415" s="92">
        <f>EOMONTH($B3415,0)</f>
        <v/>
      </c>
      <c r="D3415" s="87">
        <f>$C3415-$B3415+1</f>
        <v/>
      </c>
      <c r="E3415" s="87">
        <f>MONTH($B3415)</f>
        <v/>
      </c>
      <c r="F3415" s="93">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$N3415*IF($O$3370=1,$O3415/$F$3370,1)</f>
        <v/>
      </c>
      <c r="T3415" s="95">
        <f>IF($G3415&lt;nr_MStartP,$S3415,$T3403*(1+IF($G3415&lt;nr_MStartP1,$M$3370,$N$3370)))</f>
        <v/>
      </c>
      <c r="U3415" s="95">
        <f>IF($L$3370,$T3415,$N3415)</f>
        <v/>
      </c>
    </row>
    <row r="3416">
      <c r="A3416" s="90" t="n">
        <v>44</v>
      </c>
      <c r="B3416" s="91">
        <f>EDATE($B3415,1)</f>
        <v/>
      </c>
      <c r="C3416" s="92">
        <f>EOMONTH($B3416,0)</f>
        <v/>
      </c>
      <c r="D3416" s="87">
        <f>$C3416-$B3416+1</f>
        <v/>
      </c>
      <c r="E3416" s="87">
        <f>MONTH($B3416)</f>
        <v/>
      </c>
      <c r="F3416" s="93">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$N3416*IF($O$3370=1,$O3416/$F$3370,1)</f>
        <v/>
      </c>
      <c r="T3416" s="95">
        <f>IF($G3416&lt;nr_MStartP,$S3416,$T3404*(1+IF($G3416&lt;nr_MStartP1,$M$3370,$N$3370)))</f>
        <v/>
      </c>
      <c r="U3416" s="95">
        <f>IF($L$3370,$T3416,$N3416)</f>
        <v/>
      </c>
    </row>
    <row r="3417">
      <c r="A3417" s="90" t="n">
        <v>45</v>
      </c>
      <c r="B3417" s="91">
        <f>EDATE($B3416,1)</f>
        <v/>
      </c>
      <c r="C3417" s="92">
        <f>EOMONTH($B3417,0)</f>
        <v/>
      </c>
      <c r="D3417" s="87">
        <f>$C3417-$B3417+1</f>
        <v/>
      </c>
      <c r="E3417" s="87">
        <f>MONTH($B3417)</f>
        <v/>
      </c>
      <c r="F3417" s="93">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$N3417*IF($O$3370=1,$O3417/$F$3370,1)</f>
        <v/>
      </c>
      <c r="T3417" s="95">
        <f>IF($G3417&lt;nr_MStartP,$S3417,$T3405*(1+IF($G3417&lt;nr_MStartP1,$M$3370,$N$3370)))</f>
        <v/>
      </c>
      <c r="U3417" s="95">
        <f>IF($L$3370,$T3417,$N3417)</f>
        <v/>
      </c>
    </row>
    <row r="3418">
      <c r="A3418" s="90" t="n">
        <v>46</v>
      </c>
      <c r="B3418" s="91">
        <f>EDATE($B3417,1)</f>
        <v/>
      </c>
      <c r="C3418" s="92">
        <f>EOMONTH($B3418,0)</f>
        <v/>
      </c>
      <c r="D3418" s="87">
        <f>$C3418-$B3418+1</f>
        <v/>
      </c>
      <c r="E3418" s="87">
        <f>MONTH($B3418)</f>
        <v/>
      </c>
      <c r="F3418" s="93">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$N3418*IF($O$3370=1,$O3418/$F$3370,1)</f>
        <v/>
      </c>
      <c r="T3418" s="95">
        <f>IF($G3418&lt;nr_MStartP,$S3418,$T3406*(1+IF($G3418&lt;nr_MStartP1,$M$3370,$N$3370)))</f>
        <v/>
      </c>
      <c r="U3418" s="95">
        <f>IF($L$3370,$T3418,$N3418)</f>
        <v/>
      </c>
    </row>
    <row r="3419">
      <c r="A3419" s="90" t="n">
        <v>47</v>
      </c>
      <c r="B3419" s="91">
        <f>EDATE($B3418,1)</f>
        <v/>
      </c>
      <c r="C3419" s="92">
        <f>EOMONTH($B3419,0)</f>
        <v/>
      </c>
      <c r="D3419" s="87">
        <f>$C3419-$B3419+1</f>
        <v/>
      </c>
      <c r="E3419" s="87">
        <f>MONTH($B3419)</f>
        <v/>
      </c>
      <c r="F3419" s="93">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$N3419*IF($O$3370=1,$O3419/$F$3370,1)</f>
        <v/>
      </c>
      <c r="T3419" s="95">
        <f>IF($G3419&lt;nr_MStartP,$S3419,$T3407*(1+IF($G3419&lt;nr_MStartP1,$M$3370,$N$3370)))</f>
        <v/>
      </c>
      <c r="U3419" s="95">
        <f>IF($L$3370,$T3419,$N3419)</f>
        <v/>
      </c>
    </row>
    <row r="3420">
      <c r="A3420" s="90" t="n">
        <v>48</v>
      </c>
      <c r="B3420" s="91">
        <f>EDATE($B3419,1)</f>
        <v/>
      </c>
      <c r="C3420" s="92">
        <f>EOMONTH($B3420,0)</f>
        <v/>
      </c>
      <c r="D3420" s="87">
        <f>$C3420-$B3420+1</f>
        <v/>
      </c>
      <c r="E3420" s="87">
        <f>MONTH($B3420)</f>
        <v/>
      </c>
      <c r="F3420" s="93">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$N3420*IF($O$3370=1,$O3420/$F$3370,1)</f>
        <v/>
      </c>
      <c r="T3420" s="95">
        <f>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04">
        <f>SUMPRODUCT($H$3373:$H$3420,$Q$3373:$Q$3420,$O$3373:$O$3420)/SUMPRODUCT($H$3373:$H$3420,$Q$3373:$Q$3420)</f>
        <v/>
      </c>
      <c r="G3421" s="20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04">
        <f>IF(N(INDEX(lr_mind,63))=0,1,INDEX(lr_mind,63))</f>
        <v/>
      </c>
      <c r="G3424" s="204">
        <f>IF(N(INDEX(lr_m0,63))=0,1,INDEX(lr_m0,63))</f>
        <v/>
      </c>
      <c r="H3424" s="73">
        <f>IF(N(INDEX(lr_m0asof,63))=0,DATE(nr_PlanYear-1,10,1),INDEX(lr_m0asof,63))</f>
        <v/>
      </c>
      <c r="I3424" s="204">
        <f>IF(N(INDEX(lr_m1,63))=0,1,INDEX(lr_m1,63))</f>
        <v/>
      </c>
      <c r="J3424" s="204">
        <f>INDEX(lr_mprior,63)</f>
        <v/>
      </c>
      <c r="K3424" s="20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93">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$N3427*IF($O$3424=1,$O3427/$F$3424,1)</f>
        <v/>
      </c>
      <c r="T3427" s="95">
        <f>IF($G3427&lt;nr_MStartP,$S3427,$T3415*(1+IF($G3427&lt;nr_MStartP1,$M$3424,$N$3424)))</f>
        <v/>
      </c>
      <c r="U3427" s="95">
        <f>IF($L$3424,$T3427,$N3427)</f>
        <v/>
      </c>
    </row>
    <row r="3428">
      <c r="A3428" s="90" t="n">
        <v>2</v>
      </c>
      <c r="B3428" s="91">
        <f>EDATE($B3427,1)</f>
        <v/>
      </c>
      <c r="C3428" s="92">
        <f>EOMONTH($B3428,0)</f>
        <v/>
      </c>
      <c r="D3428" s="87">
        <f>$C3428-$B3428+1</f>
        <v/>
      </c>
      <c r="E3428" s="87">
        <f>MONTH($B3428)</f>
        <v/>
      </c>
      <c r="F3428" s="93">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$N3428*IF($O$3424=1,$O3428/$F$3424,1)</f>
        <v/>
      </c>
      <c r="T3428" s="95">
        <f>IF($G3428&lt;nr_MStartP,$S3428,$T3416*(1+IF($G3428&lt;nr_MStartP1,$M$3424,$N$3424)))</f>
        <v/>
      </c>
      <c r="U3428" s="95">
        <f>IF($L$3424,$T3428,$N3428)</f>
        <v/>
      </c>
    </row>
    <row r="3429">
      <c r="A3429" s="90" t="n">
        <v>3</v>
      </c>
      <c r="B3429" s="91">
        <f>EDATE($B3428,1)</f>
        <v/>
      </c>
      <c r="C3429" s="92">
        <f>EOMONTH($B3429,0)</f>
        <v/>
      </c>
      <c r="D3429" s="87">
        <f>$C3429-$B3429+1</f>
        <v/>
      </c>
      <c r="E3429" s="87">
        <f>MONTH($B3429)</f>
        <v/>
      </c>
      <c r="F3429" s="93">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$N3429*IF($O$3424=1,$O3429/$F$3424,1)</f>
        <v/>
      </c>
      <c r="T3429" s="95">
        <f>IF($G3429&lt;nr_MStartP,$S3429,$T3417*(1+IF($G3429&lt;nr_MStartP1,$M$3424,$N$3424)))</f>
        <v/>
      </c>
      <c r="U3429" s="95">
        <f>IF($L$3424,$T3429,$N3429)</f>
        <v/>
      </c>
    </row>
    <row r="3430">
      <c r="A3430" s="90" t="n">
        <v>4</v>
      </c>
      <c r="B3430" s="91">
        <f>EDATE($B3429,1)</f>
        <v/>
      </c>
      <c r="C3430" s="92">
        <f>EOMONTH($B3430,0)</f>
        <v/>
      </c>
      <c r="D3430" s="87">
        <f>$C3430-$B3430+1</f>
        <v/>
      </c>
      <c r="E3430" s="87">
        <f>MONTH($B3430)</f>
        <v/>
      </c>
      <c r="F3430" s="93">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$N3430*IF($O$3424=1,$O3430/$F$3424,1)</f>
        <v/>
      </c>
      <c r="T3430" s="95">
        <f>IF($G3430&lt;nr_MStartP,$S3430,$T3418*(1+IF($G3430&lt;nr_MStartP1,$M$3424,$N$3424)))</f>
        <v/>
      </c>
      <c r="U3430" s="95">
        <f>IF($L$3424,$T3430,$N3430)</f>
        <v/>
      </c>
    </row>
    <row r="3431">
      <c r="A3431" s="90" t="n">
        <v>5</v>
      </c>
      <c r="B3431" s="91">
        <f>EDATE($B3430,1)</f>
        <v/>
      </c>
      <c r="C3431" s="92">
        <f>EOMONTH($B3431,0)</f>
        <v/>
      </c>
      <c r="D3431" s="87">
        <f>$C3431-$B3431+1</f>
        <v/>
      </c>
      <c r="E3431" s="87">
        <f>MONTH($B3431)</f>
        <v/>
      </c>
      <c r="F3431" s="93">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$N3431*IF($O$3424=1,$O3431/$F$3424,1)</f>
        <v/>
      </c>
      <c r="T3431" s="95">
        <f>IF($G3431&lt;nr_MStartP,$S3431,$T3419*(1+IF($G3431&lt;nr_MStartP1,$M$3424,$N$3424)))</f>
        <v/>
      </c>
      <c r="U3431" s="95">
        <f>IF($L$3424,$T3431,$N3431)</f>
        <v/>
      </c>
    </row>
    <row r="3432">
      <c r="A3432" s="90" t="n">
        <v>6</v>
      </c>
      <c r="B3432" s="91">
        <f>EDATE($B3431,1)</f>
        <v/>
      </c>
      <c r="C3432" s="92">
        <f>EOMONTH($B3432,0)</f>
        <v/>
      </c>
      <c r="D3432" s="87">
        <f>$C3432-$B3432+1</f>
        <v/>
      </c>
      <c r="E3432" s="87">
        <f>MONTH($B3432)</f>
        <v/>
      </c>
      <c r="F3432" s="93">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$N3432*IF($O$3424=1,$O3432/$F$3424,1)</f>
        <v/>
      </c>
      <c r="T3432" s="95">
        <f>IF($G3432&lt;nr_MStartP,$S3432,$T3420*(1+IF($G3432&lt;nr_MStartP1,$M$3424,$N$3424)))</f>
        <v/>
      </c>
      <c r="U3432" s="95">
        <f>IF($L$3424,$T3432,$N3432)</f>
        <v/>
      </c>
    </row>
    <row r="3433">
      <c r="A3433" s="90" t="n">
        <v>7</v>
      </c>
      <c r="B3433" s="91">
        <f>EDATE($B3432,1)</f>
        <v/>
      </c>
      <c r="C3433" s="92">
        <f>EOMONTH($B3433,0)</f>
        <v/>
      </c>
      <c r="D3433" s="87">
        <f>$C3433-$B3433+1</f>
        <v/>
      </c>
      <c r="E3433" s="87">
        <f>MONTH($B3433)</f>
        <v/>
      </c>
      <c r="F3433" s="93">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$N3433*IF($O$3424=1,$O3433/$F$3424,1)</f>
        <v/>
      </c>
      <c r="T3433" s="95">
        <f>IF($G3433&lt;nr_MStartP,$S3433,$T3421*(1+IF($G3433&lt;nr_MStartP1,$M$3424,$N$3424)))</f>
        <v/>
      </c>
      <c r="U3433" s="95">
        <f>IF($L$3424,$T3433,$N3433)</f>
        <v/>
      </c>
    </row>
    <row r="3434">
      <c r="A3434" s="90" t="n">
        <v>8</v>
      </c>
      <c r="B3434" s="91">
        <f>EDATE($B3433,1)</f>
        <v/>
      </c>
      <c r="C3434" s="92">
        <f>EOMONTH($B3434,0)</f>
        <v/>
      </c>
      <c r="D3434" s="87">
        <f>$C3434-$B3434+1</f>
        <v/>
      </c>
      <c r="E3434" s="87">
        <f>MONTH($B3434)</f>
        <v/>
      </c>
      <c r="F3434" s="93">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$N3434*IF($O$3424=1,$O3434/$F$3424,1)</f>
        <v/>
      </c>
      <c r="T3434" s="95">
        <f>IF($G3434&lt;nr_MStartP,$S3434,$T3422*(1+IF($G3434&lt;nr_MStartP1,$M$3424,$N$3424)))</f>
        <v/>
      </c>
      <c r="U3434" s="95">
        <f>IF($L$3424,$T3434,$N3434)</f>
        <v/>
      </c>
    </row>
    <row r="3435">
      <c r="A3435" s="90" t="n">
        <v>9</v>
      </c>
      <c r="B3435" s="91">
        <f>EDATE($B3434,1)</f>
        <v/>
      </c>
      <c r="C3435" s="92">
        <f>EOMONTH($B3435,0)</f>
        <v/>
      </c>
      <c r="D3435" s="87">
        <f>$C3435-$B3435+1</f>
        <v/>
      </c>
      <c r="E3435" s="87">
        <f>MONTH($B3435)</f>
        <v/>
      </c>
      <c r="F3435" s="93">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$N3435*IF($O$3424=1,$O3435/$F$3424,1)</f>
        <v/>
      </c>
      <c r="T3435" s="95">
        <f>IF($G3435&lt;nr_MStartP,$S3435,$T3423*(1+IF($G3435&lt;nr_MStartP1,$M$3424,$N$3424)))</f>
        <v/>
      </c>
      <c r="U3435" s="95">
        <f>IF($L$3424,$T3435,$N3435)</f>
        <v/>
      </c>
    </row>
    <row r="3436">
      <c r="A3436" s="90" t="n">
        <v>10</v>
      </c>
      <c r="B3436" s="91">
        <f>EDATE($B3435,1)</f>
        <v/>
      </c>
      <c r="C3436" s="92">
        <f>EOMONTH($B3436,0)</f>
        <v/>
      </c>
      <c r="D3436" s="87">
        <f>$C3436-$B3436+1</f>
        <v/>
      </c>
      <c r="E3436" s="87">
        <f>MONTH($B3436)</f>
        <v/>
      </c>
      <c r="F3436" s="93">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$N3436*IF($O$3424=1,$O3436/$F$3424,1)</f>
        <v/>
      </c>
      <c r="T3436" s="95">
        <f>IF($G3436&lt;nr_MStartP,$S3436,$T3424*(1+IF($G3436&lt;nr_MStartP1,$M$3424,$N$3424)))</f>
        <v/>
      </c>
      <c r="U3436" s="95">
        <f>IF($L$3424,$T3436,$N3436)</f>
        <v/>
      </c>
    </row>
    <row r="3437">
      <c r="A3437" s="90" t="n">
        <v>11</v>
      </c>
      <c r="B3437" s="91">
        <f>EDATE($B3436,1)</f>
        <v/>
      </c>
      <c r="C3437" s="92">
        <f>EOMONTH($B3437,0)</f>
        <v/>
      </c>
      <c r="D3437" s="87">
        <f>$C3437-$B3437+1</f>
        <v/>
      </c>
      <c r="E3437" s="87">
        <f>MONTH($B3437)</f>
        <v/>
      </c>
      <c r="F3437" s="93">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$N3437*IF($O$3424=1,$O3437/$F$3424,1)</f>
        <v/>
      </c>
      <c r="T3437" s="95">
        <f>IF($G3437&lt;nr_MStartP,$S3437,$T3425*(1+IF($G3437&lt;nr_MStartP1,$M$3424,$N$3424)))</f>
        <v/>
      </c>
      <c r="U3437" s="95">
        <f>IF($L$3424,$T3437,$N3437)</f>
        <v/>
      </c>
    </row>
    <row r="3438">
      <c r="A3438" s="90" t="n">
        <v>12</v>
      </c>
      <c r="B3438" s="91">
        <f>EDATE($B3437,1)</f>
        <v/>
      </c>
      <c r="C3438" s="92">
        <f>EOMONTH($B3438,0)</f>
        <v/>
      </c>
      <c r="D3438" s="87">
        <f>$C3438-$B3438+1</f>
        <v/>
      </c>
      <c r="E3438" s="87">
        <f>MONTH($B3438)</f>
        <v/>
      </c>
      <c r="F3438" s="93">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$N3438*IF($O$3424=1,$O3438/$F$3424,1)</f>
        <v/>
      </c>
      <c r="T3438" s="95">
        <f>IF($G3438&lt;nr_MStartP,$S3438,$T3426*(1+IF($G3438&lt;nr_MStartP1,$M$3424,$N$3424)))</f>
        <v/>
      </c>
      <c r="U3438" s="95">
        <f>IF($L$3424,$T3438,$N3438)</f>
        <v/>
      </c>
    </row>
    <row r="3439">
      <c r="A3439" s="90" t="n">
        <v>13</v>
      </c>
      <c r="B3439" s="91">
        <f>EDATE($B3438,1)</f>
        <v/>
      </c>
      <c r="C3439" s="92">
        <f>EOMONTH($B3439,0)</f>
        <v/>
      </c>
      <c r="D3439" s="87">
        <f>$C3439-$B3439+1</f>
        <v/>
      </c>
      <c r="E3439" s="87">
        <f>MONTH($B3439)</f>
        <v/>
      </c>
      <c r="F3439" s="93">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$N3439*IF($O$3424=1,$O3439/$F$3424,1)</f>
        <v/>
      </c>
      <c r="T3439" s="95">
        <f>IF($G3439&lt;nr_MStartP,$S3439,$T3427*(1+IF($G3439&lt;nr_MStartP1,$M$3424,$N$3424)))</f>
        <v/>
      </c>
      <c r="U3439" s="95">
        <f>IF($L$3424,$T3439,$N3439)</f>
        <v/>
      </c>
    </row>
    <row r="3440">
      <c r="A3440" s="90" t="n">
        <v>14</v>
      </c>
      <c r="B3440" s="91">
        <f>EDATE($B3439,1)</f>
        <v/>
      </c>
      <c r="C3440" s="92">
        <f>EOMONTH($B3440,0)</f>
        <v/>
      </c>
      <c r="D3440" s="87">
        <f>$C3440-$B3440+1</f>
        <v/>
      </c>
      <c r="E3440" s="87">
        <f>MONTH($B3440)</f>
        <v/>
      </c>
      <c r="F3440" s="93">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$N3440*IF($O$3424=1,$O3440/$F$3424,1)</f>
        <v/>
      </c>
      <c r="T3440" s="95">
        <f>IF($G3440&lt;nr_MStartP,$S3440,$T3428*(1+IF($G3440&lt;nr_MStartP1,$M$3424,$N$3424)))</f>
        <v/>
      </c>
      <c r="U3440" s="95">
        <f>IF($L$3424,$T3440,$N3440)</f>
        <v/>
      </c>
    </row>
    <row r="3441">
      <c r="A3441" s="90" t="n">
        <v>15</v>
      </c>
      <c r="B3441" s="91">
        <f>EDATE($B3440,1)</f>
        <v/>
      </c>
      <c r="C3441" s="92">
        <f>EOMONTH($B3441,0)</f>
        <v/>
      </c>
      <c r="D3441" s="87">
        <f>$C3441-$B3441+1</f>
        <v/>
      </c>
      <c r="E3441" s="87">
        <f>MONTH($B3441)</f>
        <v/>
      </c>
      <c r="F3441" s="93">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$N3441*IF($O$3424=1,$O3441/$F$3424,1)</f>
        <v/>
      </c>
      <c r="T3441" s="95">
        <f>IF($G3441&lt;nr_MStartP,$S3441,$T3429*(1+IF($G3441&lt;nr_MStartP1,$M$3424,$N$3424)))</f>
        <v/>
      </c>
      <c r="U3441" s="95">
        <f>IF($L$3424,$T3441,$N3441)</f>
        <v/>
      </c>
    </row>
    <row r="3442">
      <c r="A3442" s="90" t="n">
        <v>16</v>
      </c>
      <c r="B3442" s="91">
        <f>EDATE($B3441,1)</f>
        <v/>
      </c>
      <c r="C3442" s="92">
        <f>EOMONTH($B3442,0)</f>
        <v/>
      </c>
      <c r="D3442" s="87">
        <f>$C3442-$B3442+1</f>
        <v/>
      </c>
      <c r="E3442" s="87">
        <f>MONTH($B3442)</f>
        <v/>
      </c>
      <c r="F3442" s="93">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$N3442*IF($O$3424=1,$O3442/$F$3424,1)</f>
        <v/>
      </c>
      <c r="T3442" s="95">
        <f>IF($G3442&lt;nr_MStartP,$S3442,$T3430*(1+IF($G3442&lt;nr_MStartP1,$M$3424,$N$3424)))</f>
        <v/>
      </c>
      <c r="U3442" s="95">
        <f>IF($L$3424,$T3442,$N3442)</f>
        <v/>
      </c>
    </row>
    <row r="3443">
      <c r="A3443" s="90" t="n">
        <v>17</v>
      </c>
      <c r="B3443" s="91">
        <f>EDATE($B3442,1)</f>
        <v/>
      </c>
      <c r="C3443" s="92">
        <f>EOMONTH($B3443,0)</f>
        <v/>
      </c>
      <c r="D3443" s="87">
        <f>$C3443-$B3443+1</f>
        <v/>
      </c>
      <c r="E3443" s="87">
        <f>MONTH($B3443)</f>
        <v/>
      </c>
      <c r="F3443" s="93">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$N3443*IF($O$3424=1,$O3443/$F$3424,1)</f>
        <v/>
      </c>
      <c r="T3443" s="95">
        <f>IF($G3443&lt;nr_MStartP,$S3443,$T3431*(1+IF($G3443&lt;nr_MStartP1,$M$3424,$N$3424)))</f>
        <v/>
      </c>
      <c r="U3443" s="95">
        <f>IF($L$3424,$T3443,$N3443)</f>
        <v/>
      </c>
    </row>
    <row r="3444">
      <c r="A3444" s="90" t="n">
        <v>18</v>
      </c>
      <c r="B3444" s="91">
        <f>EDATE($B3443,1)</f>
        <v/>
      </c>
      <c r="C3444" s="92">
        <f>EOMONTH($B3444,0)</f>
        <v/>
      </c>
      <c r="D3444" s="87">
        <f>$C3444-$B3444+1</f>
        <v/>
      </c>
      <c r="E3444" s="87">
        <f>MONTH($B3444)</f>
        <v/>
      </c>
      <c r="F3444" s="93">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$N3444*IF($O$3424=1,$O3444/$F$3424,1)</f>
        <v/>
      </c>
      <c r="T3444" s="95">
        <f>IF($G3444&lt;nr_MStartP,$S3444,$T3432*(1+IF($G3444&lt;nr_MStartP1,$M$3424,$N$3424)))</f>
        <v/>
      </c>
      <c r="U3444" s="95">
        <f>IF($L$3424,$T3444,$N3444)</f>
        <v/>
      </c>
    </row>
    <row r="3445">
      <c r="A3445" s="90" t="n">
        <v>19</v>
      </c>
      <c r="B3445" s="91">
        <f>EDATE($B3444,1)</f>
        <v/>
      </c>
      <c r="C3445" s="92">
        <f>EOMONTH($B3445,0)</f>
        <v/>
      </c>
      <c r="D3445" s="87">
        <f>$C3445-$B3445+1</f>
        <v/>
      </c>
      <c r="E3445" s="87">
        <f>MONTH($B3445)</f>
        <v/>
      </c>
      <c r="F3445" s="93">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$N3445*IF($O$3424=1,$O3445/$F$3424,1)</f>
        <v/>
      </c>
      <c r="T3445" s="95">
        <f>IF($G3445&lt;nr_MStartP,$S3445,$T3433*(1+IF($G3445&lt;nr_MStartP1,$M$3424,$N$3424)))</f>
        <v/>
      </c>
      <c r="U3445" s="95">
        <f>IF($L$3424,$T3445,$N3445)</f>
        <v/>
      </c>
    </row>
    <row r="3446">
      <c r="A3446" s="90" t="n">
        <v>20</v>
      </c>
      <c r="B3446" s="91">
        <f>EDATE($B3445,1)</f>
        <v/>
      </c>
      <c r="C3446" s="92">
        <f>EOMONTH($B3446,0)</f>
        <v/>
      </c>
      <c r="D3446" s="87">
        <f>$C3446-$B3446+1</f>
        <v/>
      </c>
      <c r="E3446" s="87">
        <f>MONTH($B3446)</f>
        <v/>
      </c>
      <c r="F3446" s="93">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$N3446*IF($O$3424=1,$O3446/$F$3424,1)</f>
        <v/>
      </c>
      <c r="T3446" s="95">
        <f>IF($G3446&lt;nr_MStartP,$S3446,$T3434*(1+IF($G3446&lt;nr_MStartP1,$M$3424,$N$3424)))</f>
        <v/>
      </c>
      <c r="U3446" s="95">
        <f>IF($L$3424,$T3446,$N3446)</f>
        <v/>
      </c>
    </row>
    <row r="3447">
      <c r="A3447" s="90" t="n">
        <v>21</v>
      </c>
      <c r="B3447" s="91">
        <f>EDATE($B3446,1)</f>
        <v/>
      </c>
      <c r="C3447" s="92">
        <f>EOMONTH($B3447,0)</f>
        <v/>
      </c>
      <c r="D3447" s="87">
        <f>$C3447-$B3447+1</f>
        <v/>
      </c>
      <c r="E3447" s="87">
        <f>MONTH($B3447)</f>
        <v/>
      </c>
      <c r="F3447" s="93">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$N3447*IF($O$3424=1,$O3447/$F$3424,1)</f>
        <v/>
      </c>
      <c r="T3447" s="95">
        <f>IF($G3447&lt;nr_MStartP,$S3447,$T3435*(1+IF($G3447&lt;nr_MStartP1,$M$3424,$N$3424)))</f>
        <v/>
      </c>
      <c r="U3447" s="95">
        <f>IF($L$3424,$T3447,$N3447)</f>
        <v/>
      </c>
    </row>
    <row r="3448">
      <c r="A3448" s="90" t="n">
        <v>22</v>
      </c>
      <c r="B3448" s="91">
        <f>EDATE($B3447,1)</f>
        <v/>
      </c>
      <c r="C3448" s="92">
        <f>EOMONTH($B3448,0)</f>
        <v/>
      </c>
      <c r="D3448" s="87">
        <f>$C3448-$B3448+1</f>
        <v/>
      </c>
      <c r="E3448" s="87">
        <f>MONTH($B3448)</f>
        <v/>
      </c>
      <c r="F3448" s="93">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$N3448*IF($O$3424=1,$O3448/$F$3424,1)</f>
        <v/>
      </c>
      <c r="T3448" s="95">
        <f>IF($G3448&lt;nr_MStartP,$S3448,$T3436*(1+IF($G3448&lt;nr_MStartP1,$M$3424,$N$3424)))</f>
        <v/>
      </c>
      <c r="U3448" s="95">
        <f>IF($L$3424,$T3448,$N3448)</f>
        <v/>
      </c>
    </row>
    <row r="3449">
      <c r="A3449" s="90" t="n">
        <v>23</v>
      </c>
      <c r="B3449" s="91">
        <f>EDATE($B3448,1)</f>
        <v/>
      </c>
      <c r="C3449" s="92">
        <f>EOMONTH($B3449,0)</f>
        <v/>
      </c>
      <c r="D3449" s="87">
        <f>$C3449-$B3449+1</f>
        <v/>
      </c>
      <c r="E3449" s="87">
        <f>MONTH($B3449)</f>
        <v/>
      </c>
      <c r="F3449" s="93">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$N3449*IF($O$3424=1,$O3449/$F$3424,1)</f>
        <v/>
      </c>
      <c r="T3449" s="95">
        <f>IF($G3449&lt;nr_MStartP,$S3449,$T3437*(1+IF($G3449&lt;nr_MStartP1,$M$3424,$N$3424)))</f>
        <v/>
      </c>
      <c r="U3449" s="95">
        <f>IF($L$3424,$T3449,$N3449)</f>
        <v/>
      </c>
    </row>
    <row r="3450">
      <c r="A3450" s="90" t="n">
        <v>24</v>
      </c>
      <c r="B3450" s="91">
        <f>EDATE($B3449,1)</f>
        <v/>
      </c>
      <c r="C3450" s="92">
        <f>EOMONTH($B3450,0)</f>
        <v/>
      </c>
      <c r="D3450" s="87">
        <f>$C3450-$B3450+1</f>
        <v/>
      </c>
      <c r="E3450" s="87">
        <f>MONTH($B3450)</f>
        <v/>
      </c>
      <c r="F3450" s="93">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$N3450*IF($O$3424=1,$O3450/$F$3424,1)</f>
        <v/>
      </c>
      <c r="T3450" s="95">
        <f>IF($G3450&lt;nr_MStartP,$S3450,$T3438*(1+IF($G3450&lt;nr_MStartP1,$M$3424,$N$3424)))</f>
        <v/>
      </c>
      <c r="U3450" s="95">
        <f>IF($L$3424,$T3450,$N3450)</f>
        <v/>
      </c>
    </row>
    <row r="3451">
      <c r="A3451" s="90" t="n">
        <v>25</v>
      </c>
      <c r="B3451" s="91">
        <f>EDATE($B3450,1)</f>
        <v/>
      </c>
      <c r="C3451" s="92">
        <f>EOMONTH($B3451,0)</f>
        <v/>
      </c>
      <c r="D3451" s="87">
        <f>$C3451-$B3451+1</f>
        <v/>
      </c>
      <c r="E3451" s="87">
        <f>MONTH($B3451)</f>
        <v/>
      </c>
      <c r="F3451" s="93">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$N3451*IF($O$3424=1,$O3451/$F$3424,1)</f>
        <v/>
      </c>
      <c r="T3451" s="95">
        <f>IF($G3451&lt;nr_MStartP,$S3451,$T3439*(1+IF($G3451&lt;nr_MStartP1,$M$3424,$N$3424)))</f>
        <v/>
      </c>
      <c r="U3451" s="95">
        <f>IF($L$3424,$T3451,$N3451)</f>
        <v/>
      </c>
    </row>
    <row r="3452">
      <c r="A3452" s="90" t="n">
        <v>26</v>
      </c>
      <c r="B3452" s="91">
        <f>EDATE($B3451,1)</f>
        <v/>
      </c>
      <c r="C3452" s="92">
        <f>EOMONTH($B3452,0)</f>
        <v/>
      </c>
      <c r="D3452" s="87">
        <f>$C3452-$B3452+1</f>
        <v/>
      </c>
      <c r="E3452" s="87">
        <f>MONTH($B3452)</f>
        <v/>
      </c>
      <c r="F3452" s="93">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$N3452*IF($O$3424=1,$O3452/$F$3424,1)</f>
        <v/>
      </c>
      <c r="T3452" s="95">
        <f>IF($G3452&lt;nr_MStartP,$S3452,$T3440*(1+IF($G3452&lt;nr_MStartP1,$M$3424,$N$3424)))</f>
        <v/>
      </c>
      <c r="U3452" s="95">
        <f>IF($L$3424,$T3452,$N3452)</f>
        <v/>
      </c>
    </row>
    <row r="3453">
      <c r="A3453" s="90" t="n">
        <v>27</v>
      </c>
      <c r="B3453" s="91">
        <f>EDATE($B3452,1)</f>
        <v/>
      </c>
      <c r="C3453" s="92">
        <f>EOMONTH($B3453,0)</f>
        <v/>
      </c>
      <c r="D3453" s="87">
        <f>$C3453-$B3453+1</f>
        <v/>
      </c>
      <c r="E3453" s="87">
        <f>MONTH($B3453)</f>
        <v/>
      </c>
      <c r="F3453" s="93">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$N3453*IF($O$3424=1,$O3453/$F$3424,1)</f>
        <v/>
      </c>
      <c r="T3453" s="95">
        <f>IF($G3453&lt;nr_MStartP,$S3453,$T3441*(1+IF($G3453&lt;nr_MStartP1,$M$3424,$N$3424)))</f>
        <v/>
      </c>
      <c r="U3453" s="95">
        <f>IF($L$3424,$T3453,$N3453)</f>
        <v/>
      </c>
    </row>
    <row r="3454">
      <c r="A3454" s="90" t="n">
        <v>28</v>
      </c>
      <c r="B3454" s="91">
        <f>EDATE($B3453,1)</f>
        <v/>
      </c>
      <c r="C3454" s="92">
        <f>EOMONTH($B3454,0)</f>
        <v/>
      </c>
      <c r="D3454" s="87">
        <f>$C3454-$B3454+1</f>
        <v/>
      </c>
      <c r="E3454" s="87">
        <f>MONTH($B3454)</f>
        <v/>
      </c>
      <c r="F3454" s="93">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$N3454*IF($O$3424=1,$O3454/$F$3424,1)</f>
        <v/>
      </c>
      <c r="T3454" s="95">
        <f>IF($G3454&lt;nr_MStartP,$S3454,$T3442*(1+IF($G3454&lt;nr_MStartP1,$M$3424,$N$3424)))</f>
        <v/>
      </c>
      <c r="U3454" s="95">
        <f>IF($L$3424,$T3454,$N3454)</f>
        <v/>
      </c>
    </row>
    <row r="3455">
      <c r="A3455" s="90" t="n">
        <v>29</v>
      </c>
      <c r="B3455" s="91">
        <f>EDATE($B3454,1)</f>
        <v/>
      </c>
      <c r="C3455" s="92">
        <f>EOMONTH($B3455,0)</f>
        <v/>
      </c>
      <c r="D3455" s="87">
        <f>$C3455-$B3455+1</f>
        <v/>
      </c>
      <c r="E3455" s="87">
        <f>MONTH($B3455)</f>
        <v/>
      </c>
      <c r="F3455" s="93">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$N3455*IF($O$3424=1,$O3455/$F$3424,1)</f>
        <v/>
      </c>
      <c r="T3455" s="95">
        <f>IF($G3455&lt;nr_MStartP,$S3455,$T3443*(1+IF($G3455&lt;nr_MStartP1,$M$3424,$N$3424)))</f>
        <v/>
      </c>
      <c r="U3455" s="95">
        <f>IF($L$3424,$T3455,$N3455)</f>
        <v/>
      </c>
    </row>
    <row r="3456">
      <c r="A3456" s="90" t="n">
        <v>30</v>
      </c>
      <c r="B3456" s="91">
        <f>EDATE($B3455,1)</f>
        <v/>
      </c>
      <c r="C3456" s="92">
        <f>EOMONTH($B3456,0)</f>
        <v/>
      </c>
      <c r="D3456" s="87">
        <f>$C3456-$B3456+1</f>
        <v/>
      </c>
      <c r="E3456" s="87">
        <f>MONTH($B3456)</f>
        <v/>
      </c>
      <c r="F3456" s="93">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$N3456*IF($O$3424=1,$O3456/$F$3424,1)</f>
        <v/>
      </c>
      <c r="T3456" s="95">
        <f>IF($G3456&lt;nr_MStartP,$S3456,$T3444*(1+IF($G3456&lt;nr_MStartP1,$M$3424,$N$3424)))</f>
        <v/>
      </c>
      <c r="U3456" s="95">
        <f>IF($L$3424,$T3456,$N3456)</f>
        <v/>
      </c>
    </row>
    <row r="3457">
      <c r="A3457" s="90" t="n">
        <v>31</v>
      </c>
      <c r="B3457" s="91">
        <f>EDATE($B3456,1)</f>
        <v/>
      </c>
      <c r="C3457" s="92">
        <f>EOMONTH($B3457,0)</f>
        <v/>
      </c>
      <c r="D3457" s="87">
        <f>$C3457-$B3457+1</f>
        <v/>
      </c>
      <c r="E3457" s="87">
        <f>MONTH($B3457)</f>
        <v/>
      </c>
      <c r="F3457" s="93">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$N3457*IF($O$3424=1,$O3457/$F$3424,1)</f>
        <v/>
      </c>
      <c r="T3457" s="95">
        <f>IF($G3457&lt;nr_MStartP,$S3457,$T3445*(1+IF($G3457&lt;nr_MStartP1,$M$3424,$N$3424)))</f>
        <v/>
      </c>
      <c r="U3457" s="95">
        <f>IF($L$3424,$T3457,$N3457)</f>
        <v/>
      </c>
    </row>
    <row r="3458">
      <c r="A3458" s="90" t="n">
        <v>32</v>
      </c>
      <c r="B3458" s="91">
        <f>EDATE($B3457,1)</f>
        <v/>
      </c>
      <c r="C3458" s="92">
        <f>EOMONTH($B3458,0)</f>
        <v/>
      </c>
      <c r="D3458" s="87">
        <f>$C3458-$B3458+1</f>
        <v/>
      </c>
      <c r="E3458" s="87">
        <f>MONTH($B3458)</f>
        <v/>
      </c>
      <c r="F3458" s="93">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$N3458*IF($O$3424=1,$O3458/$F$3424,1)</f>
        <v/>
      </c>
      <c r="T3458" s="95">
        <f>IF($G3458&lt;nr_MStartP,$S3458,$T3446*(1+IF($G3458&lt;nr_MStartP1,$M$3424,$N$3424)))</f>
        <v/>
      </c>
      <c r="U3458" s="95">
        <f>IF($L$3424,$T3458,$N3458)</f>
        <v/>
      </c>
    </row>
    <row r="3459">
      <c r="A3459" s="90" t="n">
        <v>33</v>
      </c>
      <c r="B3459" s="91">
        <f>EDATE($B3458,1)</f>
        <v/>
      </c>
      <c r="C3459" s="92">
        <f>EOMONTH($B3459,0)</f>
        <v/>
      </c>
      <c r="D3459" s="87">
        <f>$C3459-$B3459+1</f>
        <v/>
      </c>
      <c r="E3459" s="87">
        <f>MONTH($B3459)</f>
        <v/>
      </c>
      <c r="F3459" s="93">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$N3459*IF($O$3424=1,$O3459/$F$3424,1)</f>
        <v/>
      </c>
      <c r="T3459" s="95">
        <f>IF($G3459&lt;nr_MStartP,$S3459,$T3447*(1+IF($G3459&lt;nr_MStartP1,$M$3424,$N$3424)))</f>
        <v/>
      </c>
      <c r="U3459" s="95">
        <f>IF($L$3424,$T3459,$N3459)</f>
        <v/>
      </c>
    </row>
    <row r="3460">
      <c r="A3460" s="90" t="n">
        <v>34</v>
      </c>
      <c r="B3460" s="91">
        <f>EDATE($B3459,1)</f>
        <v/>
      </c>
      <c r="C3460" s="92">
        <f>EOMONTH($B3460,0)</f>
        <v/>
      </c>
      <c r="D3460" s="87">
        <f>$C3460-$B3460+1</f>
        <v/>
      </c>
      <c r="E3460" s="87">
        <f>MONTH($B3460)</f>
        <v/>
      </c>
      <c r="F3460" s="93">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$N3460*IF($O$3424=1,$O3460/$F$3424,1)</f>
        <v/>
      </c>
      <c r="T3460" s="95">
        <f>IF($G3460&lt;nr_MStartP,$S3460,$T3448*(1+IF($G3460&lt;nr_MStartP1,$M$3424,$N$3424)))</f>
        <v/>
      </c>
      <c r="U3460" s="95">
        <f>IF($L$3424,$T3460,$N3460)</f>
        <v/>
      </c>
    </row>
    <row r="3461">
      <c r="A3461" s="90" t="n">
        <v>35</v>
      </c>
      <c r="B3461" s="91">
        <f>EDATE($B3460,1)</f>
        <v/>
      </c>
      <c r="C3461" s="92">
        <f>EOMONTH($B3461,0)</f>
        <v/>
      </c>
      <c r="D3461" s="87">
        <f>$C3461-$B3461+1</f>
        <v/>
      </c>
      <c r="E3461" s="87">
        <f>MONTH($B3461)</f>
        <v/>
      </c>
      <c r="F3461" s="93">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$N3461*IF($O$3424=1,$O3461/$F$3424,1)</f>
        <v/>
      </c>
      <c r="T3461" s="95">
        <f>IF($G3461&lt;nr_MStartP,$S3461,$T3449*(1+IF($G3461&lt;nr_MStartP1,$M$3424,$N$3424)))</f>
        <v/>
      </c>
      <c r="U3461" s="95">
        <f>IF($L$3424,$T3461,$N3461)</f>
        <v/>
      </c>
    </row>
    <row r="3462">
      <c r="A3462" s="90" t="n">
        <v>36</v>
      </c>
      <c r="B3462" s="91">
        <f>EDATE($B3461,1)</f>
        <v/>
      </c>
      <c r="C3462" s="92">
        <f>EOMONTH($B3462,0)</f>
        <v/>
      </c>
      <c r="D3462" s="87">
        <f>$C3462-$B3462+1</f>
        <v/>
      </c>
      <c r="E3462" s="87">
        <f>MONTH($B3462)</f>
        <v/>
      </c>
      <c r="F3462" s="93">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$N3462*IF($O$3424=1,$O3462/$F$3424,1)</f>
        <v/>
      </c>
      <c r="T3462" s="95">
        <f>IF($G3462&lt;nr_MStartP,$S3462,$T3450*(1+IF($G3462&lt;nr_MStartP1,$M$3424,$N$3424)))</f>
        <v/>
      </c>
      <c r="U3462" s="95">
        <f>IF($L$3424,$T3462,$N3462)</f>
        <v/>
      </c>
    </row>
    <row r="3463">
      <c r="A3463" s="90" t="n">
        <v>37</v>
      </c>
      <c r="B3463" s="91">
        <f>EDATE($B3462,1)</f>
        <v/>
      </c>
      <c r="C3463" s="92">
        <f>EOMONTH($B3463,0)</f>
        <v/>
      </c>
      <c r="D3463" s="87">
        <f>$C3463-$B3463+1</f>
        <v/>
      </c>
      <c r="E3463" s="87">
        <f>MONTH($B3463)</f>
        <v/>
      </c>
      <c r="F3463" s="93">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$N3463*IF($O$3424=1,$O3463/$F$3424,1)</f>
        <v/>
      </c>
      <c r="T3463" s="95">
        <f>IF($G3463&lt;nr_MStartP,$S3463,$T3451*(1+IF($G3463&lt;nr_MStartP1,$M$3424,$N$3424)))</f>
        <v/>
      </c>
      <c r="U3463" s="95">
        <f>IF($L$3424,$T3463,$N3463)</f>
        <v/>
      </c>
    </row>
    <row r="3464">
      <c r="A3464" s="90" t="n">
        <v>38</v>
      </c>
      <c r="B3464" s="91">
        <f>EDATE($B3463,1)</f>
        <v/>
      </c>
      <c r="C3464" s="92">
        <f>EOMONTH($B3464,0)</f>
        <v/>
      </c>
      <c r="D3464" s="87">
        <f>$C3464-$B3464+1</f>
        <v/>
      </c>
      <c r="E3464" s="87">
        <f>MONTH($B3464)</f>
        <v/>
      </c>
      <c r="F3464" s="93">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$N3464*IF($O$3424=1,$O3464/$F$3424,1)</f>
        <v/>
      </c>
      <c r="T3464" s="95">
        <f>IF($G3464&lt;nr_MStartP,$S3464,$T3452*(1+IF($G3464&lt;nr_MStartP1,$M$3424,$N$3424)))</f>
        <v/>
      </c>
      <c r="U3464" s="95">
        <f>IF($L$3424,$T3464,$N3464)</f>
        <v/>
      </c>
    </row>
    <row r="3465">
      <c r="A3465" s="90" t="n">
        <v>39</v>
      </c>
      <c r="B3465" s="91">
        <f>EDATE($B3464,1)</f>
        <v/>
      </c>
      <c r="C3465" s="92">
        <f>EOMONTH($B3465,0)</f>
        <v/>
      </c>
      <c r="D3465" s="87">
        <f>$C3465-$B3465+1</f>
        <v/>
      </c>
      <c r="E3465" s="87">
        <f>MONTH($B3465)</f>
        <v/>
      </c>
      <c r="F3465" s="93">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$N3465*IF($O$3424=1,$O3465/$F$3424,1)</f>
        <v/>
      </c>
      <c r="T3465" s="95">
        <f>IF($G3465&lt;nr_MStartP,$S3465,$T3453*(1+IF($G3465&lt;nr_MStartP1,$M$3424,$N$3424)))</f>
        <v/>
      </c>
      <c r="U3465" s="95">
        <f>IF($L$3424,$T3465,$N3465)</f>
        <v/>
      </c>
    </row>
    <row r="3466">
      <c r="A3466" s="90" t="n">
        <v>40</v>
      </c>
      <c r="B3466" s="91">
        <f>EDATE($B3465,1)</f>
        <v/>
      </c>
      <c r="C3466" s="92">
        <f>EOMONTH($B3466,0)</f>
        <v/>
      </c>
      <c r="D3466" s="87">
        <f>$C3466-$B3466+1</f>
        <v/>
      </c>
      <c r="E3466" s="87">
        <f>MONTH($B3466)</f>
        <v/>
      </c>
      <c r="F3466" s="93">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$N3466*IF($O$3424=1,$O3466/$F$3424,1)</f>
        <v/>
      </c>
      <c r="T3466" s="95">
        <f>IF($G3466&lt;nr_MStartP,$S3466,$T3454*(1+IF($G3466&lt;nr_MStartP1,$M$3424,$N$3424)))</f>
        <v/>
      </c>
      <c r="U3466" s="95">
        <f>IF($L$3424,$T3466,$N3466)</f>
        <v/>
      </c>
    </row>
    <row r="3467">
      <c r="A3467" s="90" t="n">
        <v>41</v>
      </c>
      <c r="B3467" s="91">
        <f>EDATE($B3466,1)</f>
        <v/>
      </c>
      <c r="C3467" s="92">
        <f>EOMONTH($B3467,0)</f>
        <v/>
      </c>
      <c r="D3467" s="87">
        <f>$C3467-$B3467+1</f>
        <v/>
      </c>
      <c r="E3467" s="87">
        <f>MONTH($B3467)</f>
        <v/>
      </c>
      <c r="F3467" s="93">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$N3467*IF($O$3424=1,$O3467/$F$3424,1)</f>
        <v/>
      </c>
      <c r="T3467" s="95">
        <f>IF($G3467&lt;nr_MStartP,$S3467,$T3455*(1+IF($G3467&lt;nr_MStartP1,$M$3424,$N$3424)))</f>
        <v/>
      </c>
      <c r="U3467" s="95">
        <f>IF($L$3424,$T3467,$N3467)</f>
        <v/>
      </c>
    </row>
    <row r="3468">
      <c r="A3468" s="90" t="n">
        <v>42</v>
      </c>
      <c r="B3468" s="91">
        <f>EDATE($B3467,1)</f>
        <v/>
      </c>
      <c r="C3468" s="92">
        <f>EOMONTH($B3468,0)</f>
        <v/>
      </c>
      <c r="D3468" s="87">
        <f>$C3468-$B3468+1</f>
        <v/>
      </c>
      <c r="E3468" s="87">
        <f>MONTH($B3468)</f>
        <v/>
      </c>
      <c r="F3468" s="93">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$N3468*IF($O$3424=1,$O3468/$F$3424,1)</f>
        <v/>
      </c>
      <c r="T3468" s="95">
        <f>IF($G3468&lt;nr_MStartP,$S3468,$T3456*(1+IF($G3468&lt;nr_MStartP1,$M$3424,$N$3424)))</f>
        <v/>
      </c>
      <c r="U3468" s="95">
        <f>IF($L$3424,$T3468,$N3468)</f>
        <v/>
      </c>
    </row>
    <row r="3469">
      <c r="A3469" s="90" t="n">
        <v>43</v>
      </c>
      <c r="B3469" s="91">
        <f>EDATE($B3468,1)</f>
        <v/>
      </c>
      <c r="C3469" s="92">
        <f>EOMONTH($B3469,0)</f>
        <v/>
      </c>
      <c r="D3469" s="87">
        <f>$C3469-$B3469+1</f>
        <v/>
      </c>
      <c r="E3469" s="87">
        <f>MONTH($B3469)</f>
        <v/>
      </c>
      <c r="F3469" s="93">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$N3469*IF($O$3424=1,$O3469/$F$3424,1)</f>
        <v/>
      </c>
      <c r="T3469" s="95">
        <f>IF($G3469&lt;nr_MStartP,$S3469,$T3457*(1+IF($G3469&lt;nr_MStartP1,$M$3424,$N$3424)))</f>
        <v/>
      </c>
      <c r="U3469" s="95">
        <f>IF($L$3424,$T3469,$N3469)</f>
        <v/>
      </c>
    </row>
    <row r="3470">
      <c r="A3470" s="90" t="n">
        <v>44</v>
      </c>
      <c r="B3470" s="91">
        <f>EDATE($B3469,1)</f>
        <v/>
      </c>
      <c r="C3470" s="92">
        <f>EOMONTH($B3470,0)</f>
        <v/>
      </c>
      <c r="D3470" s="87">
        <f>$C3470-$B3470+1</f>
        <v/>
      </c>
      <c r="E3470" s="87">
        <f>MONTH($B3470)</f>
        <v/>
      </c>
      <c r="F3470" s="93">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$N3470*IF($O$3424=1,$O3470/$F$3424,1)</f>
        <v/>
      </c>
      <c r="T3470" s="95">
        <f>IF($G3470&lt;nr_MStartP,$S3470,$T3458*(1+IF($G3470&lt;nr_MStartP1,$M$3424,$N$3424)))</f>
        <v/>
      </c>
      <c r="U3470" s="95">
        <f>IF($L$3424,$T3470,$N3470)</f>
        <v/>
      </c>
    </row>
    <row r="3471">
      <c r="A3471" s="90" t="n">
        <v>45</v>
      </c>
      <c r="B3471" s="91">
        <f>EDATE($B3470,1)</f>
        <v/>
      </c>
      <c r="C3471" s="92">
        <f>EOMONTH($B3471,0)</f>
        <v/>
      </c>
      <c r="D3471" s="87">
        <f>$C3471-$B3471+1</f>
        <v/>
      </c>
      <c r="E3471" s="87">
        <f>MONTH($B3471)</f>
        <v/>
      </c>
      <c r="F3471" s="93">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$N3471*IF($O$3424=1,$O3471/$F$3424,1)</f>
        <v/>
      </c>
      <c r="T3471" s="95">
        <f>IF($G3471&lt;nr_MStartP,$S3471,$T3459*(1+IF($G3471&lt;nr_MStartP1,$M$3424,$N$3424)))</f>
        <v/>
      </c>
      <c r="U3471" s="95">
        <f>IF($L$3424,$T3471,$N3471)</f>
        <v/>
      </c>
    </row>
    <row r="3472">
      <c r="A3472" s="90" t="n">
        <v>46</v>
      </c>
      <c r="B3472" s="91">
        <f>EDATE($B3471,1)</f>
        <v/>
      </c>
      <c r="C3472" s="92">
        <f>EOMONTH($B3472,0)</f>
        <v/>
      </c>
      <c r="D3472" s="87">
        <f>$C3472-$B3472+1</f>
        <v/>
      </c>
      <c r="E3472" s="87">
        <f>MONTH($B3472)</f>
        <v/>
      </c>
      <c r="F3472" s="93">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$N3472*IF($O$3424=1,$O3472/$F$3424,1)</f>
        <v/>
      </c>
      <c r="T3472" s="95">
        <f>IF($G3472&lt;nr_MStartP,$S3472,$T3460*(1+IF($G3472&lt;nr_MStartP1,$M$3424,$N$3424)))</f>
        <v/>
      </c>
      <c r="U3472" s="95">
        <f>IF($L$3424,$T3472,$N3472)</f>
        <v/>
      </c>
    </row>
    <row r="3473">
      <c r="A3473" s="90" t="n">
        <v>47</v>
      </c>
      <c r="B3473" s="91">
        <f>EDATE($B3472,1)</f>
        <v/>
      </c>
      <c r="C3473" s="92">
        <f>EOMONTH($B3473,0)</f>
        <v/>
      </c>
      <c r="D3473" s="87">
        <f>$C3473-$B3473+1</f>
        <v/>
      </c>
      <c r="E3473" s="87">
        <f>MONTH($B3473)</f>
        <v/>
      </c>
      <c r="F3473" s="93">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$N3473*IF($O$3424=1,$O3473/$F$3424,1)</f>
        <v/>
      </c>
      <c r="T3473" s="95">
        <f>IF($G3473&lt;nr_MStartP,$S3473,$T3461*(1+IF($G3473&lt;nr_MStartP1,$M$3424,$N$3424)))</f>
        <v/>
      </c>
      <c r="U3473" s="95">
        <f>IF($L$3424,$T3473,$N3473)</f>
        <v/>
      </c>
    </row>
    <row r="3474">
      <c r="A3474" s="90" t="n">
        <v>48</v>
      </c>
      <c r="B3474" s="91">
        <f>EDATE($B3473,1)</f>
        <v/>
      </c>
      <c r="C3474" s="92">
        <f>EOMONTH($B3474,0)</f>
        <v/>
      </c>
      <c r="D3474" s="87">
        <f>$C3474-$B3474+1</f>
        <v/>
      </c>
      <c r="E3474" s="87">
        <f>MONTH($B3474)</f>
        <v/>
      </c>
      <c r="F3474" s="93">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$N3474*IF($O$3424=1,$O3474/$F$3424,1)</f>
        <v/>
      </c>
      <c r="T3474" s="95">
        <f>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04">
        <f>SUMPRODUCT($H$3427:$H$3474,$Q$3427:$Q$3474,$O$3427:$O$3474)/SUMPRODUCT($H$3427:$H$3474,$Q$3427:$Q$3474)</f>
        <v/>
      </c>
      <c r="G3475" s="20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04">
        <f>IF(N(INDEX(lr_mind,64))=0,1,INDEX(lr_mind,64))</f>
        <v/>
      </c>
      <c r="G3478" s="204">
        <f>IF(N(INDEX(lr_m0,64))=0,1,INDEX(lr_m0,64))</f>
        <v/>
      </c>
      <c r="H3478" s="73">
        <f>IF(N(INDEX(lr_m0asof,64))=0,DATE(nr_PlanYear-1,10,1),INDEX(lr_m0asof,64))</f>
        <v/>
      </c>
      <c r="I3478" s="204">
        <f>IF(N(INDEX(lr_m1,64))=0,1,INDEX(lr_m1,64))</f>
        <v/>
      </c>
      <c r="J3478" s="204">
        <f>INDEX(lr_mprior,64)</f>
        <v/>
      </c>
      <c r="K3478" s="20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93">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$N3481*IF($O$3478=1,$O3481/$F$3478,1)</f>
        <v/>
      </c>
      <c r="T3481" s="95">
        <f>IF($G3481&lt;nr_MStartP,$S3481,$T3469*(1+IF($G3481&lt;nr_MStartP1,$M$3478,$N$3478)))</f>
        <v/>
      </c>
      <c r="U3481" s="95">
        <f>IF($L$3478,$T3481,$N3481)</f>
        <v/>
      </c>
    </row>
    <row r="3482">
      <c r="A3482" s="90" t="n">
        <v>2</v>
      </c>
      <c r="B3482" s="91">
        <f>EDATE($B3481,1)</f>
        <v/>
      </c>
      <c r="C3482" s="92">
        <f>EOMONTH($B3482,0)</f>
        <v/>
      </c>
      <c r="D3482" s="87">
        <f>$C3482-$B3482+1</f>
        <v/>
      </c>
      <c r="E3482" s="87">
        <f>MONTH($B3482)</f>
        <v/>
      </c>
      <c r="F3482" s="93">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$N3482*IF($O$3478=1,$O3482/$F$3478,1)</f>
        <v/>
      </c>
      <c r="T3482" s="95">
        <f>IF($G3482&lt;nr_MStartP,$S3482,$T3470*(1+IF($G3482&lt;nr_MStartP1,$M$3478,$N$3478)))</f>
        <v/>
      </c>
      <c r="U3482" s="95">
        <f>IF($L$3478,$T3482,$N3482)</f>
        <v/>
      </c>
    </row>
    <row r="3483">
      <c r="A3483" s="90" t="n">
        <v>3</v>
      </c>
      <c r="B3483" s="91">
        <f>EDATE($B3482,1)</f>
        <v/>
      </c>
      <c r="C3483" s="92">
        <f>EOMONTH($B3483,0)</f>
        <v/>
      </c>
      <c r="D3483" s="87">
        <f>$C3483-$B3483+1</f>
        <v/>
      </c>
      <c r="E3483" s="87">
        <f>MONTH($B3483)</f>
        <v/>
      </c>
      <c r="F3483" s="93">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$N3483*IF($O$3478=1,$O3483/$F$3478,1)</f>
        <v/>
      </c>
      <c r="T3483" s="95">
        <f>IF($G3483&lt;nr_MStartP,$S3483,$T3471*(1+IF($G3483&lt;nr_MStartP1,$M$3478,$N$3478)))</f>
        <v/>
      </c>
      <c r="U3483" s="95">
        <f>IF($L$3478,$T3483,$N3483)</f>
        <v/>
      </c>
    </row>
    <row r="3484">
      <c r="A3484" s="90" t="n">
        <v>4</v>
      </c>
      <c r="B3484" s="91">
        <f>EDATE($B3483,1)</f>
        <v/>
      </c>
      <c r="C3484" s="92">
        <f>EOMONTH($B3484,0)</f>
        <v/>
      </c>
      <c r="D3484" s="87">
        <f>$C3484-$B3484+1</f>
        <v/>
      </c>
      <c r="E3484" s="87">
        <f>MONTH($B3484)</f>
        <v/>
      </c>
      <c r="F3484" s="93">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$N3484*IF($O$3478=1,$O3484/$F$3478,1)</f>
        <v/>
      </c>
      <c r="T3484" s="95">
        <f>IF($G3484&lt;nr_MStartP,$S3484,$T3472*(1+IF($G3484&lt;nr_MStartP1,$M$3478,$N$3478)))</f>
        <v/>
      </c>
      <c r="U3484" s="95">
        <f>IF($L$3478,$T3484,$N3484)</f>
        <v/>
      </c>
    </row>
    <row r="3485">
      <c r="A3485" s="90" t="n">
        <v>5</v>
      </c>
      <c r="B3485" s="91">
        <f>EDATE($B3484,1)</f>
        <v/>
      </c>
      <c r="C3485" s="92">
        <f>EOMONTH($B3485,0)</f>
        <v/>
      </c>
      <c r="D3485" s="87">
        <f>$C3485-$B3485+1</f>
        <v/>
      </c>
      <c r="E3485" s="87">
        <f>MONTH($B3485)</f>
        <v/>
      </c>
      <c r="F3485" s="93">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$N3485*IF($O$3478=1,$O3485/$F$3478,1)</f>
        <v/>
      </c>
      <c r="T3485" s="95">
        <f>IF($G3485&lt;nr_MStartP,$S3485,$T3473*(1+IF($G3485&lt;nr_MStartP1,$M$3478,$N$3478)))</f>
        <v/>
      </c>
      <c r="U3485" s="95">
        <f>IF($L$3478,$T3485,$N3485)</f>
        <v/>
      </c>
    </row>
    <row r="3486">
      <c r="A3486" s="90" t="n">
        <v>6</v>
      </c>
      <c r="B3486" s="91">
        <f>EDATE($B3485,1)</f>
        <v/>
      </c>
      <c r="C3486" s="92">
        <f>EOMONTH($B3486,0)</f>
        <v/>
      </c>
      <c r="D3486" s="87">
        <f>$C3486-$B3486+1</f>
        <v/>
      </c>
      <c r="E3486" s="87">
        <f>MONTH($B3486)</f>
        <v/>
      </c>
      <c r="F3486" s="93">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$N3486*IF($O$3478=1,$O3486/$F$3478,1)</f>
        <v/>
      </c>
      <c r="T3486" s="95">
        <f>IF($G3486&lt;nr_MStartP,$S3486,$T3474*(1+IF($G3486&lt;nr_MStartP1,$M$3478,$N$3478)))</f>
        <v/>
      </c>
      <c r="U3486" s="95">
        <f>IF($L$3478,$T3486,$N3486)</f>
        <v/>
      </c>
    </row>
    <row r="3487">
      <c r="A3487" s="90" t="n">
        <v>7</v>
      </c>
      <c r="B3487" s="91">
        <f>EDATE($B3486,1)</f>
        <v/>
      </c>
      <c r="C3487" s="92">
        <f>EOMONTH($B3487,0)</f>
        <v/>
      </c>
      <c r="D3487" s="87">
        <f>$C3487-$B3487+1</f>
        <v/>
      </c>
      <c r="E3487" s="87">
        <f>MONTH($B3487)</f>
        <v/>
      </c>
      <c r="F3487" s="93">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$N3487*IF($O$3478=1,$O3487/$F$3478,1)</f>
        <v/>
      </c>
      <c r="T3487" s="95">
        <f>IF($G3487&lt;nr_MStartP,$S3487,$T3475*(1+IF($G3487&lt;nr_MStartP1,$M$3478,$N$3478)))</f>
        <v/>
      </c>
      <c r="U3487" s="95">
        <f>IF($L$3478,$T3487,$N3487)</f>
        <v/>
      </c>
    </row>
    <row r="3488">
      <c r="A3488" s="90" t="n">
        <v>8</v>
      </c>
      <c r="B3488" s="91">
        <f>EDATE($B3487,1)</f>
        <v/>
      </c>
      <c r="C3488" s="92">
        <f>EOMONTH($B3488,0)</f>
        <v/>
      </c>
      <c r="D3488" s="87">
        <f>$C3488-$B3488+1</f>
        <v/>
      </c>
      <c r="E3488" s="87">
        <f>MONTH($B3488)</f>
        <v/>
      </c>
      <c r="F3488" s="93">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$N3488*IF($O$3478=1,$O3488/$F$3478,1)</f>
        <v/>
      </c>
      <c r="T3488" s="95">
        <f>IF($G3488&lt;nr_MStartP,$S3488,$T3476*(1+IF($G3488&lt;nr_MStartP1,$M$3478,$N$3478)))</f>
        <v/>
      </c>
      <c r="U3488" s="95">
        <f>IF($L$3478,$T3488,$N3488)</f>
        <v/>
      </c>
    </row>
    <row r="3489">
      <c r="A3489" s="90" t="n">
        <v>9</v>
      </c>
      <c r="B3489" s="91">
        <f>EDATE($B3488,1)</f>
        <v/>
      </c>
      <c r="C3489" s="92">
        <f>EOMONTH($B3489,0)</f>
        <v/>
      </c>
      <c r="D3489" s="87">
        <f>$C3489-$B3489+1</f>
        <v/>
      </c>
      <c r="E3489" s="87">
        <f>MONTH($B3489)</f>
        <v/>
      </c>
      <c r="F3489" s="93">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$N3489*IF($O$3478=1,$O3489/$F$3478,1)</f>
        <v/>
      </c>
      <c r="T3489" s="95">
        <f>IF($G3489&lt;nr_MStartP,$S3489,$T3477*(1+IF($G3489&lt;nr_MStartP1,$M$3478,$N$3478)))</f>
        <v/>
      </c>
      <c r="U3489" s="95">
        <f>IF($L$3478,$T3489,$N3489)</f>
        <v/>
      </c>
    </row>
    <row r="3490">
      <c r="A3490" s="90" t="n">
        <v>10</v>
      </c>
      <c r="B3490" s="91">
        <f>EDATE($B3489,1)</f>
        <v/>
      </c>
      <c r="C3490" s="92">
        <f>EOMONTH($B3490,0)</f>
        <v/>
      </c>
      <c r="D3490" s="87">
        <f>$C3490-$B3490+1</f>
        <v/>
      </c>
      <c r="E3490" s="87">
        <f>MONTH($B3490)</f>
        <v/>
      </c>
      <c r="F3490" s="93">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$N3490*IF($O$3478=1,$O3490/$F$3478,1)</f>
        <v/>
      </c>
      <c r="T3490" s="95">
        <f>IF($G3490&lt;nr_MStartP,$S3490,$T3478*(1+IF($G3490&lt;nr_MStartP1,$M$3478,$N$3478)))</f>
        <v/>
      </c>
      <c r="U3490" s="95">
        <f>IF($L$3478,$T3490,$N3490)</f>
        <v/>
      </c>
    </row>
    <row r="3491">
      <c r="A3491" s="90" t="n">
        <v>11</v>
      </c>
      <c r="B3491" s="91">
        <f>EDATE($B3490,1)</f>
        <v/>
      </c>
      <c r="C3491" s="92">
        <f>EOMONTH($B3491,0)</f>
        <v/>
      </c>
      <c r="D3491" s="87">
        <f>$C3491-$B3491+1</f>
        <v/>
      </c>
      <c r="E3491" s="87">
        <f>MONTH($B3491)</f>
        <v/>
      </c>
      <c r="F3491" s="93">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$N3491*IF($O$3478=1,$O3491/$F$3478,1)</f>
        <v/>
      </c>
      <c r="T3491" s="95">
        <f>IF($G3491&lt;nr_MStartP,$S3491,$T3479*(1+IF($G3491&lt;nr_MStartP1,$M$3478,$N$3478)))</f>
        <v/>
      </c>
      <c r="U3491" s="95">
        <f>IF($L$3478,$T3491,$N3491)</f>
        <v/>
      </c>
    </row>
    <row r="3492">
      <c r="A3492" s="90" t="n">
        <v>12</v>
      </c>
      <c r="B3492" s="91">
        <f>EDATE($B3491,1)</f>
        <v/>
      </c>
      <c r="C3492" s="92">
        <f>EOMONTH($B3492,0)</f>
        <v/>
      </c>
      <c r="D3492" s="87">
        <f>$C3492-$B3492+1</f>
        <v/>
      </c>
      <c r="E3492" s="87">
        <f>MONTH($B3492)</f>
        <v/>
      </c>
      <c r="F3492" s="93">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$N3492*IF($O$3478=1,$O3492/$F$3478,1)</f>
        <v/>
      </c>
      <c r="T3492" s="95">
        <f>IF($G3492&lt;nr_MStartP,$S3492,$T3480*(1+IF($G3492&lt;nr_MStartP1,$M$3478,$N$3478)))</f>
        <v/>
      </c>
      <c r="U3492" s="95">
        <f>IF($L$3478,$T3492,$N3492)</f>
        <v/>
      </c>
    </row>
    <row r="3493">
      <c r="A3493" s="90" t="n">
        <v>13</v>
      </c>
      <c r="B3493" s="91">
        <f>EDATE($B3492,1)</f>
        <v/>
      </c>
      <c r="C3493" s="92">
        <f>EOMONTH($B3493,0)</f>
        <v/>
      </c>
      <c r="D3493" s="87">
        <f>$C3493-$B3493+1</f>
        <v/>
      </c>
      <c r="E3493" s="87">
        <f>MONTH($B3493)</f>
        <v/>
      </c>
      <c r="F3493" s="93">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$N3493*IF($O$3478=1,$O3493/$F$3478,1)</f>
        <v/>
      </c>
      <c r="T3493" s="95">
        <f>IF($G3493&lt;nr_MStartP,$S3493,$T3481*(1+IF($G3493&lt;nr_MStartP1,$M$3478,$N$3478)))</f>
        <v/>
      </c>
      <c r="U3493" s="95">
        <f>IF($L$3478,$T3493,$N3493)</f>
        <v/>
      </c>
    </row>
    <row r="3494">
      <c r="A3494" s="90" t="n">
        <v>14</v>
      </c>
      <c r="B3494" s="91">
        <f>EDATE($B3493,1)</f>
        <v/>
      </c>
      <c r="C3494" s="92">
        <f>EOMONTH($B3494,0)</f>
        <v/>
      </c>
      <c r="D3494" s="87">
        <f>$C3494-$B3494+1</f>
        <v/>
      </c>
      <c r="E3494" s="87">
        <f>MONTH($B3494)</f>
        <v/>
      </c>
      <c r="F3494" s="93">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$N3494*IF($O$3478=1,$O3494/$F$3478,1)</f>
        <v/>
      </c>
      <c r="T3494" s="95">
        <f>IF($G3494&lt;nr_MStartP,$S3494,$T3482*(1+IF($G3494&lt;nr_MStartP1,$M$3478,$N$3478)))</f>
        <v/>
      </c>
      <c r="U3494" s="95">
        <f>IF($L$3478,$T3494,$N3494)</f>
        <v/>
      </c>
    </row>
    <row r="3495">
      <c r="A3495" s="90" t="n">
        <v>15</v>
      </c>
      <c r="B3495" s="91">
        <f>EDATE($B3494,1)</f>
        <v/>
      </c>
      <c r="C3495" s="92">
        <f>EOMONTH($B3495,0)</f>
        <v/>
      </c>
      <c r="D3495" s="87">
        <f>$C3495-$B3495+1</f>
        <v/>
      </c>
      <c r="E3495" s="87">
        <f>MONTH($B3495)</f>
        <v/>
      </c>
      <c r="F3495" s="93">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$N3495*IF($O$3478=1,$O3495/$F$3478,1)</f>
        <v/>
      </c>
      <c r="T3495" s="95">
        <f>IF($G3495&lt;nr_MStartP,$S3495,$T3483*(1+IF($G3495&lt;nr_MStartP1,$M$3478,$N$3478)))</f>
        <v/>
      </c>
      <c r="U3495" s="95">
        <f>IF($L$3478,$T3495,$N3495)</f>
        <v/>
      </c>
    </row>
    <row r="3496">
      <c r="A3496" s="90" t="n">
        <v>16</v>
      </c>
      <c r="B3496" s="91">
        <f>EDATE($B3495,1)</f>
        <v/>
      </c>
      <c r="C3496" s="92">
        <f>EOMONTH($B3496,0)</f>
        <v/>
      </c>
      <c r="D3496" s="87">
        <f>$C3496-$B3496+1</f>
        <v/>
      </c>
      <c r="E3496" s="87">
        <f>MONTH($B3496)</f>
        <v/>
      </c>
      <c r="F3496" s="93">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$N3496*IF($O$3478=1,$O3496/$F$3478,1)</f>
        <v/>
      </c>
      <c r="T3496" s="95">
        <f>IF($G3496&lt;nr_MStartP,$S3496,$T3484*(1+IF($G3496&lt;nr_MStartP1,$M$3478,$N$3478)))</f>
        <v/>
      </c>
      <c r="U3496" s="95">
        <f>IF($L$3478,$T3496,$N3496)</f>
        <v/>
      </c>
    </row>
    <row r="3497">
      <c r="A3497" s="90" t="n">
        <v>17</v>
      </c>
      <c r="B3497" s="91">
        <f>EDATE($B3496,1)</f>
        <v/>
      </c>
      <c r="C3497" s="92">
        <f>EOMONTH($B3497,0)</f>
        <v/>
      </c>
      <c r="D3497" s="87">
        <f>$C3497-$B3497+1</f>
        <v/>
      </c>
      <c r="E3497" s="87">
        <f>MONTH($B3497)</f>
        <v/>
      </c>
      <c r="F3497" s="93">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$N3497*IF($O$3478=1,$O3497/$F$3478,1)</f>
        <v/>
      </c>
      <c r="T3497" s="95">
        <f>IF($G3497&lt;nr_MStartP,$S3497,$T3485*(1+IF($G3497&lt;nr_MStartP1,$M$3478,$N$3478)))</f>
        <v/>
      </c>
      <c r="U3497" s="95">
        <f>IF($L$3478,$T3497,$N3497)</f>
        <v/>
      </c>
    </row>
    <row r="3498">
      <c r="A3498" s="90" t="n">
        <v>18</v>
      </c>
      <c r="B3498" s="91">
        <f>EDATE($B3497,1)</f>
        <v/>
      </c>
      <c r="C3498" s="92">
        <f>EOMONTH($B3498,0)</f>
        <v/>
      </c>
      <c r="D3498" s="87">
        <f>$C3498-$B3498+1</f>
        <v/>
      </c>
      <c r="E3498" s="87">
        <f>MONTH($B3498)</f>
        <v/>
      </c>
      <c r="F3498" s="93">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$N3498*IF($O$3478=1,$O3498/$F$3478,1)</f>
        <v/>
      </c>
      <c r="T3498" s="95">
        <f>IF($G3498&lt;nr_MStartP,$S3498,$T3486*(1+IF($G3498&lt;nr_MStartP1,$M$3478,$N$3478)))</f>
        <v/>
      </c>
      <c r="U3498" s="95">
        <f>IF($L$3478,$T3498,$N3498)</f>
        <v/>
      </c>
    </row>
    <row r="3499">
      <c r="A3499" s="90" t="n">
        <v>19</v>
      </c>
      <c r="B3499" s="91">
        <f>EDATE($B3498,1)</f>
        <v/>
      </c>
      <c r="C3499" s="92">
        <f>EOMONTH($B3499,0)</f>
        <v/>
      </c>
      <c r="D3499" s="87">
        <f>$C3499-$B3499+1</f>
        <v/>
      </c>
      <c r="E3499" s="87">
        <f>MONTH($B3499)</f>
        <v/>
      </c>
      <c r="F3499" s="93">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$N3499*IF($O$3478=1,$O3499/$F$3478,1)</f>
        <v/>
      </c>
      <c r="T3499" s="95">
        <f>IF($G3499&lt;nr_MStartP,$S3499,$T3487*(1+IF($G3499&lt;nr_MStartP1,$M$3478,$N$3478)))</f>
        <v/>
      </c>
      <c r="U3499" s="95">
        <f>IF($L$3478,$T3499,$N3499)</f>
        <v/>
      </c>
    </row>
    <row r="3500">
      <c r="A3500" s="90" t="n">
        <v>20</v>
      </c>
      <c r="B3500" s="91">
        <f>EDATE($B3499,1)</f>
        <v/>
      </c>
      <c r="C3500" s="92">
        <f>EOMONTH($B3500,0)</f>
        <v/>
      </c>
      <c r="D3500" s="87">
        <f>$C3500-$B3500+1</f>
        <v/>
      </c>
      <c r="E3500" s="87">
        <f>MONTH($B3500)</f>
        <v/>
      </c>
      <c r="F3500" s="93">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$N3500*IF($O$3478=1,$O3500/$F$3478,1)</f>
        <v/>
      </c>
      <c r="T3500" s="95">
        <f>IF($G3500&lt;nr_MStartP,$S3500,$T3488*(1+IF($G3500&lt;nr_MStartP1,$M$3478,$N$3478)))</f>
        <v/>
      </c>
      <c r="U3500" s="95">
        <f>IF($L$3478,$T3500,$N3500)</f>
        <v/>
      </c>
    </row>
    <row r="3501">
      <c r="A3501" s="90" t="n">
        <v>21</v>
      </c>
      <c r="B3501" s="91">
        <f>EDATE($B3500,1)</f>
        <v/>
      </c>
      <c r="C3501" s="92">
        <f>EOMONTH($B3501,0)</f>
        <v/>
      </c>
      <c r="D3501" s="87">
        <f>$C3501-$B3501+1</f>
        <v/>
      </c>
      <c r="E3501" s="87">
        <f>MONTH($B3501)</f>
        <v/>
      </c>
      <c r="F3501" s="93">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$N3501*IF($O$3478=1,$O3501/$F$3478,1)</f>
        <v/>
      </c>
      <c r="T3501" s="95">
        <f>IF($G3501&lt;nr_MStartP,$S3501,$T3489*(1+IF($G3501&lt;nr_MStartP1,$M$3478,$N$3478)))</f>
        <v/>
      </c>
      <c r="U3501" s="95">
        <f>IF($L$3478,$T3501,$N3501)</f>
        <v/>
      </c>
    </row>
    <row r="3502">
      <c r="A3502" s="90" t="n">
        <v>22</v>
      </c>
      <c r="B3502" s="91">
        <f>EDATE($B3501,1)</f>
        <v/>
      </c>
      <c r="C3502" s="92">
        <f>EOMONTH($B3502,0)</f>
        <v/>
      </c>
      <c r="D3502" s="87">
        <f>$C3502-$B3502+1</f>
        <v/>
      </c>
      <c r="E3502" s="87">
        <f>MONTH($B3502)</f>
        <v/>
      </c>
      <c r="F3502" s="93">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$N3502*IF($O$3478=1,$O3502/$F$3478,1)</f>
        <v/>
      </c>
      <c r="T3502" s="95">
        <f>IF($G3502&lt;nr_MStartP,$S3502,$T3490*(1+IF($G3502&lt;nr_MStartP1,$M$3478,$N$3478)))</f>
        <v/>
      </c>
      <c r="U3502" s="95">
        <f>IF($L$3478,$T3502,$N3502)</f>
        <v/>
      </c>
    </row>
    <row r="3503">
      <c r="A3503" s="90" t="n">
        <v>23</v>
      </c>
      <c r="B3503" s="91">
        <f>EDATE($B3502,1)</f>
        <v/>
      </c>
      <c r="C3503" s="92">
        <f>EOMONTH($B3503,0)</f>
        <v/>
      </c>
      <c r="D3503" s="87">
        <f>$C3503-$B3503+1</f>
        <v/>
      </c>
      <c r="E3503" s="87">
        <f>MONTH($B3503)</f>
        <v/>
      </c>
      <c r="F3503" s="93">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$N3503*IF($O$3478=1,$O3503/$F$3478,1)</f>
        <v/>
      </c>
      <c r="T3503" s="95">
        <f>IF($G3503&lt;nr_MStartP,$S3503,$T3491*(1+IF($G3503&lt;nr_MStartP1,$M$3478,$N$3478)))</f>
        <v/>
      </c>
      <c r="U3503" s="95">
        <f>IF($L$3478,$T3503,$N3503)</f>
        <v/>
      </c>
    </row>
    <row r="3504">
      <c r="A3504" s="90" t="n">
        <v>24</v>
      </c>
      <c r="B3504" s="91">
        <f>EDATE($B3503,1)</f>
        <v/>
      </c>
      <c r="C3504" s="92">
        <f>EOMONTH($B3504,0)</f>
        <v/>
      </c>
      <c r="D3504" s="87">
        <f>$C3504-$B3504+1</f>
        <v/>
      </c>
      <c r="E3504" s="87">
        <f>MONTH($B3504)</f>
        <v/>
      </c>
      <c r="F3504" s="93">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$N3504*IF($O$3478=1,$O3504/$F$3478,1)</f>
        <v/>
      </c>
      <c r="T3504" s="95">
        <f>IF($G3504&lt;nr_MStartP,$S3504,$T3492*(1+IF($G3504&lt;nr_MStartP1,$M$3478,$N$3478)))</f>
        <v/>
      </c>
      <c r="U3504" s="95">
        <f>IF($L$3478,$T3504,$N3504)</f>
        <v/>
      </c>
    </row>
    <row r="3505">
      <c r="A3505" s="90" t="n">
        <v>25</v>
      </c>
      <c r="B3505" s="91">
        <f>EDATE($B3504,1)</f>
        <v/>
      </c>
      <c r="C3505" s="92">
        <f>EOMONTH($B3505,0)</f>
        <v/>
      </c>
      <c r="D3505" s="87">
        <f>$C3505-$B3505+1</f>
        <v/>
      </c>
      <c r="E3505" s="87">
        <f>MONTH($B3505)</f>
        <v/>
      </c>
      <c r="F3505" s="93">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$N3505*IF($O$3478=1,$O3505/$F$3478,1)</f>
        <v/>
      </c>
      <c r="T3505" s="95">
        <f>IF($G3505&lt;nr_MStartP,$S3505,$T3493*(1+IF($G3505&lt;nr_MStartP1,$M$3478,$N$3478)))</f>
        <v/>
      </c>
      <c r="U3505" s="95">
        <f>IF($L$3478,$T3505,$N3505)</f>
        <v/>
      </c>
    </row>
    <row r="3506">
      <c r="A3506" s="90" t="n">
        <v>26</v>
      </c>
      <c r="B3506" s="91">
        <f>EDATE($B3505,1)</f>
        <v/>
      </c>
      <c r="C3506" s="92">
        <f>EOMONTH($B3506,0)</f>
        <v/>
      </c>
      <c r="D3506" s="87">
        <f>$C3506-$B3506+1</f>
        <v/>
      </c>
      <c r="E3506" s="87">
        <f>MONTH($B3506)</f>
        <v/>
      </c>
      <c r="F3506" s="93">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$N3506*IF($O$3478=1,$O3506/$F$3478,1)</f>
        <v/>
      </c>
      <c r="T3506" s="95">
        <f>IF($G3506&lt;nr_MStartP,$S3506,$T3494*(1+IF($G3506&lt;nr_MStartP1,$M$3478,$N$3478)))</f>
        <v/>
      </c>
      <c r="U3506" s="95">
        <f>IF($L$3478,$T3506,$N3506)</f>
        <v/>
      </c>
    </row>
    <row r="3507">
      <c r="A3507" s="90" t="n">
        <v>27</v>
      </c>
      <c r="B3507" s="91">
        <f>EDATE($B3506,1)</f>
        <v/>
      </c>
      <c r="C3507" s="92">
        <f>EOMONTH($B3507,0)</f>
        <v/>
      </c>
      <c r="D3507" s="87">
        <f>$C3507-$B3507+1</f>
        <v/>
      </c>
      <c r="E3507" s="87">
        <f>MONTH($B3507)</f>
        <v/>
      </c>
      <c r="F3507" s="93">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$N3507*IF($O$3478=1,$O3507/$F$3478,1)</f>
        <v/>
      </c>
      <c r="T3507" s="95">
        <f>IF($G3507&lt;nr_MStartP,$S3507,$T3495*(1+IF($G3507&lt;nr_MStartP1,$M$3478,$N$3478)))</f>
        <v/>
      </c>
      <c r="U3507" s="95">
        <f>IF($L$3478,$T3507,$N3507)</f>
        <v/>
      </c>
    </row>
    <row r="3508">
      <c r="A3508" s="90" t="n">
        <v>28</v>
      </c>
      <c r="B3508" s="91">
        <f>EDATE($B3507,1)</f>
        <v/>
      </c>
      <c r="C3508" s="92">
        <f>EOMONTH($B3508,0)</f>
        <v/>
      </c>
      <c r="D3508" s="87">
        <f>$C3508-$B3508+1</f>
        <v/>
      </c>
      <c r="E3508" s="87">
        <f>MONTH($B3508)</f>
        <v/>
      </c>
      <c r="F3508" s="93">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$N3508*IF($O$3478=1,$O3508/$F$3478,1)</f>
        <v/>
      </c>
      <c r="T3508" s="95">
        <f>IF($G3508&lt;nr_MStartP,$S3508,$T3496*(1+IF($G3508&lt;nr_MStartP1,$M$3478,$N$3478)))</f>
        <v/>
      </c>
      <c r="U3508" s="95">
        <f>IF($L$3478,$T3508,$N3508)</f>
        <v/>
      </c>
    </row>
    <row r="3509">
      <c r="A3509" s="90" t="n">
        <v>29</v>
      </c>
      <c r="B3509" s="91">
        <f>EDATE($B3508,1)</f>
        <v/>
      </c>
      <c r="C3509" s="92">
        <f>EOMONTH($B3509,0)</f>
        <v/>
      </c>
      <c r="D3509" s="87">
        <f>$C3509-$B3509+1</f>
        <v/>
      </c>
      <c r="E3509" s="87">
        <f>MONTH($B3509)</f>
        <v/>
      </c>
      <c r="F3509" s="93">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$N3509*IF($O$3478=1,$O3509/$F$3478,1)</f>
        <v/>
      </c>
      <c r="T3509" s="95">
        <f>IF($G3509&lt;nr_MStartP,$S3509,$T3497*(1+IF($G3509&lt;nr_MStartP1,$M$3478,$N$3478)))</f>
        <v/>
      </c>
      <c r="U3509" s="95">
        <f>IF($L$3478,$T3509,$N3509)</f>
        <v/>
      </c>
    </row>
    <row r="3510">
      <c r="A3510" s="90" t="n">
        <v>30</v>
      </c>
      <c r="B3510" s="91">
        <f>EDATE($B3509,1)</f>
        <v/>
      </c>
      <c r="C3510" s="92">
        <f>EOMONTH($B3510,0)</f>
        <v/>
      </c>
      <c r="D3510" s="87">
        <f>$C3510-$B3510+1</f>
        <v/>
      </c>
      <c r="E3510" s="87">
        <f>MONTH($B3510)</f>
        <v/>
      </c>
      <c r="F3510" s="93">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$N3510*IF($O$3478=1,$O3510/$F$3478,1)</f>
        <v/>
      </c>
      <c r="T3510" s="95">
        <f>IF($G3510&lt;nr_MStartP,$S3510,$T3498*(1+IF($G3510&lt;nr_MStartP1,$M$3478,$N$3478)))</f>
        <v/>
      </c>
      <c r="U3510" s="95">
        <f>IF($L$3478,$T3510,$N3510)</f>
        <v/>
      </c>
    </row>
    <row r="3511">
      <c r="A3511" s="90" t="n">
        <v>31</v>
      </c>
      <c r="B3511" s="91">
        <f>EDATE($B3510,1)</f>
        <v/>
      </c>
      <c r="C3511" s="92">
        <f>EOMONTH($B3511,0)</f>
        <v/>
      </c>
      <c r="D3511" s="87">
        <f>$C3511-$B3511+1</f>
        <v/>
      </c>
      <c r="E3511" s="87">
        <f>MONTH($B3511)</f>
        <v/>
      </c>
      <c r="F3511" s="93">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$N3511*IF($O$3478=1,$O3511/$F$3478,1)</f>
        <v/>
      </c>
      <c r="T3511" s="95">
        <f>IF($G3511&lt;nr_MStartP,$S3511,$T3499*(1+IF($G3511&lt;nr_MStartP1,$M$3478,$N$3478)))</f>
        <v/>
      </c>
      <c r="U3511" s="95">
        <f>IF($L$3478,$T3511,$N3511)</f>
        <v/>
      </c>
    </row>
    <row r="3512">
      <c r="A3512" s="90" t="n">
        <v>32</v>
      </c>
      <c r="B3512" s="91">
        <f>EDATE($B3511,1)</f>
        <v/>
      </c>
      <c r="C3512" s="92">
        <f>EOMONTH($B3512,0)</f>
        <v/>
      </c>
      <c r="D3512" s="87">
        <f>$C3512-$B3512+1</f>
        <v/>
      </c>
      <c r="E3512" s="87">
        <f>MONTH($B3512)</f>
        <v/>
      </c>
      <c r="F3512" s="93">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$N3512*IF($O$3478=1,$O3512/$F$3478,1)</f>
        <v/>
      </c>
      <c r="T3512" s="95">
        <f>IF($G3512&lt;nr_MStartP,$S3512,$T3500*(1+IF($G3512&lt;nr_MStartP1,$M$3478,$N$3478)))</f>
        <v/>
      </c>
      <c r="U3512" s="95">
        <f>IF($L$3478,$T3512,$N3512)</f>
        <v/>
      </c>
    </row>
    <row r="3513">
      <c r="A3513" s="90" t="n">
        <v>33</v>
      </c>
      <c r="B3513" s="91">
        <f>EDATE($B3512,1)</f>
        <v/>
      </c>
      <c r="C3513" s="92">
        <f>EOMONTH($B3513,0)</f>
        <v/>
      </c>
      <c r="D3513" s="87">
        <f>$C3513-$B3513+1</f>
        <v/>
      </c>
      <c r="E3513" s="87">
        <f>MONTH($B3513)</f>
        <v/>
      </c>
      <c r="F3513" s="93">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$N3513*IF($O$3478=1,$O3513/$F$3478,1)</f>
        <v/>
      </c>
      <c r="T3513" s="95">
        <f>IF($G3513&lt;nr_MStartP,$S3513,$T3501*(1+IF($G3513&lt;nr_MStartP1,$M$3478,$N$3478)))</f>
        <v/>
      </c>
      <c r="U3513" s="95">
        <f>IF($L$3478,$T3513,$N3513)</f>
        <v/>
      </c>
    </row>
    <row r="3514">
      <c r="A3514" s="90" t="n">
        <v>34</v>
      </c>
      <c r="B3514" s="91">
        <f>EDATE($B3513,1)</f>
        <v/>
      </c>
      <c r="C3514" s="92">
        <f>EOMONTH($B3514,0)</f>
        <v/>
      </c>
      <c r="D3514" s="87">
        <f>$C3514-$B3514+1</f>
        <v/>
      </c>
      <c r="E3514" s="87">
        <f>MONTH($B3514)</f>
        <v/>
      </c>
      <c r="F3514" s="93">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$N3514*IF($O$3478=1,$O3514/$F$3478,1)</f>
        <v/>
      </c>
      <c r="T3514" s="95">
        <f>IF($G3514&lt;nr_MStartP,$S3514,$T3502*(1+IF($G3514&lt;nr_MStartP1,$M$3478,$N$3478)))</f>
        <v/>
      </c>
      <c r="U3514" s="95">
        <f>IF($L$3478,$T3514,$N3514)</f>
        <v/>
      </c>
    </row>
    <row r="3515">
      <c r="A3515" s="90" t="n">
        <v>35</v>
      </c>
      <c r="B3515" s="91">
        <f>EDATE($B3514,1)</f>
        <v/>
      </c>
      <c r="C3515" s="92">
        <f>EOMONTH($B3515,0)</f>
        <v/>
      </c>
      <c r="D3515" s="87">
        <f>$C3515-$B3515+1</f>
        <v/>
      </c>
      <c r="E3515" s="87">
        <f>MONTH($B3515)</f>
        <v/>
      </c>
      <c r="F3515" s="93">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$N3515*IF($O$3478=1,$O3515/$F$3478,1)</f>
        <v/>
      </c>
      <c r="T3515" s="95">
        <f>IF($G3515&lt;nr_MStartP,$S3515,$T3503*(1+IF($G3515&lt;nr_MStartP1,$M$3478,$N$3478)))</f>
        <v/>
      </c>
      <c r="U3515" s="95">
        <f>IF($L$3478,$T3515,$N3515)</f>
        <v/>
      </c>
    </row>
    <row r="3516">
      <c r="A3516" s="90" t="n">
        <v>36</v>
      </c>
      <c r="B3516" s="91">
        <f>EDATE($B3515,1)</f>
        <v/>
      </c>
      <c r="C3516" s="92">
        <f>EOMONTH($B3516,0)</f>
        <v/>
      </c>
      <c r="D3516" s="87">
        <f>$C3516-$B3516+1</f>
        <v/>
      </c>
      <c r="E3516" s="87">
        <f>MONTH($B3516)</f>
        <v/>
      </c>
      <c r="F3516" s="93">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$N3516*IF($O$3478=1,$O3516/$F$3478,1)</f>
        <v/>
      </c>
      <c r="T3516" s="95">
        <f>IF($G3516&lt;nr_MStartP,$S3516,$T3504*(1+IF($G3516&lt;nr_MStartP1,$M$3478,$N$3478)))</f>
        <v/>
      </c>
      <c r="U3516" s="95">
        <f>IF($L$3478,$T3516,$N3516)</f>
        <v/>
      </c>
    </row>
    <row r="3517">
      <c r="A3517" s="90" t="n">
        <v>37</v>
      </c>
      <c r="B3517" s="91">
        <f>EDATE($B3516,1)</f>
        <v/>
      </c>
      <c r="C3517" s="92">
        <f>EOMONTH($B3517,0)</f>
        <v/>
      </c>
      <c r="D3517" s="87">
        <f>$C3517-$B3517+1</f>
        <v/>
      </c>
      <c r="E3517" s="87">
        <f>MONTH($B3517)</f>
        <v/>
      </c>
      <c r="F3517" s="93">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$N3517*IF($O$3478=1,$O3517/$F$3478,1)</f>
        <v/>
      </c>
      <c r="T3517" s="95">
        <f>IF($G3517&lt;nr_MStartP,$S3517,$T3505*(1+IF($G3517&lt;nr_MStartP1,$M$3478,$N$3478)))</f>
        <v/>
      </c>
      <c r="U3517" s="95">
        <f>IF($L$3478,$T3517,$N3517)</f>
        <v/>
      </c>
    </row>
    <row r="3518">
      <c r="A3518" s="90" t="n">
        <v>38</v>
      </c>
      <c r="B3518" s="91">
        <f>EDATE($B3517,1)</f>
        <v/>
      </c>
      <c r="C3518" s="92">
        <f>EOMONTH($B3518,0)</f>
        <v/>
      </c>
      <c r="D3518" s="87">
        <f>$C3518-$B3518+1</f>
        <v/>
      </c>
      <c r="E3518" s="87">
        <f>MONTH($B3518)</f>
        <v/>
      </c>
      <c r="F3518" s="93">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$N3518*IF($O$3478=1,$O3518/$F$3478,1)</f>
        <v/>
      </c>
      <c r="T3518" s="95">
        <f>IF($G3518&lt;nr_MStartP,$S3518,$T3506*(1+IF($G3518&lt;nr_MStartP1,$M$3478,$N$3478)))</f>
        <v/>
      </c>
      <c r="U3518" s="95">
        <f>IF($L$3478,$T3518,$N3518)</f>
        <v/>
      </c>
    </row>
    <row r="3519">
      <c r="A3519" s="90" t="n">
        <v>39</v>
      </c>
      <c r="B3519" s="91">
        <f>EDATE($B3518,1)</f>
        <v/>
      </c>
      <c r="C3519" s="92">
        <f>EOMONTH($B3519,0)</f>
        <v/>
      </c>
      <c r="D3519" s="87">
        <f>$C3519-$B3519+1</f>
        <v/>
      </c>
      <c r="E3519" s="87">
        <f>MONTH($B3519)</f>
        <v/>
      </c>
      <c r="F3519" s="93">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$N3519*IF($O$3478=1,$O3519/$F$3478,1)</f>
        <v/>
      </c>
      <c r="T3519" s="95">
        <f>IF($G3519&lt;nr_MStartP,$S3519,$T3507*(1+IF($G3519&lt;nr_MStartP1,$M$3478,$N$3478)))</f>
        <v/>
      </c>
      <c r="U3519" s="95">
        <f>IF($L$3478,$T3519,$N3519)</f>
        <v/>
      </c>
    </row>
    <row r="3520">
      <c r="A3520" s="90" t="n">
        <v>40</v>
      </c>
      <c r="B3520" s="91">
        <f>EDATE($B3519,1)</f>
        <v/>
      </c>
      <c r="C3520" s="92">
        <f>EOMONTH($B3520,0)</f>
        <v/>
      </c>
      <c r="D3520" s="87">
        <f>$C3520-$B3520+1</f>
        <v/>
      </c>
      <c r="E3520" s="87">
        <f>MONTH($B3520)</f>
        <v/>
      </c>
      <c r="F3520" s="93">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$N3520*IF($O$3478=1,$O3520/$F$3478,1)</f>
        <v/>
      </c>
      <c r="T3520" s="95">
        <f>IF($G3520&lt;nr_MStartP,$S3520,$T3508*(1+IF($G3520&lt;nr_MStartP1,$M$3478,$N$3478)))</f>
        <v/>
      </c>
      <c r="U3520" s="95">
        <f>IF($L$3478,$T3520,$N3520)</f>
        <v/>
      </c>
    </row>
    <row r="3521">
      <c r="A3521" s="90" t="n">
        <v>41</v>
      </c>
      <c r="B3521" s="91">
        <f>EDATE($B3520,1)</f>
        <v/>
      </c>
      <c r="C3521" s="92">
        <f>EOMONTH($B3521,0)</f>
        <v/>
      </c>
      <c r="D3521" s="87">
        <f>$C3521-$B3521+1</f>
        <v/>
      </c>
      <c r="E3521" s="87">
        <f>MONTH($B3521)</f>
        <v/>
      </c>
      <c r="F3521" s="93">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$N3521*IF($O$3478=1,$O3521/$F$3478,1)</f>
        <v/>
      </c>
      <c r="T3521" s="95">
        <f>IF($G3521&lt;nr_MStartP,$S3521,$T3509*(1+IF($G3521&lt;nr_MStartP1,$M$3478,$N$3478)))</f>
        <v/>
      </c>
      <c r="U3521" s="95">
        <f>IF($L$3478,$T3521,$N3521)</f>
        <v/>
      </c>
    </row>
    <row r="3522">
      <c r="A3522" s="90" t="n">
        <v>42</v>
      </c>
      <c r="B3522" s="91">
        <f>EDATE($B3521,1)</f>
        <v/>
      </c>
      <c r="C3522" s="92">
        <f>EOMONTH($B3522,0)</f>
        <v/>
      </c>
      <c r="D3522" s="87">
        <f>$C3522-$B3522+1</f>
        <v/>
      </c>
      <c r="E3522" s="87">
        <f>MONTH($B3522)</f>
        <v/>
      </c>
      <c r="F3522" s="93">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$N3522*IF($O$3478=1,$O3522/$F$3478,1)</f>
        <v/>
      </c>
      <c r="T3522" s="95">
        <f>IF($G3522&lt;nr_MStartP,$S3522,$T3510*(1+IF($G3522&lt;nr_MStartP1,$M$3478,$N$3478)))</f>
        <v/>
      </c>
      <c r="U3522" s="95">
        <f>IF($L$3478,$T3522,$N3522)</f>
        <v/>
      </c>
    </row>
    <row r="3523">
      <c r="A3523" s="90" t="n">
        <v>43</v>
      </c>
      <c r="B3523" s="91">
        <f>EDATE($B3522,1)</f>
        <v/>
      </c>
      <c r="C3523" s="92">
        <f>EOMONTH($B3523,0)</f>
        <v/>
      </c>
      <c r="D3523" s="87">
        <f>$C3523-$B3523+1</f>
        <v/>
      </c>
      <c r="E3523" s="87">
        <f>MONTH($B3523)</f>
        <v/>
      </c>
      <c r="F3523" s="93">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$N3523*IF($O$3478=1,$O3523/$F$3478,1)</f>
        <v/>
      </c>
      <c r="T3523" s="95">
        <f>IF($G3523&lt;nr_MStartP,$S3523,$T3511*(1+IF($G3523&lt;nr_MStartP1,$M$3478,$N$3478)))</f>
        <v/>
      </c>
      <c r="U3523" s="95">
        <f>IF($L$3478,$T3523,$N3523)</f>
        <v/>
      </c>
    </row>
    <row r="3524">
      <c r="A3524" s="90" t="n">
        <v>44</v>
      </c>
      <c r="B3524" s="91">
        <f>EDATE($B3523,1)</f>
        <v/>
      </c>
      <c r="C3524" s="92">
        <f>EOMONTH($B3524,0)</f>
        <v/>
      </c>
      <c r="D3524" s="87">
        <f>$C3524-$B3524+1</f>
        <v/>
      </c>
      <c r="E3524" s="87">
        <f>MONTH($B3524)</f>
        <v/>
      </c>
      <c r="F3524" s="93">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$N3524*IF($O$3478=1,$O3524/$F$3478,1)</f>
        <v/>
      </c>
      <c r="T3524" s="95">
        <f>IF($G3524&lt;nr_MStartP,$S3524,$T3512*(1+IF($G3524&lt;nr_MStartP1,$M$3478,$N$3478)))</f>
        <v/>
      </c>
      <c r="U3524" s="95">
        <f>IF($L$3478,$T3524,$N3524)</f>
        <v/>
      </c>
    </row>
    <row r="3525">
      <c r="A3525" s="90" t="n">
        <v>45</v>
      </c>
      <c r="B3525" s="91">
        <f>EDATE($B3524,1)</f>
        <v/>
      </c>
      <c r="C3525" s="92">
        <f>EOMONTH($B3525,0)</f>
        <v/>
      </c>
      <c r="D3525" s="87">
        <f>$C3525-$B3525+1</f>
        <v/>
      </c>
      <c r="E3525" s="87">
        <f>MONTH($B3525)</f>
        <v/>
      </c>
      <c r="F3525" s="93">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$N3525*IF($O$3478=1,$O3525/$F$3478,1)</f>
        <v/>
      </c>
      <c r="T3525" s="95">
        <f>IF($G3525&lt;nr_MStartP,$S3525,$T3513*(1+IF($G3525&lt;nr_MStartP1,$M$3478,$N$3478)))</f>
        <v/>
      </c>
      <c r="U3525" s="95">
        <f>IF($L$3478,$T3525,$N3525)</f>
        <v/>
      </c>
    </row>
    <row r="3526">
      <c r="A3526" s="90" t="n">
        <v>46</v>
      </c>
      <c r="B3526" s="91">
        <f>EDATE($B3525,1)</f>
        <v/>
      </c>
      <c r="C3526" s="92">
        <f>EOMONTH($B3526,0)</f>
        <v/>
      </c>
      <c r="D3526" s="87">
        <f>$C3526-$B3526+1</f>
        <v/>
      </c>
      <c r="E3526" s="87">
        <f>MONTH($B3526)</f>
        <v/>
      </c>
      <c r="F3526" s="93">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$N3526*IF($O$3478=1,$O3526/$F$3478,1)</f>
        <v/>
      </c>
      <c r="T3526" s="95">
        <f>IF($G3526&lt;nr_MStartP,$S3526,$T3514*(1+IF($G3526&lt;nr_MStartP1,$M$3478,$N$3478)))</f>
        <v/>
      </c>
      <c r="U3526" s="95">
        <f>IF($L$3478,$T3526,$N3526)</f>
        <v/>
      </c>
    </row>
    <row r="3527">
      <c r="A3527" s="90" t="n">
        <v>47</v>
      </c>
      <c r="B3527" s="91">
        <f>EDATE($B3526,1)</f>
        <v/>
      </c>
      <c r="C3527" s="92">
        <f>EOMONTH($B3527,0)</f>
        <v/>
      </c>
      <c r="D3527" s="87">
        <f>$C3527-$B3527+1</f>
        <v/>
      </c>
      <c r="E3527" s="87">
        <f>MONTH($B3527)</f>
        <v/>
      </c>
      <c r="F3527" s="93">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$N3527*IF($O$3478=1,$O3527/$F$3478,1)</f>
        <v/>
      </c>
      <c r="T3527" s="95">
        <f>IF($G3527&lt;nr_MStartP,$S3527,$T3515*(1+IF($G3527&lt;nr_MStartP1,$M$3478,$N$3478)))</f>
        <v/>
      </c>
      <c r="U3527" s="95">
        <f>IF($L$3478,$T3527,$N3527)</f>
        <v/>
      </c>
    </row>
    <row r="3528">
      <c r="A3528" s="90" t="n">
        <v>48</v>
      </c>
      <c r="B3528" s="91">
        <f>EDATE($B3527,1)</f>
        <v/>
      </c>
      <c r="C3528" s="92">
        <f>EOMONTH($B3528,0)</f>
        <v/>
      </c>
      <c r="D3528" s="87">
        <f>$C3528-$B3528+1</f>
        <v/>
      </c>
      <c r="E3528" s="87">
        <f>MONTH($B3528)</f>
        <v/>
      </c>
      <c r="F3528" s="93">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$N3528*IF($O$3478=1,$O3528/$F$3478,1)</f>
        <v/>
      </c>
      <c r="T3528" s="95">
        <f>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04">
        <f>SUMPRODUCT($H$3481:$H$3528,$Q$3481:$Q$3528,$O$3481:$O$3528)/SUMPRODUCT($H$3481:$H$3528,$Q$3481:$Q$3528)</f>
        <v/>
      </c>
      <c r="G3529" s="20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04">
        <f>IF(N(INDEX(lr_mind,65))=0,1,INDEX(lr_mind,65))</f>
        <v/>
      </c>
      <c r="G3532" s="204">
        <f>IF(N(INDEX(lr_m0,65))=0,1,INDEX(lr_m0,65))</f>
        <v/>
      </c>
      <c r="H3532" s="73">
        <f>IF(N(INDEX(lr_m0asof,65))=0,DATE(nr_PlanYear-1,10,1),INDEX(lr_m0asof,65))</f>
        <v/>
      </c>
      <c r="I3532" s="204">
        <f>IF(N(INDEX(lr_m1,65))=0,1,INDEX(lr_m1,65))</f>
        <v/>
      </c>
      <c r="J3532" s="204">
        <f>INDEX(lr_mprior,65)</f>
        <v/>
      </c>
      <c r="K3532" s="20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93">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$N3535*IF($O$3532=1,$O3535/$F$3532,1)</f>
        <v/>
      </c>
      <c r="T3535" s="95">
        <f>IF($G3535&lt;nr_MStartP,$S3535,$T3523*(1+IF($G3535&lt;nr_MStartP1,$M$3532,$N$3532)))</f>
        <v/>
      </c>
      <c r="U3535" s="95">
        <f>IF($L$3532,$T3535,$N3535)</f>
        <v/>
      </c>
    </row>
    <row r="3536">
      <c r="A3536" s="90" t="n">
        <v>2</v>
      </c>
      <c r="B3536" s="91">
        <f>EDATE($B3535,1)</f>
        <v/>
      </c>
      <c r="C3536" s="92">
        <f>EOMONTH($B3536,0)</f>
        <v/>
      </c>
      <c r="D3536" s="87">
        <f>$C3536-$B3536+1</f>
        <v/>
      </c>
      <c r="E3536" s="87">
        <f>MONTH($B3536)</f>
        <v/>
      </c>
      <c r="F3536" s="93">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$N3536*IF($O$3532=1,$O3536/$F$3532,1)</f>
        <v/>
      </c>
      <c r="T3536" s="95">
        <f>IF($G3536&lt;nr_MStartP,$S3536,$T3524*(1+IF($G3536&lt;nr_MStartP1,$M$3532,$N$3532)))</f>
        <v/>
      </c>
      <c r="U3536" s="95">
        <f>IF($L$3532,$T3536,$N3536)</f>
        <v/>
      </c>
    </row>
    <row r="3537">
      <c r="A3537" s="90" t="n">
        <v>3</v>
      </c>
      <c r="B3537" s="91">
        <f>EDATE($B3536,1)</f>
        <v/>
      </c>
      <c r="C3537" s="92">
        <f>EOMONTH($B3537,0)</f>
        <v/>
      </c>
      <c r="D3537" s="87">
        <f>$C3537-$B3537+1</f>
        <v/>
      </c>
      <c r="E3537" s="87">
        <f>MONTH($B3537)</f>
        <v/>
      </c>
      <c r="F3537" s="93">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$N3537*IF($O$3532=1,$O3537/$F$3532,1)</f>
        <v/>
      </c>
      <c r="T3537" s="95">
        <f>IF($G3537&lt;nr_MStartP,$S3537,$T3525*(1+IF($G3537&lt;nr_MStartP1,$M$3532,$N$3532)))</f>
        <v/>
      </c>
      <c r="U3537" s="95">
        <f>IF($L$3532,$T3537,$N3537)</f>
        <v/>
      </c>
    </row>
    <row r="3538">
      <c r="A3538" s="90" t="n">
        <v>4</v>
      </c>
      <c r="B3538" s="91">
        <f>EDATE($B3537,1)</f>
        <v/>
      </c>
      <c r="C3538" s="92">
        <f>EOMONTH($B3538,0)</f>
        <v/>
      </c>
      <c r="D3538" s="87">
        <f>$C3538-$B3538+1</f>
        <v/>
      </c>
      <c r="E3538" s="87">
        <f>MONTH($B3538)</f>
        <v/>
      </c>
      <c r="F3538" s="93">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$N3538*IF($O$3532=1,$O3538/$F$3532,1)</f>
        <v/>
      </c>
      <c r="T3538" s="95">
        <f>IF($G3538&lt;nr_MStartP,$S3538,$T3526*(1+IF($G3538&lt;nr_MStartP1,$M$3532,$N$3532)))</f>
        <v/>
      </c>
      <c r="U3538" s="95">
        <f>IF($L$3532,$T3538,$N3538)</f>
        <v/>
      </c>
    </row>
    <row r="3539">
      <c r="A3539" s="90" t="n">
        <v>5</v>
      </c>
      <c r="B3539" s="91">
        <f>EDATE($B3538,1)</f>
        <v/>
      </c>
      <c r="C3539" s="92">
        <f>EOMONTH($B3539,0)</f>
        <v/>
      </c>
      <c r="D3539" s="87">
        <f>$C3539-$B3539+1</f>
        <v/>
      </c>
      <c r="E3539" s="87">
        <f>MONTH($B3539)</f>
        <v/>
      </c>
      <c r="F3539" s="93">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$N3539*IF($O$3532=1,$O3539/$F$3532,1)</f>
        <v/>
      </c>
      <c r="T3539" s="95">
        <f>IF($G3539&lt;nr_MStartP,$S3539,$T3527*(1+IF($G3539&lt;nr_MStartP1,$M$3532,$N$3532)))</f>
        <v/>
      </c>
      <c r="U3539" s="95">
        <f>IF($L$3532,$T3539,$N3539)</f>
        <v/>
      </c>
    </row>
    <row r="3540">
      <c r="A3540" s="90" t="n">
        <v>6</v>
      </c>
      <c r="B3540" s="91">
        <f>EDATE($B3539,1)</f>
        <v/>
      </c>
      <c r="C3540" s="92">
        <f>EOMONTH($B3540,0)</f>
        <v/>
      </c>
      <c r="D3540" s="87">
        <f>$C3540-$B3540+1</f>
        <v/>
      </c>
      <c r="E3540" s="87">
        <f>MONTH($B3540)</f>
        <v/>
      </c>
      <c r="F3540" s="93">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$N3540*IF($O$3532=1,$O3540/$F$3532,1)</f>
        <v/>
      </c>
      <c r="T3540" s="95">
        <f>IF($G3540&lt;nr_MStartP,$S3540,$T3528*(1+IF($G3540&lt;nr_MStartP1,$M$3532,$N$3532)))</f>
        <v/>
      </c>
      <c r="U3540" s="95">
        <f>IF($L$3532,$T3540,$N3540)</f>
        <v/>
      </c>
    </row>
    <row r="3541">
      <c r="A3541" s="90" t="n">
        <v>7</v>
      </c>
      <c r="B3541" s="91">
        <f>EDATE($B3540,1)</f>
        <v/>
      </c>
      <c r="C3541" s="92">
        <f>EOMONTH($B3541,0)</f>
        <v/>
      </c>
      <c r="D3541" s="87">
        <f>$C3541-$B3541+1</f>
        <v/>
      </c>
      <c r="E3541" s="87">
        <f>MONTH($B3541)</f>
        <v/>
      </c>
      <c r="F3541" s="93">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$N3541*IF($O$3532=1,$O3541/$F$3532,1)</f>
        <v/>
      </c>
      <c r="T3541" s="95">
        <f>IF($G3541&lt;nr_MStartP,$S3541,$T3529*(1+IF($G3541&lt;nr_MStartP1,$M$3532,$N$3532)))</f>
        <v/>
      </c>
      <c r="U3541" s="95">
        <f>IF($L$3532,$T3541,$N3541)</f>
        <v/>
      </c>
    </row>
    <row r="3542">
      <c r="A3542" s="90" t="n">
        <v>8</v>
      </c>
      <c r="B3542" s="91">
        <f>EDATE($B3541,1)</f>
        <v/>
      </c>
      <c r="C3542" s="92">
        <f>EOMONTH($B3542,0)</f>
        <v/>
      </c>
      <c r="D3542" s="87">
        <f>$C3542-$B3542+1</f>
        <v/>
      </c>
      <c r="E3542" s="87">
        <f>MONTH($B3542)</f>
        <v/>
      </c>
      <c r="F3542" s="93">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$N3542*IF($O$3532=1,$O3542/$F$3532,1)</f>
        <v/>
      </c>
      <c r="T3542" s="95">
        <f>IF($G3542&lt;nr_MStartP,$S3542,$T3530*(1+IF($G3542&lt;nr_MStartP1,$M$3532,$N$3532)))</f>
        <v/>
      </c>
      <c r="U3542" s="95">
        <f>IF($L$3532,$T3542,$N3542)</f>
        <v/>
      </c>
    </row>
    <row r="3543">
      <c r="A3543" s="90" t="n">
        <v>9</v>
      </c>
      <c r="B3543" s="91">
        <f>EDATE($B3542,1)</f>
        <v/>
      </c>
      <c r="C3543" s="92">
        <f>EOMONTH($B3543,0)</f>
        <v/>
      </c>
      <c r="D3543" s="87">
        <f>$C3543-$B3543+1</f>
        <v/>
      </c>
      <c r="E3543" s="87">
        <f>MONTH($B3543)</f>
        <v/>
      </c>
      <c r="F3543" s="93">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$N3543*IF($O$3532=1,$O3543/$F$3532,1)</f>
        <v/>
      </c>
      <c r="T3543" s="95">
        <f>IF($G3543&lt;nr_MStartP,$S3543,$T3531*(1+IF($G3543&lt;nr_MStartP1,$M$3532,$N$3532)))</f>
        <v/>
      </c>
      <c r="U3543" s="95">
        <f>IF($L$3532,$T3543,$N3543)</f>
        <v/>
      </c>
    </row>
    <row r="3544">
      <c r="A3544" s="90" t="n">
        <v>10</v>
      </c>
      <c r="B3544" s="91">
        <f>EDATE($B3543,1)</f>
        <v/>
      </c>
      <c r="C3544" s="92">
        <f>EOMONTH($B3544,0)</f>
        <v/>
      </c>
      <c r="D3544" s="87">
        <f>$C3544-$B3544+1</f>
        <v/>
      </c>
      <c r="E3544" s="87">
        <f>MONTH($B3544)</f>
        <v/>
      </c>
      <c r="F3544" s="93">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$N3544*IF($O$3532=1,$O3544/$F$3532,1)</f>
        <v/>
      </c>
      <c r="T3544" s="95">
        <f>IF($G3544&lt;nr_MStartP,$S3544,$T3532*(1+IF($G3544&lt;nr_MStartP1,$M$3532,$N$3532)))</f>
        <v/>
      </c>
      <c r="U3544" s="95">
        <f>IF($L$3532,$T3544,$N3544)</f>
        <v/>
      </c>
    </row>
    <row r="3545">
      <c r="A3545" s="90" t="n">
        <v>11</v>
      </c>
      <c r="B3545" s="91">
        <f>EDATE($B3544,1)</f>
        <v/>
      </c>
      <c r="C3545" s="92">
        <f>EOMONTH($B3545,0)</f>
        <v/>
      </c>
      <c r="D3545" s="87">
        <f>$C3545-$B3545+1</f>
        <v/>
      </c>
      <c r="E3545" s="87">
        <f>MONTH($B3545)</f>
        <v/>
      </c>
      <c r="F3545" s="93">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$N3545*IF($O$3532=1,$O3545/$F$3532,1)</f>
        <v/>
      </c>
      <c r="T3545" s="95">
        <f>IF($G3545&lt;nr_MStartP,$S3545,$T3533*(1+IF($G3545&lt;nr_MStartP1,$M$3532,$N$3532)))</f>
        <v/>
      </c>
      <c r="U3545" s="95">
        <f>IF($L$3532,$T3545,$N3545)</f>
        <v/>
      </c>
    </row>
    <row r="3546">
      <c r="A3546" s="90" t="n">
        <v>12</v>
      </c>
      <c r="B3546" s="91">
        <f>EDATE($B3545,1)</f>
        <v/>
      </c>
      <c r="C3546" s="92">
        <f>EOMONTH($B3546,0)</f>
        <v/>
      </c>
      <c r="D3546" s="87">
        <f>$C3546-$B3546+1</f>
        <v/>
      </c>
      <c r="E3546" s="87">
        <f>MONTH($B3546)</f>
        <v/>
      </c>
      <c r="F3546" s="93">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$N3546*IF($O$3532=1,$O3546/$F$3532,1)</f>
        <v/>
      </c>
      <c r="T3546" s="95">
        <f>IF($G3546&lt;nr_MStartP,$S3546,$T3534*(1+IF($G3546&lt;nr_MStartP1,$M$3532,$N$3532)))</f>
        <v/>
      </c>
      <c r="U3546" s="95">
        <f>IF($L$3532,$T3546,$N3546)</f>
        <v/>
      </c>
    </row>
    <row r="3547">
      <c r="A3547" s="90" t="n">
        <v>13</v>
      </c>
      <c r="B3547" s="91">
        <f>EDATE($B3546,1)</f>
        <v/>
      </c>
      <c r="C3547" s="92">
        <f>EOMONTH($B3547,0)</f>
        <v/>
      </c>
      <c r="D3547" s="87">
        <f>$C3547-$B3547+1</f>
        <v/>
      </c>
      <c r="E3547" s="87">
        <f>MONTH($B3547)</f>
        <v/>
      </c>
      <c r="F3547" s="93">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$N3547*IF($O$3532=1,$O3547/$F$3532,1)</f>
        <v/>
      </c>
      <c r="T3547" s="95">
        <f>IF($G3547&lt;nr_MStartP,$S3547,$T3535*(1+IF($G3547&lt;nr_MStartP1,$M$3532,$N$3532)))</f>
        <v/>
      </c>
      <c r="U3547" s="95">
        <f>IF($L$3532,$T3547,$N3547)</f>
        <v/>
      </c>
    </row>
    <row r="3548">
      <c r="A3548" s="90" t="n">
        <v>14</v>
      </c>
      <c r="B3548" s="91">
        <f>EDATE($B3547,1)</f>
        <v/>
      </c>
      <c r="C3548" s="92">
        <f>EOMONTH($B3548,0)</f>
        <v/>
      </c>
      <c r="D3548" s="87">
        <f>$C3548-$B3548+1</f>
        <v/>
      </c>
      <c r="E3548" s="87">
        <f>MONTH($B3548)</f>
        <v/>
      </c>
      <c r="F3548" s="93">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$N3548*IF($O$3532=1,$O3548/$F$3532,1)</f>
        <v/>
      </c>
      <c r="T3548" s="95">
        <f>IF($G3548&lt;nr_MStartP,$S3548,$T3536*(1+IF($G3548&lt;nr_MStartP1,$M$3532,$N$3532)))</f>
        <v/>
      </c>
      <c r="U3548" s="95">
        <f>IF($L$3532,$T3548,$N3548)</f>
        <v/>
      </c>
    </row>
    <row r="3549">
      <c r="A3549" s="90" t="n">
        <v>15</v>
      </c>
      <c r="B3549" s="91">
        <f>EDATE($B3548,1)</f>
        <v/>
      </c>
      <c r="C3549" s="92">
        <f>EOMONTH($B3549,0)</f>
        <v/>
      </c>
      <c r="D3549" s="87">
        <f>$C3549-$B3549+1</f>
        <v/>
      </c>
      <c r="E3549" s="87">
        <f>MONTH($B3549)</f>
        <v/>
      </c>
      <c r="F3549" s="93">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$N3549*IF($O$3532=1,$O3549/$F$3532,1)</f>
        <v/>
      </c>
      <c r="T3549" s="95">
        <f>IF($G3549&lt;nr_MStartP,$S3549,$T3537*(1+IF($G3549&lt;nr_MStartP1,$M$3532,$N$3532)))</f>
        <v/>
      </c>
      <c r="U3549" s="95">
        <f>IF($L$3532,$T3549,$N3549)</f>
        <v/>
      </c>
    </row>
    <row r="3550">
      <c r="A3550" s="90" t="n">
        <v>16</v>
      </c>
      <c r="B3550" s="91">
        <f>EDATE($B3549,1)</f>
        <v/>
      </c>
      <c r="C3550" s="92">
        <f>EOMONTH($B3550,0)</f>
        <v/>
      </c>
      <c r="D3550" s="87">
        <f>$C3550-$B3550+1</f>
        <v/>
      </c>
      <c r="E3550" s="87">
        <f>MONTH($B3550)</f>
        <v/>
      </c>
      <c r="F3550" s="93">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$N3550*IF($O$3532=1,$O3550/$F$3532,1)</f>
        <v/>
      </c>
      <c r="T3550" s="95">
        <f>IF($G3550&lt;nr_MStartP,$S3550,$T3538*(1+IF($G3550&lt;nr_MStartP1,$M$3532,$N$3532)))</f>
        <v/>
      </c>
      <c r="U3550" s="95">
        <f>IF($L$3532,$T3550,$N3550)</f>
        <v/>
      </c>
    </row>
    <row r="3551">
      <c r="A3551" s="90" t="n">
        <v>17</v>
      </c>
      <c r="B3551" s="91">
        <f>EDATE($B3550,1)</f>
        <v/>
      </c>
      <c r="C3551" s="92">
        <f>EOMONTH($B3551,0)</f>
        <v/>
      </c>
      <c r="D3551" s="87">
        <f>$C3551-$B3551+1</f>
        <v/>
      </c>
      <c r="E3551" s="87">
        <f>MONTH($B3551)</f>
        <v/>
      </c>
      <c r="F3551" s="93">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$N3551*IF($O$3532=1,$O3551/$F$3532,1)</f>
        <v/>
      </c>
      <c r="T3551" s="95">
        <f>IF($G3551&lt;nr_MStartP,$S3551,$T3539*(1+IF($G3551&lt;nr_MStartP1,$M$3532,$N$3532)))</f>
        <v/>
      </c>
      <c r="U3551" s="95">
        <f>IF($L$3532,$T3551,$N3551)</f>
        <v/>
      </c>
    </row>
    <row r="3552">
      <c r="A3552" s="90" t="n">
        <v>18</v>
      </c>
      <c r="B3552" s="91">
        <f>EDATE($B3551,1)</f>
        <v/>
      </c>
      <c r="C3552" s="92">
        <f>EOMONTH($B3552,0)</f>
        <v/>
      </c>
      <c r="D3552" s="87">
        <f>$C3552-$B3552+1</f>
        <v/>
      </c>
      <c r="E3552" s="87">
        <f>MONTH($B3552)</f>
        <v/>
      </c>
      <c r="F3552" s="93">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$N3552*IF($O$3532=1,$O3552/$F$3532,1)</f>
        <v/>
      </c>
      <c r="T3552" s="95">
        <f>IF($G3552&lt;nr_MStartP,$S3552,$T3540*(1+IF($G3552&lt;nr_MStartP1,$M$3532,$N$3532)))</f>
        <v/>
      </c>
      <c r="U3552" s="95">
        <f>IF($L$3532,$T3552,$N3552)</f>
        <v/>
      </c>
    </row>
    <row r="3553">
      <c r="A3553" s="90" t="n">
        <v>19</v>
      </c>
      <c r="B3553" s="91">
        <f>EDATE($B3552,1)</f>
        <v/>
      </c>
      <c r="C3553" s="92">
        <f>EOMONTH($B3553,0)</f>
        <v/>
      </c>
      <c r="D3553" s="87">
        <f>$C3553-$B3553+1</f>
        <v/>
      </c>
      <c r="E3553" s="87">
        <f>MONTH($B3553)</f>
        <v/>
      </c>
      <c r="F3553" s="93">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$N3553*IF($O$3532=1,$O3553/$F$3532,1)</f>
        <v/>
      </c>
      <c r="T3553" s="95">
        <f>IF($G3553&lt;nr_MStartP,$S3553,$T3541*(1+IF($G3553&lt;nr_MStartP1,$M$3532,$N$3532)))</f>
        <v/>
      </c>
      <c r="U3553" s="95">
        <f>IF($L$3532,$T3553,$N3553)</f>
        <v/>
      </c>
    </row>
    <row r="3554">
      <c r="A3554" s="90" t="n">
        <v>20</v>
      </c>
      <c r="B3554" s="91">
        <f>EDATE($B3553,1)</f>
        <v/>
      </c>
      <c r="C3554" s="92">
        <f>EOMONTH($B3554,0)</f>
        <v/>
      </c>
      <c r="D3554" s="87">
        <f>$C3554-$B3554+1</f>
        <v/>
      </c>
      <c r="E3554" s="87">
        <f>MONTH($B3554)</f>
        <v/>
      </c>
      <c r="F3554" s="93">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$N3554*IF($O$3532=1,$O3554/$F$3532,1)</f>
        <v/>
      </c>
      <c r="T3554" s="95">
        <f>IF($G3554&lt;nr_MStartP,$S3554,$T3542*(1+IF($G3554&lt;nr_MStartP1,$M$3532,$N$3532)))</f>
        <v/>
      </c>
      <c r="U3554" s="95">
        <f>IF($L$3532,$T3554,$N3554)</f>
        <v/>
      </c>
    </row>
    <row r="3555">
      <c r="A3555" s="90" t="n">
        <v>21</v>
      </c>
      <c r="B3555" s="91">
        <f>EDATE($B3554,1)</f>
        <v/>
      </c>
      <c r="C3555" s="92">
        <f>EOMONTH($B3555,0)</f>
        <v/>
      </c>
      <c r="D3555" s="87">
        <f>$C3555-$B3555+1</f>
        <v/>
      </c>
      <c r="E3555" s="87">
        <f>MONTH($B3555)</f>
        <v/>
      </c>
      <c r="F3555" s="93">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$N3555*IF($O$3532=1,$O3555/$F$3532,1)</f>
        <v/>
      </c>
      <c r="T3555" s="95">
        <f>IF($G3555&lt;nr_MStartP,$S3555,$T3543*(1+IF($G3555&lt;nr_MStartP1,$M$3532,$N$3532)))</f>
        <v/>
      </c>
      <c r="U3555" s="95">
        <f>IF($L$3532,$T3555,$N3555)</f>
        <v/>
      </c>
    </row>
    <row r="3556">
      <c r="A3556" s="90" t="n">
        <v>22</v>
      </c>
      <c r="B3556" s="91">
        <f>EDATE($B3555,1)</f>
        <v/>
      </c>
      <c r="C3556" s="92">
        <f>EOMONTH($B3556,0)</f>
        <v/>
      </c>
      <c r="D3556" s="87">
        <f>$C3556-$B3556+1</f>
        <v/>
      </c>
      <c r="E3556" s="87">
        <f>MONTH($B3556)</f>
        <v/>
      </c>
      <c r="F3556" s="93">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$N3556*IF($O$3532=1,$O3556/$F$3532,1)</f>
        <v/>
      </c>
      <c r="T3556" s="95">
        <f>IF($G3556&lt;nr_MStartP,$S3556,$T3544*(1+IF($G3556&lt;nr_MStartP1,$M$3532,$N$3532)))</f>
        <v/>
      </c>
      <c r="U3556" s="95">
        <f>IF($L$3532,$T3556,$N3556)</f>
        <v/>
      </c>
    </row>
    <row r="3557">
      <c r="A3557" s="90" t="n">
        <v>23</v>
      </c>
      <c r="B3557" s="91">
        <f>EDATE($B3556,1)</f>
        <v/>
      </c>
      <c r="C3557" s="92">
        <f>EOMONTH($B3557,0)</f>
        <v/>
      </c>
      <c r="D3557" s="87">
        <f>$C3557-$B3557+1</f>
        <v/>
      </c>
      <c r="E3557" s="87">
        <f>MONTH($B3557)</f>
        <v/>
      </c>
      <c r="F3557" s="93">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$N3557*IF($O$3532=1,$O3557/$F$3532,1)</f>
        <v/>
      </c>
      <c r="T3557" s="95">
        <f>IF($G3557&lt;nr_MStartP,$S3557,$T3545*(1+IF($G3557&lt;nr_MStartP1,$M$3532,$N$3532)))</f>
        <v/>
      </c>
      <c r="U3557" s="95">
        <f>IF($L$3532,$T3557,$N3557)</f>
        <v/>
      </c>
    </row>
    <row r="3558">
      <c r="A3558" s="90" t="n">
        <v>24</v>
      </c>
      <c r="B3558" s="91">
        <f>EDATE($B3557,1)</f>
        <v/>
      </c>
      <c r="C3558" s="92">
        <f>EOMONTH($B3558,0)</f>
        <v/>
      </c>
      <c r="D3558" s="87">
        <f>$C3558-$B3558+1</f>
        <v/>
      </c>
      <c r="E3558" s="87">
        <f>MONTH($B3558)</f>
        <v/>
      </c>
      <c r="F3558" s="93">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$N3558*IF($O$3532=1,$O3558/$F$3532,1)</f>
        <v/>
      </c>
      <c r="T3558" s="95">
        <f>IF($G3558&lt;nr_MStartP,$S3558,$T3546*(1+IF($G3558&lt;nr_MStartP1,$M$3532,$N$3532)))</f>
        <v/>
      </c>
      <c r="U3558" s="95">
        <f>IF($L$3532,$T3558,$N3558)</f>
        <v/>
      </c>
    </row>
    <row r="3559">
      <c r="A3559" s="90" t="n">
        <v>25</v>
      </c>
      <c r="B3559" s="91">
        <f>EDATE($B3558,1)</f>
        <v/>
      </c>
      <c r="C3559" s="92">
        <f>EOMONTH($B3559,0)</f>
        <v/>
      </c>
      <c r="D3559" s="87">
        <f>$C3559-$B3559+1</f>
        <v/>
      </c>
      <c r="E3559" s="87">
        <f>MONTH($B3559)</f>
        <v/>
      </c>
      <c r="F3559" s="93">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$N3559*IF($O$3532=1,$O3559/$F$3532,1)</f>
        <v/>
      </c>
      <c r="T3559" s="95">
        <f>IF($G3559&lt;nr_MStartP,$S3559,$T3547*(1+IF($G3559&lt;nr_MStartP1,$M$3532,$N$3532)))</f>
        <v/>
      </c>
      <c r="U3559" s="95">
        <f>IF($L$3532,$T3559,$N3559)</f>
        <v/>
      </c>
    </row>
    <row r="3560">
      <c r="A3560" s="90" t="n">
        <v>26</v>
      </c>
      <c r="B3560" s="91">
        <f>EDATE($B3559,1)</f>
        <v/>
      </c>
      <c r="C3560" s="92">
        <f>EOMONTH($B3560,0)</f>
        <v/>
      </c>
      <c r="D3560" s="87">
        <f>$C3560-$B3560+1</f>
        <v/>
      </c>
      <c r="E3560" s="87">
        <f>MONTH($B3560)</f>
        <v/>
      </c>
      <c r="F3560" s="93">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$N3560*IF($O$3532=1,$O3560/$F$3532,1)</f>
        <v/>
      </c>
      <c r="T3560" s="95">
        <f>IF($G3560&lt;nr_MStartP,$S3560,$T3548*(1+IF($G3560&lt;nr_MStartP1,$M$3532,$N$3532)))</f>
        <v/>
      </c>
      <c r="U3560" s="95">
        <f>IF($L$3532,$T3560,$N3560)</f>
        <v/>
      </c>
    </row>
    <row r="3561">
      <c r="A3561" s="90" t="n">
        <v>27</v>
      </c>
      <c r="B3561" s="91">
        <f>EDATE($B3560,1)</f>
        <v/>
      </c>
      <c r="C3561" s="92">
        <f>EOMONTH($B3561,0)</f>
        <v/>
      </c>
      <c r="D3561" s="87">
        <f>$C3561-$B3561+1</f>
        <v/>
      </c>
      <c r="E3561" s="87">
        <f>MONTH($B3561)</f>
        <v/>
      </c>
      <c r="F3561" s="93">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$N3561*IF($O$3532=1,$O3561/$F$3532,1)</f>
        <v/>
      </c>
      <c r="T3561" s="95">
        <f>IF($G3561&lt;nr_MStartP,$S3561,$T3549*(1+IF($G3561&lt;nr_MStartP1,$M$3532,$N$3532)))</f>
        <v/>
      </c>
      <c r="U3561" s="95">
        <f>IF($L$3532,$T3561,$N3561)</f>
        <v/>
      </c>
    </row>
    <row r="3562">
      <c r="A3562" s="90" t="n">
        <v>28</v>
      </c>
      <c r="B3562" s="91">
        <f>EDATE($B3561,1)</f>
        <v/>
      </c>
      <c r="C3562" s="92">
        <f>EOMONTH($B3562,0)</f>
        <v/>
      </c>
      <c r="D3562" s="87">
        <f>$C3562-$B3562+1</f>
        <v/>
      </c>
      <c r="E3562" s="87">
        <f>MONTH($B3562)</f>
        <v/>
      </c>
      <c r="F3562" s="93">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$N3562*IF($O$3532=1,$O3562/$F$3532,1)</f>
        <v/>
      </c>
      <c r="T3562" s="95">
        <f>IF($G3562&lt;nr_MStartP,$S3562,$T3550*(1+IF($G3562&lt;nr_MStartP1,$M$3532,$N$3532)))</f>
        <v/>
      </c>
      <c r="U3562" s="95">
        <f>IF($L$3532,$T3562,$N3562)</f>
        <v/>
      </c>
    </row>
    <row r="3563">
      <c r="A3563" s="90" t="n">
        <v>29</v>
      </c>
      <c r="B3563" s="91">
        <f>EDATE($B3562,1)</f>
        <v/>
      </c>
      <c r="C3563" s="92">
        <f>EOMONTH($B3563,0)</f>
        <v/>
      </c>
      <c r="D3563" s="87">
        <f>$C3563-$B3563+1</f>
        <v/>
      </c>
      <c r="E3563" s="87">
        <f>MONTH($B3563)</f>
        <v/>
      </c>
      <c r="F3563" s="93">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$N3563*IF($O$3532=1,$O3563/$F$3532,1)</f>
        <v/>
      </c>
      <c r="T3563" s="95">
        <f>IF($G3563&lt;nr_MStartP,$S3563,$T3551*(1+IF($G3563&lt;nr_MStartP1,$M$3532,$N$3532)))</f>
        <v/>
      </c>
      <c r="U3563" s="95">
        <f>IF($L$3532,$T3563,$N3563)</f>
        <v/>
      </c>
    </row>
    <row r="3564">
      <c r="A3564" s="90" t="n">
        <v>30</v>
      </c>
      <c r="B3564" s="91">
        <f>EDATE($B3563,1)</f>
        <v/>
      </c>
      <c r="C3564" s="92">
        <f>EOMONTH($B3564,0)</f>
        <v/>
      </c>
      <c r="D3564" s="87">
        <f>$C3564-$B3564+1</f>
        <v/>
      </c>
      <c r="E3564" s="87">
        <f>MONTH($B3564)</f>
        <v/>
      </c>
      <c r="F3564" s="93">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$N3564*IF($O$3532=1,$O3564/$F$3532,1)</f>
        <v/>
      </c>
      <c r="T3564" s="95">
        <f>IF($G3564&lt;nr_MStartP,$S3564,$T3552*(1+IF($G3564&lt;nr_MStartP1,$M$3532,$N$3532)))</f>
        <v/>
      </c>
      <c r="U3564" s="95">
        <f>IF($L$3532,$T3564,$N3564)</f>
        <v/>
      </c>
    </row>
    <row r="3565">
      <c r="A3565" s="90" t="n">
        <v>31</v>
      </c>
      <c r="B3565" s="91">
        <f>EDATE($B3564,1)</f>
        <v/>
      </c>
      <c r="C3565" s="92">
        <f>EOMONTH($B3565,0)</f>
        <v/>
      </c>
      <c r="D3565" s="87">
        <f>$C3565-$B3565+1</f>
        <v/>
      </c>
      <c r="E3565" s="87">
        <f>MONTH($B3565)</f>
        <v/>
      </c>
      <c r="F3565" s="93">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$N3565*IF($O$3532=1,$O3565/$F$3532,1)</f>
        <v/>
      </c>
      <c r="T3565" s="95">
        <f>IF($G3565&lt;nr_MStartP,$S3565,$T3553*(1+IF($G3565&lt;nr_MStartP1,$M$3532,$N$3532)))</f>
        <v/>
      </c>
      <c r="U3565" s="95">
        <f>IF($L$3532,$T3565,$N3565)</f>
        <v/>
      </c>
    </row>
    <row r="3566">
      <c r="A3566" s="90" t="n">
        <v>32</v>
      </c>
      <c r="B3566" s="91">
        <f>EDATE($B3565,1)</f>
        <v/>
      </c>
      <c r="C3566" s="92">
        <f>EOMONTH($B3566,0)</f>
        <v/>
      </c>
      <c r="D3566" s="87">
        <f>$C3566-$B3566+1</f>
        <v/>
      </c>
      <c r="E3566" s="87">
        <f>MONTH($B3566)</f>
        <v/>
      </c>
      <c r="F3566" s="93">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$N3566*IF($O$3532=1,$O3566/$F$3532,1)</f>
        <v/>
      </c>
      <c r="T3566" s="95">
        <f>IF($G3566&lt;nr_MStartP,$S3566,$T3554*(1+IF($G3566&lt;nr_MStartP1,$M$3532,$N$3532)))</f>
        <v/>
      </c>
      <c r="U3566" s="95">
        <f>IF($L$3532,$T3566,$N3566)</f>
        <v/>
      </c>
    </row>
    <row r="3567">
      <c r="A3567" s="90" t="n">
        <v>33</v>
      </c>
      <c r="B3567" s="91">
        <f>EDATE($B3566,1)</f>
        <v/>
      </c>
      <c r="C3567" s="92">
        <f>EOMONTH($B3567,0)</f>
        <v/>
      </c>
      <c r="D3567" s="87">
        <f>$C3567-$B3567+1</f>
        <v/>
      </c>
      <c r="E3567" s="87">
        <f>MONTH($B3567)</f>
        <v/>
      </c>
      <c r="F3567" s="93">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$N3567*IF($O$3532=1,$O3567/$F$3532,1)</f>
        <v/>
      </c>
      <c r="T3567" s="95">
        <f>IF($G3567&lt;nr_MStartP,$S3567,$T3555*(1+IF($G3567&lt;nr_MStartP1,$M$3532,$N$3532)))</f>
        <v/>
      </c>
      <c r="U3567" s="95">
        <f>IF($L$3532,$T3567,$N3567)</f>
        <v/>
      </c>
    </row>
    <row r="3568">
      <c r="A3568" s="90" t="n">
        <v>34</v>
      </c>
      <c r="B3568" s="91">
        <f>EDATE($B3567,1)</f>
        <v/>
      </c>
      <c r="C3568" s="92">
        <f>EOMONTH($B3568,0)</f>
        <v/>
      </c>
      <c r="D3568" s="87">
        <f>$C3568-$B3568+1</f>
        <v/>
      </c>
      <c r="E3568" s="87">
        <f>MONTH($B3568)</f>
        <v/>
      </c>
      <c r="F3568" s="93">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$N3568*IF($O$3532=1,$O3568/$F$3532,1)</f>
        <v/>
      </c>
      <c r="T3568" s="95">
        <f>IF($G3568&lt;nr_MStartP,$S3568,$T3556*(1+IF($G3568&lt;nr_MStartP1,$M$3532,$N$3532)))</f>
        <v/>
      </c>
      <c r="U3568" s="95">
        <f>IF($L$3532,$T3568,$N3568)</f>
        <v/>
      </c>
    </row>
    <row r="3569">
      <c r="A3569" s="90" t="n">
        <v>35</v>
      </c>
      <c r="B3569" s="91">
        <f>EDATE($B3568,1)</f>
        <v/>
      </c>
      <c r="C3569" s="92">
        <f>EOMONTH($B3569,0)</f>
        <v/>
      </c>
      <c r="D3569" s="87">
        <f>$C3569-$B3569+1</f>
        <v/>
      </c>
      <c r="E3569" s="87">
        <f>MONTH($B3569)</f>
        <v/>
      </c>
      <c r="F3569" s="93">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$N3569*IF($O$3532=1,$O3569/$F$3532,1)</f>
        <v/>
      </c>
      <c r="T3569" s="95">
        <f>IF($G3569&lt;nr_MStartP,$S3569,$T3557*(1+IF($G3569&lt;nr_MStartP1,$M$3532,$N$3532)))</f>
        <v/>
      </c>
      <c r="U3569" s="95">
        <f>IF($L$3532,$T3569,$N3569)</f>
        <v/>
      </c>
    </row>
    <row r="3570">
      <c r="A3570" s="90" t="n">
        <v>36</v>
      </c>
      <c r="B3570" s="91">
        <f>EDATE($B3569,1)</f>
        <v/>
      </c>
      <c r="C3570" s="92">
        <f>EOMONTH($B3570,0)</f>
        <v/>
      </c>
      <c r="D3570" s="87">
        <f>$C3570-$B3570+1</f>
        <v/>
      </c>
      <c r="E3570" s="87">
        <f>MONTH($B3570)</f>
        <v/>
      </c>
      <c r="F3570" s="93">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$N3570*IF($O$3532=1,$O3570/$F$3532,1)</f>
        <v/>
      </c>
      <c r="T3570" s="95">
        <f>IF($G3570&lt;nr_MStartP,$S3570,$T3558*(1+IF($G3570&lt;nr_MStartP1,$M$3532,$N$3532)))</f>
        <v/>
      </c>
      <c r="U3570" s="95">
        <f>IF($L$3532,$T3570,$N3570)</f>
        <v/>
      </c>
    </row>
    <row r="3571">
      <c r="A3571" s="90" t="n">
        <v>37</v>
      </c>
      <c r="B3571" s="91">
        <f>EDATE($B3570,1)</f>
        <v/>
      </c>
      <c r="C3571" s="92">
        <f>EOMONTH($B3571,0)</f>
        <v/>
      </c>
      <c r="D3571" s="87">
        <f>$C3571-$B3571+1</f>
        <v/>
      </c>
      <c r="E3571" s="87">
        <f>MONTH($B3571)</f>
        <v/>
      </c>
      <c r="F3571" s="93">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$N3571*IF($O$3532=1,$O3571/$F$3532,1)</f>
        <v/>
      </c>
      <c r="T3571" s="95">
        <f>IF($G3571&lt;nr_MStartP,$S3571,$T3559*(1+IF($G3571&lt;nr_MStartP1,$M$3532,$N$3532)))</f>
        <v/>
      </c>
      <c r="U3571" s="95">
        <f>IF($L$3532,$T3571,$N3571)</f>
        <v/>
      </c>
    </row>
    <row r="3572">
      <c r="A3572" s="90" t="n">
        <v>38</v>
      </c>
      <c r="B3572" s="91">
        <f>EDATE($B3571,1)</f>
        <v/>
      </c>
      <c r="C3572" s="92">
        <f>EOMONTH($B3572,0)</f>
        <v/>
      </c>
      <c r="D3572" s="87">
        <f>$C3572-$B3572+1</f>
        <v/>
      </c>
      <c r="E3572" s="87">
        <f>MONTH($B3572)</f>
        <v/>
      </c>
      <c r="F3572" s="93">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$N3572*IF($O$3532=1,$O3572/$F$3532,1)</f>
        <v/>
      </c>
      <c r="T3572" s="95">
        <f>IF($G3572&lt;nr_MStartP,$S3572,$T3560*(1+IF($G3572&lt;nr_MStartP1,$M$3532,$N$3532)))</f>
        <v/>
      </c>
      <c r="U3572" s="95">
        <f>IF($L$3532,$T3572,$N3572)</f>
        <v/>
      </c>
    </row>
    <row r="3573">
      <c r="A3573" s="90" t="n">
        <v>39</v>
      </c>
      <c r="B3573" s="91">
        <f>EDATE($B3572,1)</f>
        <v/>
      </c>
      <c r="C3573" s="92">
        <f>EOMONTH($B3573,0)</f>
        <v/>
      </c>
      <c r="D3573" s="87">
        <f>$C3573-$B3573+1</f>
        <v/>
      </c>
      <c r="E3573" s="87">
        <f>MONTH($B3573)</f>
        <v/>
      </c>
      <c r="F3573" s="93">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$N3573*IF($O$3532=1,$O3573/$F$3532,1)</f>
        <v/>
      </c>
      <c r="T3573" s="95">
        <f>IF($G3573&lt;nr_MStartP,$S3573,$T3561*(1+IF($G3573&lt;nr_MStartP1,$M$3532,$N$3532)))</f>
        <v/>
      </c>
      <c r="U3573" s="95">
        <f>IF($L$3532,$T3573,$N3573)</f>
        <v/>
      </c>
    </row>
    <row r="3574">
      <c r="A3574" s="90" t="n">
        <v>40</v>
      </c>
      <c r="B3574" s="91">
        <f>EDATE($B3573,1)</f>
        <v/>
      </c>
      <c r="C3574" s="92">
        <f>EOMONTH($B3574,0)</f>
        <v/>
      </c>
      <c r="D3574" s="87">
        <f>$C3574-$B3574+1</f>
        <v/>
      </c>
      <c r="E3574" s="87">
        <f>MONTH($B3574)</f>
        <v/>
      </c>
      <c r="F3574" s="93">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$N3574*IF($O$3532=1,$O3574/$F$3532,1)</f>
        <v/>
      </c>
      <c r="T3574" s="95">
        <f>IF($G3574&lt;nr_MStartP,$S3574,$T3562*(1+IF($G3574&lt;nr_MStartP1,$M$3532,$N$3532)))</f>
        <v/>
      </c>
      <c r="U3574" s="95">
        <f>IF($L$3532,$T3574,$N3574)</f>
        <v/>
      </c>
    </row>
    <row r="3575">
      <c r="A3575" s="90" t="n">
        <v>41</v>
      </c>
      <c r="B3575" s="91">
        <f>EDATE($B3574,1)</f>
        <v/>
      </c>
      <c r="C3575" s="92">
        <f>EOMONTH($B3575,0)</f>
        <v/>
      </c>
      <c r="D3575" s="87">
        <f>$C3575-$B3575+1</f>
        <v/>
      </c>
      <c r="E3575" s="87">
        <f>MONTH($B3575)</f>
        <v/>
      </c>
      <c r="F3575" s="93">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$N3575*IF($O$3532=1,$O3575/$F$3532,1)</f>
        <v/>
      </c>
      <c r="T3575" s="95">
        <f>IF($G3575&lt;nr_MStartP,$S3575,$T3563*(1+IF($G3575&lt;nr_MStartP1,$M$3532,$N$3532)))</f>
        <v/>
      </c>
      <c r="U3575" s="95">
        <f>IF($L$3532,$T3575,$N3575)</f>
        <v/>
      </c>
    </row>
    <row r="3576">
      <c r="A3576" s="90" t="n">
        <v>42</v>
      </c>
      <c r="B3576" s="91">
        <f>EDATE($B3575,1)</f>
        <v/>
      </c>
      <c r="C3576" s="92">
        <f>EOMONTH($B3576,0)</f>
        <v/>
      </c>
      <c r="D3576" s="87">
        <f>$C3576-$B3576+1</f>
        <v/>
      </c>
      <c r="E3576" s="87">
        <f>MONTH($B3576)</f>
        <v/>
      </c>
      <c r="F3576" s="93">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$N3576*IF($O$3532=1,$O3576/$F$3532,1)</f>
        <v/>
      </c>
      <c r="T3576" s="95">
        <f>IF($G3576&lt;nr_MStartP,$S3576,$T3564*(1+IF($G3576&lt;nr_MStartP1,$M$3532,$N$3532)))</f>
        <v/>
      </c>
      <c r="U3576" s="95">
        <f>IF($L$3532,$T3576,$N3576)</f>
        <v/>
      </c>
    </row>
    <row r="3577">
      <c r="A3577" s="90" t="n">
        <v>43</v>
      </c>
      <c r="B3577" s="91">
        <f>EDATE($B3576,1)</f>
        <v/>
      </c>
      <c r="C3577" s="92">
        <f>EOMONTH($B3577,0)</f>
        <v/>
      </c>
      <c r="D3577" s="87">
        <f>$C3577-$B3577+1</f>
        <v/>
      </c>
      <c r="E3577" s="87">
        <f>MONTH($B3577)</f>
        <v/>
      </c>
      <c r="F3577" s="93">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$N3577*IF($O$3532=1,$O3577/$F$3532,1)</f>
        <v/>
      </c>
      <c r="T3577" s="95">
        <f>IF($G3577&lt;nr_MStartP,$S3577,$T3565*(1+IF($G3577&lt;nr_MStartP1,$M$3532,$N$3532)))</f>
        <v/>
      </c>
      <c r="U3577" s="95">
        <f>IF($L$3532,$T3577,$N3577)</f>
        <v/>
      </c>
    </row>
    <row r="3578">
      <c r="A3578" s="90" t="n">
        <v>44</v>
      </c>
      <c r="B3578" s="91">
        <f>EDATE($B3577,1)</f>
        <v/>
      </c>
      <c r="C3578" s="92">
        <f>EOMONTH($B3578,0)</f>
        <v/>
      </c>
      <c r="D3578" s="87">
        <f>$C3578-$B3578+1</f>
        <v/>
      </c>
      <c r="E3578" s="87">
        <f>MONTH($B3578)</f>
        <v/>
      </c>
      <c r="F3578" s="93">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$N3578*IF($O$3532=1,$O3578/$F$3532,1)</f>
        <v/>
      </c>
      <c r="T3578" s="95">
        <f>IF($G3578&lt;nr_MStartP,$S3578,$T3566*(1+IF($G3578&lt;nr_MStartP1,$M$3532,$N$3532)))</f>
        <v/>
      </c>
      <c r="U3578" s="95">
        <f>IF($L$3532,$T3578,$N3578)</f>
        <v/>
      </c>
    </row>
    <row r="3579">
      <c r="A3579" s="90" t="n">
        <v>45</v>
      </c>
      <c r="B3579" s="91">
        <f>EDATE($B3578,1)</f>
        <v/>
      </c>
      <c r="C3579" s="92">
        <f>EOMONTH($B3579,0)</f>
        <v/>
      </c>
      <c r="D3579" s="87">
        <f>$C3579-$B3579+1</f>
        <v/>
      </c>
      <c r="E3579" s="87">
        <f>MONTH($B3579)</f>
        <v/>
      </c>
      <c r="F3579" s="93">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$N3579*IF($O$3532=1,$O3579/$F$3532,1)</f>
        <v/>
      </c>
      <c r="T3579" s="95">
        <f>IF($G3579&lt;nr_MStartP,$S3579,$T3567*(1+IF($G3579&lt;nr_MStartP1,$M$3532,$N$3532)))</f>
        <v/>
      </c>
      <c r="U3579" s="95">
        <f>IF($L$3532,$T3579,$N3579)</f>
        <v/>
      </c>
    </row>
    <row r="3580">
      <c r="A3580" s="90" t="n">
        <v>46</v>
      </c>
      <c r="B3580" s="91">
        <f>EDATE($B3579,1)</f>
        <v/>
      </c>
      <c r="C3580" s="92">
        <f>EOMONTH($B3580,0)</f>
        <v/>
      </c>
      <c r="D3580" s="87">
        <f>$C3580-$B3580+1</f>
        <v/>
      </c>
      <c r="E3580" s="87">
        <f>MONTH($B3580)</f>
        <v/>
      </c>
      <c r="F3580" s="93">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$N3580*IF($O$3532=1,$O3580/$F$3532,1)</f>
        <v/>
      </c>
      <c r="T3580" s="95">
        <f>IF($G3580&lt;nr_MStartP,$S3580,$T3568*(1+IF($G3580&lt;nr_MStartP1,$M$3532,$N$3532)))</f>
        <v/>
      </c>
      <c r="U3580" s="95">
        <f>IF($L$3532,$T3580,$N3580)</f>
        <v/>
      </c>
    </row>
    <row r="3581">
      <c r="A3581" s="90" t="n">
        <v>47</v>
      </c>
      <c r="B3581" s="91">
        <f>EDATE($B3580,1)</f>
        <v/>
      </c>
      <c r="C3581" s="92">
        <f>EOMONTH($B3581,0)</f>
        <v/>
      </c>
      <c r="D3581" s="87">
        <f>$C3581-$B3581+1</f>
        <v/>
      </c>
      <c r="E3581" s="87">
        <f>MONTH($B3581)</f>
        <v/>
      </c>
      <c r="F3581" s="93">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$N3581*IF($O$3532=1,$O3581/$F$3532,1)</f>
        <v/>
      </c>
      <c r="T3581" s="95">
        <f>IF($G3581&lt;nr_MStartP,$S3581,$T3569*(1+IF($G3581&lt;nr_MStartP1,$M$3532,$N$3532)))</f>
        <v/>
      </c>
      <c r="U3581" s="95">
        <f>IF($L$3532,$T3581,$N3581)</f>
        <v/>
      </c>
    </row>
    <row r="3582">
      <c r="A3582" s="90" t="n">
        <v>48</v>
      </c>
      <c r="B3582" s="91">
        <f>EDATE($B3581,1)</f>
        <v/>
      </c>
      <c r="C3582" s="92">
        <f>EOMONTH($B3582,0)</f>
        <v/>
      </c>
      <c r="D3582" s="87">
        <f>$C3582-$B3582+1</f>
        <v/>
      </c>
      <c r="E3582" s="87">
        <f>MONTH($B3582)</f>
        <v/>
      </c>
      <c r="F3582" s="93">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$N3582*IF($O$3532=1,$O3582/$F$3532,1)</f>
        <v/>
      </c>
      <c r="T3582" s="95">
        <f>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04">
        <f>SUMPRODUCT($H$3535:$H$3582,$Q$3535:$Q$3582,$O$3535:$O$3582)/SUMPRODUCT($H$3535:$H$3582,$Q$3535:$Q$3582)</f>
        <v/>
      </c>
      <c r="G3583" s="20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04">
        <f>IF(N(INDEX(lr_mind,66))=0,1,INDEX(lr_mind,66))</f>
        <v/>
      </c>
      <c r="G3586" s="204">
        <f>IF(N(INDEX(lr_m0,66))=0,1,INDEX(lr_m0,66))</f>
        <v/>
      </c>
      <c r="H3586" s="73">
        <f>IF(N(INDEX(lr_m0asof,66))=0,DATE(nr_PlanYear-1,10,1),INDEX(lr_m0asof,66))</f>
        <v/>
      </c>
      <c r="I3586" s="204">
        <f>IF(N(INDEX(lr_m1,66))=0,1,INDEX(lr_m1,66))</f>
        <v/>
      </c>
      <c r="J3586" s="204">
        <f>INDEX(lr_mprior,66)</f>
        <v/>
      </c>
      <c r="K3586" s="20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93">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$N3589*IF($O$3586=1,$O3589/$F$3586,1)</f>
        <v/>
      </c>
      <c r="T3589" s="95">
        <f>IF($G3589&lt;nr_MStartP,$S3589,$T3577*(1+IF($G3589&lt;nr_MStartP1,$M$3586,$N$3586)))</f>
        <v/>
      </c>
      <c r="U3589" s="95">
        <f>IF($L$3586,$T3589,$N3589)</f>
        <v/>
      </c>
    </row>
    <row r="3590">
      <c r="A3590" s="90" t="n">
        <v>2</v>
      </c>
      <c r="B3590" s="91">
        <f>EDATE($B3589,1)</f>
        <v/>
      </c>
      <c r="C3590" s="92">
        <f>EOMONTH($B3590,0)</f>
        <v/>
      </c>
      <c r="D3590" s="87">
        <f>$C3590-$B3590+1</f>
        <v/>
      </c>
      <c r="E3590" s="87">
        <f>MONTH($B3590)</f>
        <v/>
      </c>
      <c r="F3590" s="93">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$N3590*IF($O$3586=1,$O3590/$F$3586,1)</f>
        <v/>
      </c>
      <c r="T3590" s="95">
        <f>IF($G3590&lt;nr_MStartP,$S3590,$T3578*(1+IF($G3590&lt;nr_MStartP1,$M$3586,$N$3586)))</f>
        <v/>
      </c>
      <c r="U3590" s="95">
        <f>IF($L$3586,$T3590,$N3590)</f>
        <v/>
      </c>
    </row>
    <row r="3591">
      <c r="A3591" s="90" t="n">
        <v>3</v>
      </c>
      <c r="B3591" s="91">
        <f>EDATE($B3590,1)</f>
        <v/>
      </c>
      <c r="C3591" s="92">
        <f>EOMONTH($B3591,0)</f>
        <v/>
      </c>
      <c r="D3591" s="87">
        <f>$C3591-$B3591+1</f>
        <v/>
      </c>
      <c r="E3591" s="87">
        <f>MONTH($B3591)</f>
        <v/>
      </c>
      <c r="F3591" s="93">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$N3591*IF($O$3586=1,$O3591/$F$3586,1)</f>
        <v/>
      </c>
      <c r="T3591" s="95">
        <f>IF($G3591&lt;nr_MStartP,$S3591,$T3579*(1+IF($G3591&lt;nr_MStartP1,$M$3586,$N$3586)))</f>
        <v/>
      </c>
      <c r="U3591" s="95">
        <f>IF($L$3586,$T3591,$N3591)</f>
        <v/>
      </c>
    </row>
    <row r="3592">
      <c r="A3592" s="90" t="n">
        <v>4</v>
      </c>
      <c r="B3592" s="91">
        <f>EDATE($B3591,1)</f>
        <v/>
      </c>
      <c r="C3592" s="92">
        <f>EOMONTH($B3592,0)</f>
        <v/>
      </c>
      <c r="D3592" s="87">
        <f>$C3592-$B3592+1</f>
        <v/>
      </c>
      <c r="E3592" s="87">
        <f>MONTH($B3592)</f>
        <v/>
      </c>
      <c r="F3592" s="93">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$N3592*IF($O$3586=1,$O3592/$F$3586,1)</f>
        <v/>
      </c>
      <c r="T3592" s="95">
        <f>IF($G3592&lt;nr_MStartP,$S3592,$T3580*(1+IF($G3592&lt;nr_MStartP1,$M$3586,$N$3586)))</f>
        <v/>
      </c>
      <c r="U3592" s="95">
        <f>IF($L$3586,$T3592,$N3592)</f>
        <v/>
      </c>
    </row>
    <row r="3593">
      <c r="A3593" s="90" t="n">
        <v>5</v>
      </c>
      <c r="B3593" s="91">
        <f>EDATE($B3592,1)</f>
        <v/>
      </c>
      <c r="C3593" s="92">
        <f>EOMONTH($B3593,0)</f>
        <v/>
      </c>
      <c r="D3593" s="87">
        <f>$C3593-$B3593+1</f>
        <v/>
      </c>
      <c r="E3593" s="87">
        <f>MONTH($B3593)</f>
        <v/>
      </c>
      <c r="F3593" s="93">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$N3593*IF($O$3586=1,$O3593/$F$3586,1)</f>
        <v/>
      </c>
      <c r="T3593" s="95">
        <f>IF($G3593&lt;nr_MStartP,$S3593,$T3581*(1+IF($G3593&lt;nr_MStartP1,$M$3586,$N$3586)))</f>
        <v/>
      </c>
      <c r="U3593" s="95">
        <f>IF($L$3586,$T3593,$N3593)</f>
        <v/>
      </c>
    </row>
    <row r="3594">
      <c r="A3594" s="90" t="n">
        <v>6</v>
      </c>
      <c r="B3594" s="91">
        <f>EDATE($B3593,1)</f>
        <v/>
      </c>
      <c r="C3594" s="92">
        <f>EOMONTH($B3594,0)</f>
        <v/>
      </c>
      <c r="D3594" s="87">
        <f>$C3594-$B3594+1</f>
        <v/>
      </c>
      <c r="E3594" s="87">
        <f>MONTH($B3594)</f>
        <v/>
      </c>
      <c r="F3594" s="93">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$N3594*IF($O$3586=1,$O3594/$F$3586,1)</f>
        <v/>
      </c>
      <c r="T3594" s="95">
        <f>IF($G3594&lt;nr_MStartP,$S3594,$T3582*(1+IF($G3594&lt;nr_MStartP1,$M$3586,$N$3586)))</f>
        <v/>
      </c>
      <c r="U3594" s="95">
        <f>IF($L$3586,$T3594,$N3594)</f>
        <v/>
      </c>
    </row>
    <row r="3595">
      <c r="A3595" s="90" t="n">
        <v>7</v>
      </c>
      <c r="B3595" s="91">
        <f>EDATE($B3594,1)</f>
        <v/>
      </c>
      <c r="C3595" s="92">
        <f>EOMONTH($B3595,0)</f>
        <v/>
      </c>
      <c r="D3595" s="87">
        <f>$C3595-$B3595+1</f>
        <v/>
      </c>
      <c r="E3595" s="87">
        <f>MONTH($B3595)</f>
        <v/>
      </c>
      <c r="F3595" s="93">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$N3595*IF($O$3586=1,$O3595/$F$3586,1)</f>
        <v/>
      </c>
      <c r="T3595" s="95">
        <f>IF($G3595&lt;nr_MStartP,$S3595,$T3583*(1+IF($G3595&lt;nr_MStartP1,$M$3586,$N$3586)))</f>
        <v/>
      </c>
      <c r="U3595" s="95">
        <f>IF($L$3586,$T3595,$N3595)</f>
        <v/>
      </c>
    </row>
    <row r="3596">
      <c r="A3596" s="90" t="n">
        <v>8</v>
      </c>
      <c r="B3596" s="91">
        <f>EDATE($B3595,1)</f>
        <v/>
      </c>
      <c r="C3596" s="92">
        <f>EOMONTH($B3596,0)</f>
        <v/>
      </c>
      <c r="D3596" s="87">
        <f>$C3596-$B3596+1</f>
        <v/>
      </c>
      <c r="E3596" s="87">
        <f>MONTH($B3596)</f>
        <v/>
      </c>
      <c r="F3596" s="93">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$N3596*IF($O$3586=1,$O3596/$F$3586,1)</f>
        <v/>
      </c>
      <c r="T3596" s="95">
        <f>IF($G3596&lt;nr_MStartP,$S3596,$T3584*(1+IF($G3596&lt;nr_MStartP1,$M$3586,$N$3586)))</f>
        <v/>
      </c>
      <c r="U3596" s="95">
        <f>IF($L$3586,$T3596,$N3596)</f>
        <v/>
      </c>
    </row>
    <row r="3597">
      <c r="A3597" s="90" t="n">
        <v>9</v>
      </c>
      <c r="B3597" s="91">
        <f>EDATE($B3596,1)</f>
        <v/>
      </c>
      <c r="C3597" s="92">
        <f>EOMONTH($B3597,0)</f>
        <v/>
      </c>
      <c r="D3597" s="87">
        <f>$C3597-$B3597+1</f>
        <v/>
      </c>
      <c r="E3597" s="87">
        <f>MONTH($B3597)</f>
        <v/>
      </c>
      <c r="F3597" s="93">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$N3597*IF($O$3586=1,$O3597/$F$3586,1)</f>
        <v/>
      </c>
      <c r="T3597" s="95">
        <f>IF($G3597&lt;nr_MStartP,$S3597,$T3585*(1+IF($G3597&lt;nr_MStartP1,$M$3586,$N$3586)))</f>
        <v/>
      </c>
      <c r="U3597" s="95">
        <f>IF($L$3586,$T3597,$N3597)</f>
        <v/>
      </c>
    </row>
    <row r="3598">
      <c r="A3598" s="90" t="n">
        <v>10</v>
      </c>
      <c r="B3598" s="91">
        <f>EDATE($B3597,1)</f>
        <v/>
      </c>
      <c r="C3598" s="92">
        <f>EOMONTH($B3598,0)</f>
        <v/>
      </c>
      <c r="D3598" s="87">
        <f>$C3598-$B3598+1</f>
        <v/>
      </c>
      <c r="E3598" s="87">
        <f>MONTH($B3598)</f>
        <v/>
      </c>
      <c r="F3598" s="93">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$N3598*IF($O$3586=1,$O3598/$F$3586,1)</f>
        <v/>
      </c>
      <c r="T3598" s="95">
        <f>IF($G3598&lt;nr_MStartP,$S3598,$T3586*(1+IF($G3598&lt;nr_MStartP1,$M$3586,$N$3586)))</f>
        <v/>
      </c>
      <c r="U3598" s="95">
        <f>IF($L$3586,$T3598,$N3598)</f>
        <v/>
      </c>
    </row>
    <row r="3599">
      <c r="A3599" s="90" t="n">
        <v>11</v>
      </c>
      <c r="B3599" s="91">
        <f>EDATE($B3598,1)</f>
        <v/>
      </c>
      <c r="C3599" s="92">
        <f>EOMONTH($B3599,0)</f>
        <v/>
      </c>
      <c r="D3599" s="87">
        <f>$C3599-$B3599+1</f>
        <v/>
      </c>
      <c r="E3599" s="87">
        <f>MONTH($B3599)</f>
        <v/>
      </c>
      <c r="F3599" s="93">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$N3599*IF($O$3586=1,$O3599/$F$3586,1)</f>
        <v/>
      </c>
      <c r="T3599" s="95">
        <f>IF($G3599&lt;nr_MStartP,$S3599,$T3587*(1+IF($G3599&lt;nr_MStartP1,$M$3586,$N$3586)))</f>
        <v/>
      </c>
      <c r="U3599" s="95">
        <f>IF($L$3586,$T3599,$N3599)</f>
        <v/>
      </c>
    </row>
    <row r="3600">
      <c r="A3600" s="90" t="n">
        <v>12</v>
      </c>
      <c r="B3600" s="91">
        <f>EDATE($B3599,1)</f>
        <v/>
      </c>
      <c r="C3600" s="92">
        <f>EOMONTH($B3600,0)</f>
        <v/>
      </c>
      <c r="D3600" s="87">
        <f>$C3600-$B3600+1</f>
        <v/>
      </c>
      <c r="E3600" s="87">
        <f>MONTH($B3600)</f>
        <v/>
      </c>
      <c r="F3600" s="93">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$N3600*IF($O$3586=1,$O3600/$F$3586,1)</f>
        <v/>
      </c>
      <c r="T3600" s="95">
        <f>IF($G3600&lt;nr_MStartP,$S3600,$T3588*(1+IF($G3600&lt;nr_MStartP1,$M$3586,$N$3586)))</f>
        <v/>
      </c>
      <c r="U3600" s="95">
        <f>IF($L$3586,$T3600,$N3600)</f>
        <v/>
      </c>
    </row>
    <row r="3601">
      <c r="A3601" s="90" t="n">
        <v>13</v>
      </c>
      <c r="B3601" s="91">
        <f>EDATE($B3600,1)</f>
        <v/>
      </c>
      <c r="C3601" s="92">
        <f>EOMONTH($B3601,0)</f>
        <v/>
      </c>
      <c r="D3601" s="87">
        <f>$C3601-$B3601+1</f>
        <v/>
      </c>
      <c r="E3601" s="87">
        <f>MONTH($B3601)</f>
        <v/>
      </c>
      <c r="F3601" s="93">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$N3601*IF($O$3586=1,$O3601/$F$3586,1)</f>
        <v/>
      </c>
      <c r="T3601" s="95">
        <f>IF($G3601&lt;nr_MStartP,$S3601,$T3589*(1+IF($G3601&lt;nr_MStartP1,$M$3586,$N$3586)))</f>
        <v/>
      </c>
      <c r="U3601" s="95">
        <f>IF($L$3586,$T3601,$N3601)</f>
        <v/>
      </c>
    </row>
    <row r="3602">
      <c r="A3602" s="90" t="n">
        <v>14</v>
      </c>
      <c r="B3602" s="91">
        <f>EDATE($B3601,1)</f>
        <v/>
      </c>
      <c r="C3602" s="92">
        <f>EOMONTH($B3602,0)</f>
        <v/>
      </c>
      <c r="D3602" s="87">
        <f>$C3602-$B3602+1</f>
        <v/>
      </c>
      <c r="E3602" s="87">
        <f>MONTH($B3602)</f>
        <v/>
      </c>
      <c r="F3602" s="93">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$N3602*IF($O$3586=1,$O3602/$F$3586,1)</f>
        <v/>
      </c>
      <c r="T3602" s="95">
        <f>IF($G3602&lt;nr_MStartP,$S3602,$T3590*(1+IF($G3602&lt;nr_MStartP1,$M$3586,$N$3586)))</f>
        <v/>
      </c>
      <c r="U3602" s="95">
        <f>IF($L$3586,$T3602,$N3602)</f>
        <v/>
      </c>
    </row>
    <row r="3603">
      <c r="A3603" s="90" t="n">
        <v>15</v>
      </c>
      <c r="B3603" s="91">
        <f>EDATE($B3602,1)</f>
        <v/>
      </c>
      <c r="C3603" s="92">
        <f>EOMONTH($B3603,0)</f>
        <v/>
      </c>
      <c r="D3603" s="87">
        <f>$C3603-$B3603+1</f>
        <v/>
      </c>
      <c r="E3603" s="87">
        <f>MONTH($B3603)</f>
        <v/>
      </c>
      <c r="F3603" s="93">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$N3603*IF($O$3586=1,$O3603/$F$3586,1)</f>
        <v/>
      </c>
      <c r="T3603" s="95">
        <f>IF($G3603&lt;nr_MStartP,$S3603,$T3591*(1+IF($G3603&lt;nr_MStartP1,$M$3586,$N$3586)))</f>
        <v/>
      </c>
      <c r="U3603" s="95">
        <f>IF($L$3586,$T3603,$N3603)</f>
        <v/>
      </c>
    </row>
    <row r="3604">
      <c r="A3604" s="90" t="n">
        <v>16</v>
      </c>
      <c r="B3604" s="91">
        <f>EDATE($B3603,1)</f>
        <v/>
      </c>
      <c r="C3604" s="92">
        <f>EOMONTH($B3604,0)</f>
        <v/>
      </c>
      <c r="D3604" s="87">
        <f>$C3604-$B3604+1</f>
        <v/>
      </c>
      <c r="E3604" s="87">
        <f>MONTH($B3604)</f>
        <v/>
      </c>
      <c r="F3604" s="93">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$N3604*IF($O$3586=1,$O3604/$F$3586,1)</f>
        <v/>
      </c>
      <c r="T3604" s="95">
        <f>IF($G3604&lt;nr_MStartP,$S3604,$T3592*(1+IF($G3604&lt;nr_MStartP1,$M$3586,$N$3586)))</f>
        <v/>
      </c>
      <c r="U3604" s="95">
        <f>IF($L$3586,$T3604,$N3604)</f>
        <v/>
      </c>
    </row>
    <row r="3605">
      <c r="A3605" s="90" t="n">
        <v>17</v>
      </c>
      <c r="B3605" s="91">
        <f>EDATE($B3604,1)</f>
        <v/>
      </c>
      <c r="C3605" s="92">
        <f>EOMONTH($B3605,0)</f>
        <v/>
      </c>
      <c r="D3605" s="87">
        <f>$C3605-$B3605+1</f>
        <v/>
      </c>
      <c r="E3605" s="87">
        <f>MONTH($B3605)</f>
        <v/>
      </c>
      <c r="F3605" s="93">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$N3605*IF($O$3586=1,$O3605/$F$3586,1)</f>
        <v/>
      </c>
      <c r="T3605" s="95">
        <f>IF($G3605&lt;nr_MStartP,$S3605,$T3593*(1+IF($G3605&lt;nr_MStartP1,$M$3586,$N$3586)))</f>
        <v/>
      </c>
      <c r="U3605" s="95">
        <f>IF($L$3586,$T3605,$N3605)</f>
        <v/>
      </c>
    </row>
    <row r="3606">
      <c r="A3606" s="90" t="n">
        <v>18</v>
      </c>
      <c r="B3606" s="91">
        <f>EDATE($B3605,1)</f>
        <v/>
      </c>
      <c r="C3606" s="92">
        <f>EOMONTH($B3606,0)</f>
        <v/>
      </c>
      <c r="D3606" s="87">
        <f>$C3606-$B3606+1</f>
        <v/>
      </c>
      <c r="E3606" s="87">
        <f>MONTH($B3606)</f>
        <v/>
      </c>
      <c r="F3606" s="93">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$N3606*IF($O$3586=1,$O3606/$F$3586,1)</f>
        <v/>
      </c>
      <c r="T3606" s="95">
        <f>IF($G3606&lt;nr_MStartP,$S3606,$T3594*(1+IF($G3606&lt;nr_MStartP1,$M$3586,$N$3586)))</f>
        <v/>
      </c>
      <c r="U3606" s="95">
        <f>IF($L$3586,$T3606,$N3606)</f>
        <v/>
      </c>
    </row>
    <row r="3607">
      <c r="A3607" s="90" t="n">
        <v>19</v>
      </c>
      <c r="B3607" s="91">
        <f>EDATE($B3606,1)</f>
        <v/>
      </c>
      <c r="C3607" s="92">
        <f>EOMONTH($B3607,0)</f>
        <v/>
      </c>
      <c r="D3607" s="87">
        <f>$C3607-$B3607+1</f>
        <v/>
      </c>
      <c r="E3607" s="87">
        <f>MONTH($B3607)</f>
        <v/>
      </c>
      <c r="F3607" s="93">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$N3607*IF($O$3586=1,$O3607/$F$3586,1)</f>
        <v/>
      </c>
      <c r="T3607" s="95">
        <f>IF($G3607&lt;nr_MStartP,$S3607,$T3595*(1+IF($G3607&lt;nr_MStartP1,$M$3586,$N$3586)))</f>
        <v/>
      </c>
      <c r="U3607" s="95">
        <f>IF($L$3586,$T3607,$N3607)</f>
        <v/>
      </c>
    </row>
    <row r="3608">
      <c r="A3608" s="90" t="n">
        <v>20</v>
      </c>
      <c r="B3608" s="91">
        <f>EDATE($B3607,1)</f>
        <v/>
      </c>
      <c r="C3608" s="92">
        <f>EOMONTH($B3608,0)</f>
        <v/>
      </c>
      <c r="D3608" s="87">
        <f>$C3608-$B3608+1</f>
        <v/>
      </c>
      <c r="E3608" s="87">
        <f>MONTH($B3608)</f>
        <v/>
      </c>
      <c r="F3608" s="93">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$N3608*IF($O$3586=1,$O3608/$F$3586,1)</f>
        <v/>
      </c>
      <c r="T3608" s="95">
        <f>IF($G3608&lt;nr_MStartP,$S3608,$T3596*(1+IF($G3608&lt;nr_MStartP1,$M$3586,$N$3586)))</f>
        <v/>
      </c>
      <c r="U3608" s="95">
        <f>IF($L$3586,$T3608,$N3608)</f>
        <v/>
      </c>
    </row>
    <row r="3609">
      <c r="A3609" s="90" t="n">
        <v>21</v>
      </c>
      <c r="B3609" s="91">
        <f>EDATE($B3608,1)</f>
        <v/>
      </c>
      <c r="C3609" s="92">
        <f>EOMONTH($B3609,0)</f>
        <v/>
      </c>
      <c r="D3609" s="87">
        <f>$C3609-$B3609+1</f>
        <v/>
      </c>
      <c r="E3609" s="87">
        <f>MONTH($B3609)</f>
        <v/>
      </c>
      <c r="F3609" s="93">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$N3609*IF($O$3586=1,$O3609/$F$3586,1)</f>
        <v/>
      </c>
      <c r="T3609" s="95">
        <f>IF($G3609&lt;nr_MStartP,$S3609,$T3597*(1+IF($G3609&lt;nr_MStartP1,$M$3586,$N$3586)))</f>
        <v/>
      </c>
      <c r="U3609" s="95">
        <f>IF($L$3586,$T3609,$N3609)</f>
        <v/>
      </c>
    </row>
    <row r="3610">
      <c r="A3610" s="90" t="n">
        <v>22</v>
      </c>
      <c r="B3610" s="91">
        <f>EDATE($B3609,1)</f>
        <v/>
      </c>
      <c r="C3610" s="92">
        <f>EOMONTH($B3610,0)</f>
        <v/>
      </c>
      <c r="D3610" s="87">
        <f>$C3610-$B3610+1</f>
        <v/>
      </c>
      <c r="E3610" s="87">
        <f>MONTH($B3610)</f>
        <v/>
      </c>
      <c r="F3610" s="93">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$N3610*IF($O$3586=1,$O3610/$F$3586,1)</f>
        <v/>
      </c>
      <c r="T3610" s="95">
        <f>IF($G3610&lt;nr_MStartP,$S3610,$T3598*(1+IF($G3610&lt;nr_MStartP1,$M$3586,$N$3586)))</f>
        <v/>
      </c>
      <c r="U3610" s="95">
        <f>IF($L$3586,$T3610,$N3610)</f>
        <v/>
      </c>
    </row>
    <row r="3611">
      <c r="A3611" s="90" t="n">
        <v>23</v>
      </c>
      <c r="B3611" s="91">
        <f>EDATE($B3610,1)</f>
        <v/>
      </c>
      <c r="C3611" s="92">
        <f>EOMONTH($B3611,0)</f>
        <v/>
      </c>
      <c r="D3611" s="87">
        <f>$C3611-$B3611+1</f>
        <v/>
      </c>
      <c r="E3611" s="87">
        <f>MONTH($B3611)</f>
        <v/>
      </c>
      <c r="F3611" s="93">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$N3611*IF($O$3586=1,$O3611/$F$3586,1)</f>
        <v/>
      </c>
      <c r="T3611" s="95">
        <f>IF($G3611&lt;nr_MStartP,$S3611,$T3599*(1+IF($G3611&lt;nr_MStartP1,$M$3586,$N$3586)))</f>
        <v/>
      </c>
      <c r="U3611" s="95">
        <f>IF($L$3586,$T3611,$N3611)</f>
        <v/>
      </c>
    </row>
    <row r="3612">
      <c r="A3612" s="90" t="n">
        <v>24</v>
      </c>
      <c r="B3612" s="91">
        <f>EDATE($B3611,1)</f>
        <v/>
      </c>
      <c r="C3612" s="92">
        <f>EOMONTH($B3612,0)</f>
        <v/>
      </c>
      <c r="D3612" s="87">
        <f>$C3612-$B3612+1</f>
        <v/>
      </c>
      <c r="E3612" s="87">
        <f>MONTH($B3612)</f>
        <v/>
      </c>
      <c r="F3612" s="93">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$N3612*IF($O$3586=1,$O3612/$F$3586,1)</f>
        <v/>
      </c>
      <c r="T3612" s="95">
        <f>IF($G3612&lt;nr_MStartP,$S3612,$T3600*(1+IF($G3612&lt;nr_MStartP1,$M$3586,$N$3586)))</f>
        <v/>
      </c>
      <c r="U3612" s="95">
        <f>IF($L$3586,$T3612,$N3612)</f>
        <v/>
      </c>
    </row>
    <row r="3613">
      <c r="A3613" s="90" t="n">
        <v>25</v>
      </c>
      <c r="B3613" s="91">
        <f>EDATE($B3612,1)</f>
        <v/>
      </c>
      <c r="C3613" s="92">
        <f>EOMONTH($B3613,0)</f>
        <v/>
      </c>
      <c r="D3613" s="87">
        <f>$C3613-$B3613+1</f>
        <v/>
      </c>
      <c r="E3613" s="87">
        <f>MONTH($B3613)</f>
        <v/>
      </c>
      <c r="F3613" s="93">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$N3613*IF($O$3586=1,$O3613/$F$3586,1)</f>
        <v/>
      </c>
      <c r="T3613" s="95">
        <f>IF($G3613&lt;nr_MStartP,$S3613,$T3601*(1+IF($G3613&lt;nr_MStartP1,$M$3586,$N$3586)))</f>
        <v/>
      </c>
      <c r="U3613" s="95">
        <f>IF($L$3586,$T3613,$N3613)</f>
        <v/>
      </c>
    </row>
    <row r="3614">
      <c r="A3614" s="90" t="n">
        <v>26</v>
      </c>
      <c r="B3614" s="91">
        <f>EDATE($B3613,1)</f>
        <v/>
      </c>
      <c r="C3614" s="92">
        <f>EOMONTH($B3614,0)</f>
        <v/>
      </c>
      <c r="D3614" s="87">
        <f>$C3614-$B3614+1</f>
        <v/>
      </c>
      <c r="E3614" s="87">
        <f>MONTH($B3614)</f>
        <v/>
      </c>
      <c r="F3614" s="93">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$N3614*IF($O$3586=1,$O3614/$F$3586,1)</f>
        <v/>
      </c>
      <c r="T3614" s="95">
        <f>IF($G3614&lt;nr_MStartP,$S3614,$T3602*(1+IF($G3614&lt;nr_MStartP1,$M$3586,$N$3586)))</f>
        <v/>
      </c>
      <c r="U3614" s="95">
        <f>IF($L$3586,$T3614,$N3614)</f>
        <v/>
      </c>
    </row>
    <row r="3615">
      <c r="A3615" s="90" t="n">
        <v>27</v>
      </c>
      <c r="B3615" s="91">
        <f>EDATE($B3614,1)</f>
        <v/>
      </c>
      <c r="C3615" s="92">
        <f>EOMONTH($B3615,0)</f>
        <v/>
      </c>
      <c r="D3615" s="87">
        <f>$C3615-$B3615+1</f>
        <v/>
      </c>
      <c r="E3615" s="87">
        <f>MONTH($B3615)</f>
        <v/>
      </c>
      <c r="F3615" s="93">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$N3615*IF($O$3586=1,$O3615/$F$3586,1)</f>
        <v/>
      </c>
      <c r="T3615" s="95">
        <f>IF($G3615&lt;nr_MStartP,$S3615,$T3603*(1+IF($G3615&lt;nr_MStartP1,$M$3586,$N$3586)))</f>
        <v/>
      </c>
      <c r="U3615" s="95">
        <f>IF($L$3586,$T3615,$N3615)</f>
        <v/>
      </c>
    </row>
    <row r="3616">
      <c r="A3616" s="90" t="n">
        <v>28</v>
      </c>
      <c r="B3616" s="91">
        <f>EDATE($B3615,1)</f>
        <v/>
      </c>
      <c r="C3616" s="92">
        <f>EOMONTH($B3616,0)</f>
        <v/>
      </c>
      <c r="D3616" s="87">
        <f>$C3616-$B3616+1</f>
        <v/>
      </c>
      <c r="E3616" s="87">
        <f>MONTH($B3616)</f>
        <v/>
      </c>
      <c r="F3616" s="93">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$N3616*IF($O$3586=1,$O3616/$F$3586,1)</f>
        <v/>
      </c>
      <c r="T3616" s="95">
        <f>IF($G3616&lt;nr_MStartP,$S3616,$T3604*(1+IF($G3616&lt;nr_MStartP1,$M$3586,$N$3586)))</f>
        <v/>
      </c>
      <c r="U3616" s="95">
        <f>IF($L$3586,$T3616,$N3616)</f>
        <v/>
      </c>
    </row>
    <row r="3617">
      <c r="A3617" s="90" t="n">
        <v>29</v>
      </c>
      <c r="B3617" s="91">
        <f>EDATE($B3616,1)</f>
        <v/>
      </c>
      <c r="C3617" s="92">
        <f>EOMONTH($B3617,0)</f>
        <v/>
      </c>
      <c r="D3617" s="87">
        <f>$C3617-$B3617+1</f>
        <v/>
      </c>
      <c r="E3617" s="87">
        <f>MONTH($B3617)</f>
        <v/>
      </c>
      <c r="F3617" s="93">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$N3617*IF($O$3586=1,$O3617/$F$3586,1)</f>
        <v/>
      </c>
      <c r="T3617" s="95">
        <f>IF($G3617&lt;nr_MStartP,$S3617,$T3605*(1+IF($G3617&lt;nr_MStartP1,$M$3586,$N$3586)))</f>
        <v/>
      </c>
      <c r="U3617" s="95">
        <f>IF($L$3586,$T3617,$N3617)</f>
        <v/>
      </c>
    </row>
    <row r="3618">
      <c r="A3618" s="90" t="n">
        <v>30</v>
      </c>
      <c r="B3618" s="91">
        <f>EDATE($B3617,1)</f>
        <v/>
      </c>
      <c r="C3618" s="92">
        <f>EOMONTH($B3618,0)</f>
        <v/>
      </c>
      <c r="D3618" s="87">
        <f>$C3618-$B3618+1</f>
        <v/>
      </c>
      <c r="E3618" s="87">
        <f>MONTH($B3618)</f>
        <v/>
      </c>
      <c r="F3618" s="93">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$N3618*IF($O$3586=1,$O3618/$F$3586,1)</f>
        <v/>
      </c>
      <c r="T3618" s="95">
        <f>IF($G3618&lt;nr_MStartP,$S3618,$T3606*(1+IF($G3618&lt;nr_MStartP1,$M$3586,$N$3586)))</f>
        <v/>
      </c>
      <c r="U3618" s="95">
        <f>IF($L$3586,$T3618,$N3618)</f>
        <v/>
      </c>
    </row>
    <row r="3619">
      <c r="A3619" s="90" t="n">
        <v>31</v>
      </c>
      <c r="B3619" s="91">
        <f>EDATE($B3618,1)</f>
        <v/>
      </c>
      <c r="C3619" s="92">
        <f>EOMONTH($B3619,0)</f>
        <v/>
      </c>
      <c r="D3619" s="87">
        <f>$C3619-$B3619+1</f>
        <v/>
      </c>
      <c r="E3619" s="87">
        <f>MONTH($B3619)</f>
        <v/>
      </c>
      <c r="F3619" s="93">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$N3619*IF($O$3586=1,$O3619/$F$3586,1)</f>
        <v/>
      </c>
      <c r="T3619" s="95">
        <f>IF($G3619&lt;nr_MStartP,$S3619,$T3607*(1+IF($G3619&lt;nr_MStartP1,$M$3586,$N$3586)))</f>
        <v/>
      </c>
      <c r="U3619" s="95">
        <f>IF($L$3586,$T3619,$N3619)</f>
        <v/>
      </c>
    </row>
    <row r="3620">
      <c r="A3620" s="90" t="n">
        <v>32</v>
      </c>
      <c r="B3620" s="91">
        <f>EDATE($B3619,1)</f>
        <v/>
      </c>
      <c r="C3620" s="92">
        <f>EOMONTH($B3620,0)</f>
        <v/>
      </c>
      <c r="D3620" s="87">
        <f>$C3620-$B3620+1</f>
        <v/>
      </c>
      <c r="E3620" s="87">
        <f>MONTH($B3620)</f>
        <v/>
      </c>
      <c r="F3620" s="93">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$N3620*IF($O$3586=1,$O3620/$F$3586,1)</f>
        <v/>
      </c>
      <c r="T3620" s="95">
        <f>IF($G3620&lt;nr_MStartP,$S3620,$T3608*(1+IF($G3620&lt;nr_MStartP1,$M$3586,$N$3586)))</f>
        <v/>
      </c>
      <c r="U3620" s="95">
        <f>IF($L$3586,$T3620,$N3620)</f>
        <v/>
      </c>
    </row>
    <row r="3621">
      <c r="A3621" s="90" t="n">
        <v>33</v>
      </c>
      <c r="B3621" s="91">
        <f>EDATE($B3620,1)</f>
        <v/>
      </c>
      <c r="C3621" s="92">
        <f>EOMONTH($B3621,0)</f>
        <v/>
      </c>
      <c r="D3621" s="87">
        <f>$C3621-$B3621+1</f>
        <v/>
      </c>
      <c r="E3621" s="87">
        <f>MONTH($B3621)</f>
        <v/>
      </c>
      <c r="F3621" s="93">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$N3621*IF($O$3586=1,$O3621/$F$3586,1)</f>
        <v/>
      </c>
      <c r="T3621" s="95">
        <f>IF($G3621&lt;nr_MStartP,$S3621,$T3609*(1+IF($G3621&lt;nr_MStartP1,$M$3586,$N$3586)))</f>
        <v/>
      </c>
      <c r="U3621" s="95">
        <f>IF($L$3586,$T3621,$N3621)</f>
        <v/>
      </c>
    </row>
    <row r="3622">
      <c r="A3622" s="90" t="n">
        <v>34</v>
      </c>
      <c r="B3622" s="91">
        <f>EDATE($B3621,1)</f>
        <v/>
      </c>
      <c r="C3622" s="92">
        <f>EOMONTH($B3622,0)</f>
        <v/>
      </c>
      <c r="D3622" s="87">
        <f>$C3622-$B3622+1</f>
        <v/>
      </c>
      <c r="E3622" s="87">
        <f>MONTH($B3622)</f>
        <v/>
      </c>
      <c r="F3622" s="93">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$N3622*IF($O$3586=1,$O3622/$F$3586,1)</f>
        <v/>
      </c>
      <c r="T3622" s="95">
        <f>IF($G3622&lt;nr_MStartP,$S3622,$T3610*(1+IF($G3622&lt;nr_MStartP1,$M$3586,$N$3586)))</f>
        <v/>
      </c>
      <c r="U3622" s="95">
        <f>IF($L$3586,$T3622,$N3622)</f>
        <v/>
      </c>
    </row>
    <row r="3623">
      <c r="A3623" s="90" t="n">
        <v>35</v>
      </c>
      <c r="B3623" s="91">
        <f>EDATE($B3622,1)</f>
        <v/>
      </c>
      <c r="C3623" s="92">
        <f>EOMONTH($B3623,0)</f>
        <v/>
      </c>
      <c r="D3623" s="87">
        <f>$C3623-$B3623+1</f>
        <v/>
      </c>
      <c r="E3623" s="87">
        <f>MONTH($B3623)</f>
        <v/>
      </c>
      <c r="F3623" s="93">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$N3623*IF($O$3586=1,$O3623/$F$3586,1)</f>
        <v/>
      </c>
      <c r="T3623" s="95">
        <f>IF($G3623&lt;nr_MStartP,$S3623,$T3611*(1+IF($G3623&lt;nr_MStartP1,$M$3586,$N$3586)))</f>
        <v/>
      </c>
      <c r="U3623" s="95">
        <f>IF($L$3586,$T3623,$N3623)</f>
        <v/>
      </c>
    </row>
    <row r="3624">
      <c r="A3624" s="90" t="n">
        <v>36</v>
      </c>
      <c r="B3624" s="91">
        <f>EDATE($B3623,1)</f>
        <v/>
      </c>
      <c r="C3624" s="92">
        <f>EOMONTH($B3624,0)</f>
        <v/>
      </c>
      <c r="D3624" s="87">
        <f>$C3624-$B3624+1</f>
        <v/>
      </c>
      <c r="E3624" s="87">
        <f>MONTH($B3624)</f>
        <v/>
      </c>
      <c r="F3624" s="93">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$N3624*IF($O$3586=1,$O3624/$F$3586,1)</f>
        <v/>
      </c>
      <c r="T3624" s="95">
        <f>IF($G3624&lt;nr_MStartP,$S3624,$T3612*(1+IF($G3624&lt;nr_MStartP1,$M$3586,$N$3586)))</f>
        <v/>
      </c>
      <c r="U3624" s="95">
        <f>IF($L$3586,$T3624,$N3624)</f>
        <v/>
      </c>
    </row>
    <row r="3625">
      <c r="A3625" s="90" t="n">
        <v>37</v>
      </c>
      <c r="B3625" s="91">
        <f>EDATE($B3624,1)</f>
        <v/>
      </c>
      <c r="C3625" s="92">
        <f>EOMONTH($B3625,0)</f>
        <v/>
      </c>
      <c r="D3625" s="87">
        <f>$C3625-$B3625+1</f>
        <v/>
      </c>
      <c r="E3625" s="87">
        <f>MONTH($B3625)</f>
        <v/>
      </c>
      <c r="F3625" s="93">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$N3625*IF($O$3586=1,$O3625/$F$3586,1)</f>
        <v/>
      </c>
      <c r="T3625" s="95">
        <f>IF($G3625&lt;nr_MStartP,$S3625,$T3613*(1+IF($G3625&lt;nr_MStartP1,$M$3586,$N$3586)))</f>
        <v/>
      </c>
      <c r="U3625" s="95">
        <f>IF($L$3586,$T3625,$N3625)</f>
        <v/>
      </c>
    </row>
    <row r="3626">
      <c r="A3626" s="90" t="n">
        <v>38</v>
      </c>
      <c r="B3626" s="91">
        <f>EDATE($B3625,1)</f>
        <v/>
      </c>
      <c r="C3626" s="92">
        <f>EOMONTH($B3626,0)</f>
        <v/>
      </c>
      <c r="D3626" s="87">
        <f>$C3626-$B3626+1</f>
        <v/>
      </c>
      <c r="E3626" s="87">
        <f>MONTH($B3626)</f>
        <v/>
      </c>
      <c r="F3626" s="93">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$N3626*IF($O$3586=1,$O3626/$F$3586,1)</f>
        <v/>
      </c>
      <c r="T3626" s="95">
        <f>IF($G3626&lt;nr_MStartP,$S3626,$T3614*(1+IF($G3626&lt;nr_MStartP1,$M$3586,$N$3586)))</f>
        <v/>
      </c>
      <c r="U3626" s="95">
        <f>IF($L$3586,$T3626,$N3626)</f>
        <v/>
      </c>
    </row>
    <row r="3627">
      <c r="A3627" s="90" t="n">
        <v>39</v>
      </c>
      <c r="B3627" s="91">
        <f>EDATE($B3626,1)</f>
        <v/>
      </c>
      <c r="C3627" s="92">
        <f>EOMONTH($B3627,0)</f>
        <v/>
      </c>
      <c r="D3627" s="87">
        <f>$C3627-$B3627+1</f>
        <v/>
      </c>
      <c r="E3627" s="87">
        <f>MONTH($B3627)</f>
        <v/>
      </c>
      <c r="F3627" s="93">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$N3627*IF($O$3586=1,$O3627/$F$3586,1)</f>
        <v/>
      </c>
      <c r="T3627" s="95">
        <f>IF($G3627&lt;nr_MStartP,$S3627,$T3615*(1+IF($G3627&lt;nr_MStartP1,$M$3586,$N$3586)))</f>
        <v/>
      </c>
      <c r="U3627" s="95">
        <f>IF($L$3586,$T3627,$N3627)</f>
        <v/>
      </c>
    </row>
    <row r="3628">
      <c r="A3628" s="90" t="n">
        <v>40</v>
      </c>
      <c r="B3628" s="91">
        <f>EDATE($B3627,1)</f>
        <v/>
      </c>
      <c r="C3628" s="92">
        <f>EOMONTH($B3628,0)</f>
        <v/>
      </c>
      <c r="D3628" s="87">
        <f>$C3628-$B3628+1</f>
        <v/>
      </c>
      <c r="E3628" s="87">
        <f>MONTH($B3628)</f>
        <v/>
      </c>
      <c r="F3628" s="93">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$N3628*IF($O$3586=1,$O3628/$F$3586,1)</f>
        <v/>
      </c>
      <c r="T3628" s="95">
        <f>IF($G3628&lt;nr_MStartP,$S3628,$T3616*(1+IF($G3628&lt;nr_MStartP1,$M$3586,$N$3586)))</f>
        <v/>
      </c>
      <c r="U3628" s="95">
        <f>IF($L$3586,$T3628,$N3628)</f>
        <v/>
      </c>
    </row>
    <row r="3629">
      <c r="A3629" s="90" t="n">
        <v>41</v>
      </c>
      <c r="B3629" s="91">
        <f>EDATE($B3628,1)</f>
        <v/>
      </c>
      <c r="C3629" s="92">
        <f>EOMONTH($B3629,0)</f>
        <v/>
      </c>
      <c r="D3629" s="87">
        <f>$C3629-$B3629+1</f>
        <v/>
      </c>
      <c r="E3629" s="87">
        <f>MONTH($B3629)</f>
        <v/>
      </c>
      <c r="F3629" s="93">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$N3629*IF($O$3586=1,$O3629/$F$3586,1)</f>
        <v/>
      </c>
      <c r="T3629" s="95">
        <f>IF($G3629&lt;nr_MStartP,$S3629,$T3617*(1+IF($G3629&lt;nr_MStartP1,$M$3586,$N$3586)))</f>
        <v/>
      </c>
      <c r="U3629" s="95">
        <f>IF($L$3586,$T3629,$N3629)</f>
        <v/>
      </c>
    </row>
    <row r="3630">
      <c r="A3630" s="90" t="n">
        <v>42</v>
      </c>
      <c r="B3630" s="91">
        <f>EDATE($B3629,1)</f>
        <v/>
      </c>
      <c r="C3630" s="92">
        <f>EOMONTH($B3630,0)</f>
        <v/>
      </c>
      <c r="D3630" s="87">
        <f>$C3630-$B3630+1</f>
        <v/>
      </c>
      <c r="E3630" s="87">
        <f>MONTH($B3630)</f>
        <v/>
      </c>
      <c r="F3630" s="93">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$N3630*IF($O$3586=1,$O3630/$F$3586,1)</f>
        <v/>
      </c>
      <c r="T3630" s="95">
        <f>IF($G3630&lt;nr_MStartP,$S3630,$T3618*(1+IF($G3630&lt;nr_MStartP1,$M$3586,$N$3586)))</f>
        <v/>
      </c>
      <c r="U3630" s="95">
        <f>IF($L$3586,$T3630,$N3630)</f>
        <v/>
      </c>
    </row>
    <row r="3631">
      <c r="A3631" s="90" t="n">
        <v>43</v>
      </c>
      <c r="B3631" s="91">
        <f>EDATE($B3630,1)</f>
        <v/>
      </c>
      <c r="C3631" s="92">
        <f>EOMONTH($B3631,0)</f>
        <v/>
      </c>
      <c r="D3631" s="87">
        <f>$C3631-$B3631+1</f>
        <v/>
      </c>
      <c r="E3631" s="87">
        <f>MONTH($B3631)</f>
        <v/>
      </c>
      <c r="F3631" s="93">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$N3631*IF($O$3586=1,$O3631/$F$3586,1)</f>
        <v/>
      </c>
      <c r="T3631" s="95">
        <f>IF($G3631&lt;nr_MStartP,$S3631,$T3619*(1+IF($G3631&lt;nr_MStartP1,$M$3586,$N$3586)))</f>
        <v/>
      </c>
      <c r="U3631" s="95">
        <f>IF($L$3586,$T3631,$N3631)</f>
        <v/>
      </c>
    </row>
    <row r="3632">
      <c r="A3632" s="90" t="n">
        <v>44</v>
      </c>
      <c r="B3632" s="91">
        <f>EDATE($B3631,1)</f>
        <v/>
      </c>
      <c r="C3632" s="92">
        <f>EOMONTH($B3632,0)</f>
        <v/>
      </c>
      <c r="D3632" s="87">
        <f>$C3632-$B3632+1</f>
        <v/>
      </c>
      <c r="E3632" s="87">
        <f>MONTH($B3632)</f>
        <v/>
      </c>
      <c r="F3632" s="93">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$N3632*IF($O$3586=1,$O3632/$F$3586,1)</f>
        <v/>
      </c>
      <c r="T3632" s="95">
        <f>IF($G3632&lt;nr_MStartP,$S3632,$T3620*(1+IF($G3632&lt;nr_MStartP1,$M$3586,$N$3586)))</f>
        <v/>
      </c>
      <c r="U3632" s="95">
        <f>IF($L$3586,$T3632,$N3632)</f>
        <v/>
      </c>
    </row>
    <row r="3633">
      <c r="A3633" s="90" t="n">
        <v>45</v>
      </c>
      <c r="B3633" s="91">
        <f>EDATE($B3632,1)</f>
        <v/>
      </c>
      <c r="C3633" s="92">
        <f>EOMONTH($B3633,0)</f>
        <v/>
      </c>
      <c r="D3633" s="87">
        <f>$C3633-$B3633+1</f>
        <v/>
      </c>
      <c r="E3633" s="87">
        <f>MONTH($B3633)</f>
        <v/>
      </c>
      <c r="F3633" s="93">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$N3633*IF($O$3586=1,$O3633/$F$3586,1)</f>
        <v/>
      </c>
      <c r="T3633" s="95">
        <f>IF($G3633&lt;nr_MStartP,$S3633,$T3621*(1+IF($G3633&lt;nr_MStartP1,$M$3586,$N$3586)))</f>
        <v/>
      </c>
      <c r="U3633" s="95">
        <f>IF($L$3586,$T3633,$N3633)</f>
        <v/>
      </c>
    </row>
    <row r="3634">
      <c r="A3634" s="90" t="n">
        <v>46</v>
      </c>
      <c r="B3634" s="91">
        <f>EDATE($B3633,1)</f>
        <v/>
      </c>
      <c r="C3634" s="92">
        <f>EOMONTH($B3634,0)</f>
        <v/>
      </c>
      <c r="D3634" s="87">
        <f>$C3634-$B3634+1</f>
        <v/>
      </c>
      <c r="E3634" s="87">
        <f>MONTH($B3634)</f>
        <v/>
      </c>
      <c r="F3634" s="93">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$N3634*IF($O$3586=1,$O3634/$F$3586,1)</f>
        <v/>
      </c>
      <c r="T3634" s="95">
        <f>IF($G3634&lt;nr_MStartP,$S3634,$T3622*(1+IF($G3634&lt;nr_MStartP1,$M$3586,$N$3586)))</f>
        <v/>
      </c>
      <c r="U3634" s="95">
        <f>IF($L$3586,$T3634,$N3634)</f>
        <v/>
      </c>
    </row>
    <row r="3635">
      <c r="A3635" s="90" t="n">
        <v>47</v>
      </c>
      <c r="B3635" s="91">
        <f>EDATE($B3634,1)</f>
        <v/>
      </c>
      <c r="C3635" s="92">
        <f>EOMONTH($B3635,0)</f>
        <v/>
      </c>
      <c r="D3635" s="87">
        <f>$C3635-$B3635+1</f>
        <v/>
      </c>
      <c r="E3635" s="87">
        <f>MONTH($B3635)</f>
        <v/>
      </c>
      <c r="F3635" s="93">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$N3635*IF($O$3586=1,$O3635/$F$3586,1)</f>
        <v/>
      </c>
      <c r="T3635" s="95">
        <f>IF($G3635&lt;nr_MStartP,$S3635,$T3623*(1+IF($G3635&lt;nr_MStartP1,$M$3586,$N$3586)))</f>
        <v/>
      </c>
      <c r="U3635" s="95">
        <f>IF($L$3586,$T3635,$N3635)</f>
        <v/>
      </c>
    </row>
    <row r="3636">
      <c r="A3636" s="90" t="n">
        <v>48</v>
      </c>
      <c r="B3636" s="91">
        <f>EDATE($B3635,1)</f>
        <v/>
      </c>
      <c r="C3636" s="92">
        <f>EOMONTH($B3636,0)</f>
        <v/>
      </c>
      <c r="D3636" s="87">
        <f>$C3636-$B3636+1</f>
        <v/>
      </c>
      <c r="E3636" s="87">
        <f>MONTH($B3636)</f>
        <v/>
      </c>
      <c r="F3636" s="93">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$N3636*IF($O$3586=1,$O3636/$F$3586,1)</f>
        <v/>
      </c>
      <c r="T3636" s="95">
        <f>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04">
        <f>SUMPRODUCT($H$3589:$H$3636,$Q$3589:$Q$3636,$O$3589:$O$3636)/SUMPRODUCT($H$3589:$H$3636,$Q$3589:$Q$3636)</f>
        <v/>
      </c>
      <c r="G3637" s="20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04">
        <f>IF(N(INDEX(lr_mind,67))=0,1,INDEX(lr_mind,67))</f>
        <v/>
      </c>
      <c r="G3640" s="204">
        <f>IF(N(INDEX(lr_m0,67))=0,1,INDEX(lr_m0,67))</f>
        <v/>
      </c>
      <c r="H3640" s="73">
        <f>IF(N(INDEX(lr_m0asof,67))=0,DATE(nr_PlanYear-1,10,1),INDEX(lr_m0asof,67))</f>
        <v/>
      </c>
      <c r="I3640" s="204">
        <f>IF(N(INDEX(lr_m1,67))=0,1,INDEX(lr_m1,67))</f>
        <v/>
      </c>
      <c r="J3640" s="204">
        <f>INDEX(lr_mprior,67)</f>
        <v/>
      </c>
      <c r="K3640" s="20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93">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$N3643*IF($O$3640=1,$O3643/$F$3640,1)</f>
        <v/>
      </c>
      <c r="T3643" s="95">
        <f>IF($G3643&lt;nr_MStartP,$S3643,$T3631*(1+IF($G3643&lt;nr_MStartP1,$M$3640,$N$3640)))</f>
        <v/>
      </c>
      <c r="U3643" s="95">
        <f>IF($L$3640,$T3643,$N3643)</f>
        <v/>
      </c>
    </row>
    <row r="3644">
      <c r="A3644" s="90" t="n">
        <v>2</v>
      </c>
      <c r="B3644" s="91">
        <f>EDATE($B3643,1)</f>
        <v/>
      </c>
      <c r="C3644" s="92">
        <f>EOMONTH($B3644,0)</f>
        <v/>
      </c>
      <c r="D3644" s="87">
        <f>$C3644-$B3644+1</f>
        <v/>
      </c>
      <c r="E3644" s="87">
        <f>MONTH($B3644)</f>
        <v/>
      </c>
      <c r="F3644" s="93">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$N3644*IF($O$3640=1,$O3644/$F$3640,1)</f>
        <v/>
      </c>
      <c r="T3644" s="95">
        <f>IF($G3644&lt;nr_MStartP,$S3644,$T3632*(1+IF($G3644&lt;nr_MStartP1,$M$3640,$N$3640)))</f>
        <v/>
      </c>
      <c r="U3644" s="95">
        <f>IF($L$3640,$T3644,$N3644)</f>
        <v/>
      </c>
    </row>
    <row r="3645">
      <c r="A3645" s="90" t="n">
        <v>3</v>
      </c>
      <c r="B3645" s="91">
        <f>EDATE($B3644,1)</f>
        <v/>
      </c>
      <c r="C3645" s="92">
        <f>EOMONTH($B3645,0)</f>
        <v/>
      </c>
      <c r="D3645" s="87">
        <f>$C3645-$B3645+1</f>
        <v/>
      </c>
      <c r="E3645" s="87">
        <f>MONTH($B3645)</f>
        <v/>
      </c>
      <c r="F3645" s="93">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$N3645*IF($O$3640=1,$O3645/$F$3640,1)</f>
        <v/>
      </c>
      <c r="T3645" s="95">
        <f>IF($G3645&lt;nr_MStartP,$S3645,$T3633*(1+IF($G3645&lt;nr_MStartP1,$M$3640,$N$3640)))</f>
        <v/>
      </c>
      <c r="U3645" s="95">
        <f>IF($L$3640,$T3645,$N3645)</f>
        <v/>
      </c>
    </row>
    <row r="3646">
      <c r="A3646" s="90" t="n">
        <v>4</v>
      </c>
      <c r="B3646" s="91">
        <f>EDATE($B3645,1)</f>
        <v/>
      </c>
      <c r="C3646" s="92">
        <f>EOMONTH($B3646,0)</f>
        <v/>
      </c>
      <c r="D3646" s="87">
        <f>$C3646-$B3646+1</f>
        <v/>
      </c>
      <c r="E3646" s="87">
        <f>MONTH($B3646)</f>
        <v/>
      </c>
      <c r="F3646" s="93">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$N3646*IF($O$3640=1,$O3646/$F$3640,1)</f>
        <v/>
      </c>
      <c r="T3646" s="95">
        <f>IF($G3646&lt;nr_MStartP,$S3646,$T3634*(1+IF($G3646&lt;nr_MStartP1,$M$3640,$N$3640)))</f>
        <v/>
      </c>
      <c r="U3646" s="95">
        <f>IF($L$3640,$T3646,$N3646)</f>
        <v/>
      </c>
    </row>
    <row r="3647">
      <c r="A3647" s="90" t="n">
        <v>5</v>
      </c>
      <c r="B3647" s="91">
        <f>EDATE($B3646,1)</f>
        <v/>
      </c>
      <c r="C3647" s="92">
        <f>EOMONTH($B3647,0)</f>
        <v/>
      </c>
      <c r="D3647" s="87">
        <f>$C3647-$B3647+1</f>
        <v/>
      </c>
      <c r="E3647" s="87">
        <f>MONTH($B3647)</f>
        <v/>
      </c>
      <c r="F3647" s="93">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$N3647*IF($O$3640=1,$O3647/$F$3640,1)</f>
        <v/>
      </c>
      <c r="T3647" s="95">
        <f>IF($G3647&lt;nr_MStartP,$S3647,$T3635*(1+IF($G3647&lt;nr_MStartP1,$M$3640,$N$3640)))</f>
        <v/>
      </c>
      <c r="U3647" s="95">
        <f>IF($L$3640,$T3647,$N3647)</f>
        <v/>
      </c>
    </row>
    <row r="3648">
      <c r="A3648" s="90" t="n">
        <v>6</v>
      </c>
      <c r="B3648" s="91">
        <f>EDATE($B3647,1)</f>
        <v/>
      </c>
      <c r="C3648" s="92">
        <f>EOMONTH($B3648,0)</f>
        <v/>
      </c>
      <c r="D3648" s="87">
        <f>$C3648-$B3648+1</f>
        <v/>
      </c>
      <c r="E3648" s="87">
        <f>MONTH($B3648)</f>
        <v/>
      </c>
      <c r="F3648" s="93">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$N3648*IF($O$3640=1,$O3648/$F$3640,1)</f>
        <v/>
      </c>
      <c r="T3648" s="95">
        <f>IF($G3648&lt;nr_MStartP,$S3648,$T3636*(1+IF($G3648&lt;nr_MStartP1,$M$3640,$N$3640)))</f>
        <v/>
      </c>
      <c r="U3648" s="95">
        <f>IF($L$3640,$T3648,$N3648)</f>
        <v/>
      </c>
    </row>
    <row r="3649">
      <c r="A3649" s="90" t="n">
        <v>7</v>
      </c>
      <c r="B3649" s="91">
        <f>EDATE($B3648,1)</f>
        <v/>
      </c>
      <c r="C3649" s="92">
        <f>EOMONTH($B3649,0)</f>
        <v/>
      </c>
      <c r="D3649" s="87">
        <f>$C3649-$B3649+1</f>
        <v/>
      </c>
      <c r="E3649" s="87">
        <f>MONTH($B3649)</f>
        <v/>
      </c>
      <c r="F3649" s="93">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$N3649*IF($O$3640=1,$O3649/$F$3640,1)</f>
        <v/>
      </c>
      <c r="T3649" s="95">
        <f>IF($G3649&lt;nr_MStartP,$S3649,$T3637*(1+IF($G3649&lt;nr_MStartP1,$M$3640,$N$3640)))</f>
        <v/>
      </c>
      <c r="U3649" s="95">
        <f>IF($L$3640,$T3649,$N3649)</f>
        <v/>
      </c>
    </row>
    <row r="3650">
      <c r="A3650" s="90" t="n">
        <v>8</v>
      </c>
      <c r="B3650" s="91">
        <f>EDATE($B3649,1)</f>
        <v/>
      </c>
      <c r="C3650" s="92">
        <f>EOMONTH($B3650,0)</f>
        <v/>
      </c>
      <c r="D3650" s="87">
        <f>$C3650-$B3650+1</f>
        <v/>
      </c>
      <c r="E3650" s="87">
        <f>MONTH($B3650)</f>
        <v/>
      </c>
      <c r="F3650" s="93">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$N3650*IF($O$3640=1,$O3650/$F$3640,1)</f>
        <v/>
      </c>
      <c r="T3650" s="95">
        <f>IF($G3650&lt;nr_MStartP,$S3650,$T3638*(1+IF($G3650&lt;nr_MStartP1,$M$3640,$N$3640)))</f>
        <v/>
      </c>
      <c r="U3650" s="95">
        <f>IF($L$3640,$T3650,$N3650)</f>
        <v/>
      </c>
    </row>
    <row r="3651">
      <c r="A3651" s="90" t="n">
        <v>9</v>
      </c>
      <c r="B3651" s="91">
        <f>EDATE($B3650,1)</f>
        <v/>
      </c>
      <c r="C3651" s="92">
        <f>EOMONTH($B3651,0)</f>
        <v/>
      </c>
      <c r="D3651" s="87">
        <f>$C3651-$B3651+1</f>
        <v/>
      </c>
      <c r="E3651" s="87">
        <f>MONTH($B3651)</f>
        <v/>
      </c>
      <c r="F3651" s="93">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$N3651*IF($O$3640=1,$O3651/$F$3640,1)</f>
        <v/>
      </c>
      <c r="T3651" s="95">
        <f>IF($G3651&lt;nr_MStartP,$S3651,$T3639*(1+IF($G3651&lt;nr_MStartP1,$M$3640,$N$3640)))</f>
        <v/>
      </c>
      <c r="U3651" s="95">
        <f>IF($L$3640,$T3651,$N3651)</f>
        <v/>
      </c>
    </row>
    <row r="3652">
      <c r="A3652" s="90" t="n">
        <v>10</v>
      </c>
      <c r="B3652" s="91">
        <f>EDATE($B3651,1)</f>
        <v/>
      </c>
      <c r="C3652" s="92">
        <f>EOMONTH($B3652,0)</f>
        <v/>
      </c>
      <c r="D3652" s="87">
        <f>$C3652-$B3652+1</f>
        <v/>
      </c>
      <c r="E3652" s="87">
        <f>MONTH($B3652)</f>
        <v/>
      </c>
      <c r="F3652" s="93">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$N3652*IF($O$3640=1,$O3652/$F$3640,1)</f>
        <v/>
      </c>
      <c r="T3652" s="95">
        <f>IF($G3652&lt;nr_MStartP,$S3652,$T3640*(1+IF($G3652&lt;nr_MStartP1,$M$3640,$N$3640)))</f>
        <v/>
      </c>
      <c r="U3652" s="95">
        <f>IF($L$3640,$T3652,$N3652)</f>
        <v/>
      </c>
    </row>
    <row r="3653">
      <c r="A3653" s="90" t="n">
        <v>11</v>
      </c>
      <c r="B3653" s="91">
        <f>EDATE($B3652,1)</f>
        <v/>
      </c>
      <c r="C3653" s="92">
        <f>EOMONTH($B3653,0)</f>
        <v/>
      </c>
      <c r="D3653" s="87">
        <f>$C3653-$B3653+1</f>
        <v/>
      </c>
      <c r="E3653" s="87">
        <f>MONTH($B3653)</f>
        <v/>
      </c>
      <c r="F3653" s="93">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$N3653*IF($O$3640=1,$O3653/$F$3640,1)</f>
        <v/>
      </c>
      <c r="T3653" s="95">
        <f>IF($G3653&lt;nr_MStartP,$S3653,$T3641*(1+IF($G3653&lt;nr_MStartP1,$M$3640,$N$3640)))</f>
        <v/>
      </c>
      <c r="U3653" s="95">
        <f>IF($L$3640,$T3653,$N3653)</f>
        <v/>
      </c>
    </row>
    <row r="3654">
      <c r="A3654" s="90" t="n">
        <v>12</v>
      </c>
      <c r="B3654" s="91">
        <f>EDATE($B3653,1)</f>
        <v/>
      </c>
      <c r="C3654" s="92">
        <f>EOMONTH($B3654,0)</f>
        <v/>
      </c>
      <c r="D3654" s="87">
        <f>$C3654-$B3654+1</f>
        <v/>
      </c>
      <c r="E3654" s="87">
        <f>MONTH($B3654)</f>
        <v/>
      </c>
      <c r="F3654" s="93">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$N3654*IF($O$3640=1,$O3654/$F$3640,1)</f>
        <v/>
      </c>
      <c r="T3654" s="95">
        <f>IF($G3654&lt;nr_MStartP,$S3654,$T3642*(1+IF($G3654&lt;nr_MStartP1,$M$3640,$N$3640)))</f>
        <v/>
      </c>
      <c r="U3654" s="95">
        <f>IF($L$3640,$T3654,$N3654)</f>
        <v/>
      </c>
    </row>
    <row r="3655">
      <c r="A3655" s="90" t="n">
        <v>13</v>
      </c>
      <c r="B3655" s="91">
        <f>EDATE($B3654,1)</f>
        <v/>
      </c>
      <c r="C3655" s="92">
        <f>EOMONTH($B3655,0)</f>
        <v/>
      </c>
      <c r="D3655" s="87">
        <f>$C3655-$B3655+1</f>
        <v/>
      </c>
      <c r="E3655" s="87">
        <f>MONTH($B3655)</f>
        <v/>
      </c>
      <c r="F3655" s="93">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$N3655*IF($O$3640=1,$O3655/$F$3640,1)</f>
        <v/>
      </c>
      <c r="T3655" s="95">
        <f>IF($G3655&lt;nr_MStartP,$S3655,$T3643*(1+IF($G3655&lt;nr_MStartP1,$M$3640,$N$3640)))</f>
        <v/>
      </c>
      <c r="U3655" s="95">
        <f>IF($L$3640,$T3655,$N3655)</f>
        <v/>
      </c>
    </row>
    <row r="3656">
      <c r="A3656" s="90" t="n">
        <v>14</v>
      </c>
      <c r="B3656" s="91">
        <f>EDATE($B3655,1)</f>
        <v/>
      </c>
      <c r="C3656" s="92">
        <f>EOMONTH($B3656,0)</f>
        <v/>
      </c>
      <c r="D3656" s="87">
        <f>$C3656-$B3656+1</f>
        <v/>
      </c>
      <c r="E3656" s="87">
        <f>MONTH($B3656)</f>
        <v/>
      </c>
      <c r="F3656" s="93">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$N3656*IF($O$3640=1,$O3656/$F$3640,1)</f>
        <v/>
      </c>
      <c r="T3656" s="95">
        <f>IF($G3656&lt;nr_MStartP,$S3656,$T3644*(1+IF($G3656&lt;nr_MStartP1,$M$3640,$N$3640)))</f>
        <v/>
      </c>
      <c r="U3656" s="95">
        <f>IF($L$3640,$T3656,$N3656)</f>
        <v/>
      </c>
    </row>
    <row r="3657">
      <c r="A3657" s="90" t="n">
        <v>15</v>
      </c>
      <c r="B3657" s="91">
        <f>EDATE($B3656,1)</f>
        <v/>
      </c>
      <c r="C3657" s="92">
        <f>EOMONTH($B3657,0)</f>
        <v/>
      </c>
      <c r="D3657" s="87">
        <f>$C3657-$B3657+1</f>
        <v/>
      </c>
      <c r="E3657" s="87">
        <f>MONTH($B3657)</f>
        <v/>
      </c>
      <c r="F3657" s="93">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$N3657*IF($O$3640=1,$O3657/$F$3640,1)</f>
        <v/>
      </c>
      <c r="T3657" s="95">
        <f>IF($G3657&lt;nr_MStartP,$S3657,$T3645*(1+IF($G3657&lt;nr_MStartP1,$M$3640,$N$3640)))</f>
        <v/>
      </c>
      <c r="U3657" s="95">
        <f>IF($L$3640,$T3657,$N3657)</f>
        <v/>
      </c>
    </row>
    <row r="3658">
      <c r="A3658" s="90" t="n">
        <v>16</v>
      </c>
      <c r="B3658" s="91">
        <f>EDATE($B3657,1)</f>
        <v/>
      </c>
      <c r="C3658" s="92">
        <f>EOMONTH($B3658,0)</f>
        <v/>
      </c>
      <c r="D3658" s="87">
        <f>$C3658-$B3658+1</f>
        <v/>
      </c>
      <c r="E3658" s="87">
        <f>MONTH($B3658)</f>
        <v/>
      </c>
      <c r="F3658" s="93">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$N3658*IF($O$3640=1,$O3658/$F$3640,1)</f>
        <v/>
      </c>
      <c r="T3658" s="95">
        <f>IF($G3658&lt;nr_MStartP,$S3658,$T3646*(1+IF($G3658&lt;nr_MStartP1,$M$3640,$N$3640)))</f>
        <v/>
      </c>
      <c r="U3658" s="95">
        <f>IF($L$3640,$T3658,$N3658)</f>
        <v/>
      </c>
    </row>
    <row r="3659">
      <c r="A3659" s="90" t="n">
        <v>17</v>
      </c>
      <c r="B3659" s="91">
        <f>EDATE($B3658,1)</f>
        <v/>
      </c>
      <c r="C3659" s="92">
        <f>EOMONTH($B3659,0)</f>
        <v/>
      </c>
      <c r="D3659" s="87">
        <f>$C3659-$B3659+1</f>
        <v/>
      </c>
      <c r="E3659" s="87">
        <f>MONTH($B3659)</f>
        <v/>
      </c>
      <c r="F3659" s="93">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$N3659*IF($O$3640=1,$O3659/$F$3640,1)</f>
        <v/>
      </c>
      <c r="T3659" s="95">
        <f>IF($G3659&lt;nr_MStartP,$S3659,$T3647*(1+IF($G3659&lt;nr_MStartP1,$M$3640,$N$3640)))</f>
        <v/>
      </c>
      <c r="U3659" s="95">
        <f>IF($L$3640,$T3659,$N3659)</f>
        <v/>
      </c>
    </row>
    <row r="3660">
      <c r="A3660" s="90" t="n">
        <v>18</v>
      </c>
      <c r="B3660" s="91">
        <f>EDATE($B3659,1)</f>
        <v/>
      </c>
      <c r="C3660" s="92">
        <f>EOMONTH($B3660,0)</f>
        <v/>
      </c>
      <c r="D3660" s="87">
        <f>$C3660-$B3660+1</f>
        <v/>
      </c>
      <c r="E3660" s="87">
        <f>MONTH($B3660)</f>
        <v/>
      </c>
      <c r="F3660" s="93">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$N3660*IF($O$3640=1,$O3660/$F$3640,1)</f>
        <v/>
      </c>
      <c r="T3660" s="95">
        <f>IF($G3660&lt;nr_MStartP,$S3660,$T3648*(1+IF($G3660&lt;nr_MStartP1,$M$3640,$N$3640)))</f>
        <v/>
      </c>
      <c r="U3660" s="95">
        <f>IF($L$3640,$T3660,$N3660)</f>
        <v/>
      </c>
    </row>
    <row r="3661">
      <c r="A3661" s="90" t="n">
        <v>19</v>
      </c>
      <c r="B3661" s="91">
        <f>EDATE($B3660,1)</f>
        <v/>
      </c>
      <c r="C3661" s="92">
        <f>EOMONTH($B3661,0)</f>
        <v/>
      </c>
      <c r="D3661" s="87">
        <f>$C3661-$B3661+1</f>
        <v/>
      </c>
      <c r="E3661" s="87">
        <f>MONTH($B3661)</f>
        <v/>
      </c>
      <c r="F3661" s="93">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$N3661*IF($O$3640=1,$O3661/$F$3640,1)</f>
        <v/>
      </c>
      <c r="T3661" s="95">
        <f>IF($G3661&lt;nr_MStartP,$S3661,$T3649*(1+IF($G3661&lt;nr_MStartP1,$M$3640,$N$3640)))</f>
        <v/>
      </c>
      <c r="U3661" s="95">
        <f>IF($L$3640,$T3661,$N3661)</f>
        <v/>
      </c>
    </row>
    <row r="3662">
      <c r="A3662" s="90" t="n">
        <v>20</v>
      </c>
      <c r="B3662" s="91">
        <f>EDATE($B3661,1)</f>
        <v/>
      </c>
      <c r="C3662" s="92">
        <f>EOMONTH($B3662,0)</f>
        <v/>
      </c>
      <c r="D3662" s="87">
        <f>$C3662-$B3662+1</f>
        <v/>
      </c>
      <c r="E3662" s="87">
        <f>MONTH($B3662)</f>
        <v/>
      </c>
      <c r="F3662" s="93">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$N3662*IF($O$3640=1,$O3662/$F$3640,1)</f>
        <v/>
      </c>
      <c r="T3662" s="95">
        <f>IF($G3662&lt;nr_MStartP,$S3662,$T3650*(1+IF($G3662&lt;nr_MStartP1,$M$3640,$N$3640)))</f>
        <v/>
      </c>
      <c r="U3662" s="95">
        <f>IF($L$3640,$T3662,$N3662)</f>
        <v/>
      </c>
    </row>
    <row r="3663">
      <c r="A3663" s="90" t="n">
        <v>21</v>
      </c>
      <c r="B3663" s="91">
        <f>EDATE($B3662,1)</f>
        <v/>
      </c>
      <c r="C3663" s="92">
        <f>EOMONTH($B3663,0)</f>
        <v/>
      </c>
      <c r="D3663" s="87">
        <f>$C3663-$B3663+1</f>
        <v/>
      </c>
      <c r="E3663" s="87">
        <f>MONTH($B3663)</f>
        <v/>
      </c>
      <c r="F3663" s="93">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$N3663*IF($O$3640=1,$O3663/$F$3640,1)</f>
        <v/>
      </c>
      <c r="T3663" s="95">
        <f>IF($G3663&lt;nr_MStartP,$S3663,$T3651*(1+IF($G3663&lt;nr_MStartP1,$M$3640,$N$3640)))</f>
        <v/>
      </c>
      <c r="U3663" s="95">
        <f>IF($L$3640,$T3663,$N3663)</f>
        <v/>
      </c>
    </row>
    <row r="3664">
      <c r="A3664" s="90" t="n">
        <v>22</v>
      </c>
      <c r="B3664" s="91">
        <f>EDATE($B3663,1)</f>
        <v/>
      </c>
      <c r="C3664" s="92">
        <f>EOMONTH($B3664,0)</f>
        <v/>
      </c>
      <c r="D3664" s="87">
        <f>$C3664-$B3664+1</f>
        <v/>
      </c>
      <c r="E3664" s="87">
        <f>MONTH($B3664)</f>
        <v/>
      </c>
      <c r="F3664" s="93">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$N3664*IF($O$3640=1,$O3664/$F$3640,1)</f>
        <v/>
      </c>
      <c r="T3664" s="95">
        <f>IF($G3664&lt;nr_MStartP,$S3664,$T3652*(1+IF($G3664&lt;nr_MStartP1,$M$3640,$N$3640)))</f>
        <v/>
      </c>
      <c r="U3664" s="95">
        <f>IF($L$3640,$T3664,$N3664)</f>
        <v/>
      </c>
    </row>
    <row r="3665">
      <c r="A3665" s="90" t="n">
        <v>23</v>
      </c>
      <c r="B3665" s="91">
        <f>EDATE($B3664,1)</f>
        <v/>
      </c>
      <c r="C3665" s="92">
        <f>EOMONTH($B3665,0)</f>
        <v/>
      </c>
      <c r="D3665" s="87">
        <f>$C3665-$B3665+1</f>
        <v/>
      </c>
      <c r="E3665" s="87">
        <f>MONTH($B3665)</f>
        <v/>
      </c>
      <c r="F3665" s="93">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$N3665*IF($O$3640=1,$O3665/$F$3640,1)</f>
        <v/>
      </c>
      <c r="T3665" s="95">
        <f>IF($G3665&lt;nr_MStartP,$S3665,$T3653*(1+IF($G3665&lt;nr_MStartP1,$M$3640,$N$3640)))</f>
        <v/>
      </c>
      <c r="U3665" s="95">
        <f>IF($L$3640,$T3665,$N3665)</f>
        <v/>
      </c>
    </row>
    <row r="3666">
      <c r="A3666" s="90" t="n">
        <v>24</v>
      </c>
      <c r="B3666" s="91">
        <f>EDATE($B3665,1)</f>
        <v/>
      </c>
      <c r="C3666" s="92">
        <f>EOMONTH($B3666,0)</f>
        <v/>
      </c>
      <c r="D3666" s="87">
        <f>$C3666-$B3666+1</f>
        <v/>
      </c>
      <c r="E3666" s="87">
        <f>MONTH($B3666)</f>
        <v/>
      </c>
      <c r="F3666" s="93">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$N3666*IF($O$3640=1,$O3666/$F$3640,1)</f>
        <v/>
      </c>
      <c r="T3666" s="95">
        <f>IF($G3666&lt;nr_MStartP,$S3666,$T3654*(1+IF($G3666&lt;nr_MStartP1,$M$3640,$N$3640)))</f>
        <v/>
      </c>
      <c r="U3666" s="95">
        <f>IF($L$3640,$T3666,$N3666)</f>
        <v/>
      </c>
    </row>
    <row r="3667">
      <c r="A3667" s="90" t="n">
        <v>25</v>
      </c>
      <c r="B3667" s="91">
        <f>EDATE($B3666,1)</f>
        <v/>
      </c>
      <c r="C3667" s="92">
        <f>EOMONTH($B3667,0)</f>
        <v/>
      </c>
      <c r="D3667" s="87">
        <f>$C3667-$B3667+1</f>
        <v/>
      </c>
      <c r="E3667" s="87">
        <f>MONTH($B3667)</f>
        <v/>
      </c>
      <c r="F3667" s="93">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$N3667*IF($O$3640=1,$O3667/$F$3640,1)</f>
        <v/>
      </c>
      <c r="T3667" s="95">
        <f>IF($G3667&lt;nr_MStartP,$S3667,$T3655*(1+IF($G3667&lt;nr_MStartP1,$M$3640,$N$3640)))</f>
        <v/>
      </c>
      <c r="U3667" s="95">
        <f>IF($L$3640,$T3667,$N3667)</f>
        <v/>
      </c>
    </row>
    <row r="3668">
      <c r="A3668" s="90" t="n">
        <v>26</v>
      </c>
      <c r="B3668" s="91">
        <f>EDATE($B3667,1)</f>
        <v/>
      </c>
      <c r="C3668" s="92">
        <f>EOMONTH($B3668,0)</f>
        <v/>
      </c>
      <c r="D3668" s="87">
        <f>$C3668-$B3668+1</f>
        <v/>
      </c>
      <c r="E3668" s="87">
        <f>MONTH($B3668)</f>
        <v/>
      </c>
      <c r="F3668" s="93">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$N3668*IF($O$3640=1,$O3668/$F$3640,1)</f>
        <v/>
      </c>
      <c r="T3668" s="95">
        <f>IF($G3668&lt;nr_MStartP,$S3668,$T3656*(1+IF($G3668&lt;nr_MStartP1,$M$3640,$N$3640)))</f>
        <v/>
      </c>
      <c r="U3668" s="95">
        <f>IF($L$3640,$T3668,$N3668)</f>
        <v/>
      </c>
    </row>
    <row r="3669">
      <c r="A3669" s="90" t="n">
        <v>27</v>
      </c>
      <c r="B3669" s="91">
        <f>EDATE($B3668,1)</f>
        <v/>
      </c>
      <c r="C3669" s="92">
        <f>EOMONTH($B3669,0)</f>
        <v/>
      </c>
      <c r="D3669" s="87">
        <f>$C3669-$B3669+1</f>
        <v/>
      </c>
      <c r="E3669" s="87">
        <f>MONTH($B3669)</f>
        <v/>
      </c>
      <c r="F3669" s="93">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$N3669*IF($O$3640=1,$O3669/$F$3640,1)</f>
        <v/>
      </c>
      <c r="T3669" s="95">
        <f>IF($G3669&lt;nr_MStartP,$S3669,$T3657*(1+IF($G3669&lt;nr_MStartP1,$M$3640,$N$3640)))</f>
        <v/>
      </c>
      <c r="U3669" s="95">
        <f>IF($L$3640,$T3669,$N3669)</f>
        <v/>
      </c>
    </row>
    <row r="3670">
      <c r="A3670" s="90" t="n">
        <v>28</v>
      </c>
      <c r="B3670" s="91">
        <f>EDATE($B3669,1)</f>
        <v/>
      </c>
      <c r="C3670" s="92">
        <f>EOMONTH($B3670,0)</f>
        <v/>
      </c>
      <c r="D3670" s="87">
        <f>$C3670-$B3670+1</f>
        <v/>
      </c>
      <c r="E3670" s="87">
        <f>MONTH($B3670)</f>
        <v/>
      </c>
      <c r="F3670" s="93">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$N3670*IF($O$3640=1,$O3670/$F$3640,1)</f>
        <v/>
      </c>
      <c r="T3670" s="95">
        <f>IF($G3670&lt;nr_MStartP,$S3670,$T3658*(1+IF($G3670&lt;nr_MStartP1,$M$3640,$N$3640)))</f>
        <v/>
      </c>
      <c r="U3670" s="95">
        <f>IF($L$3640,$T3670,$N3670)</f>
        <v/>
      </c>
    </row>
    <row r="3671">
      <c r="A3671" s="90" t="n">
        <v>29</v>
      </c>
      <c r="B3671" s="91">
        <f>EDATE($B3670,1)</f>
        <v/>
      </c>
      <c r="C3671" s="92">
        <f>EOMONTH($B3671,0)</f>
        <v/>
      </c>
      <c r="D3671" s="87">
        <f>$C3671-$B3671+1</f>
        <v/>
      </c>
      <c r="E3671" s="87">
        <f>MONTH($B3671)</f>
        <v/>
      </c>
      <c r="F3671" s="93">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$N3671*IF($O$3640=1,$O3671/$F$3640,1)</f>
        <v/>
      </c>
      <c r="T3671" s="95">
        <f>IF($G3671&lt;nr_MStartP,$S3671,$T3659*(1+IF($G3671&lt;nr_MStartP1,$M$3640,$N$3640)))</f>
        <v/>
      </c>
      <c r="U3671" s="95">
        <f>IF($L$3640,$T3671,$N3671)</f>
        <v/>
      </c>
    </row>
    <row r="3672">
      <c r="A3672" s="90" t="n">
        <v>30</v>
      </c>
      <c r="B3672" s="91">
        <f>EDATE($B3671,1)</f>
        <v/>
      </c>
      <c r="C3672" s="92">
        <f>EOMONTH($B3672,0)</f>
        <v/>
      </c>
      <c r="D3672" s="87">
        <f>$C3672-$B3672+1</f>
        <v/>
      </c>
      <c r="E3672" s="87">
        <f>MONTH($B3672)</f>
        <v/>
      </c>
      <c r="F3672" s="93">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$N3672*IF($O$3640=1,$O3672/$F$3640,1)</f>
        <v/>
      </c>
      <c r="T3672" s="95">
        <f>IF($G3672&lt;nr_MStartP,$S3672,$T3660*(1+IF($G3672&lt;nr_MStartP1,$M$3640,$N$3640)))</f>
        <v/>
      </c>
      <c r="U3672" s="95">
        <f>IF($L$3640,$T3672,$N3672)</f>
        <v/>
      </c>
    </row>
    <row r="3673">
      <c r="A3673" s="90" t="n">
        <v>31</v>
      </c>
      <c r="B3673" s="91">
        <f>EDATE($B3672,1)</f>
        <v/>
      </c>
      <c r="C3673" s="92">
        <f>EOMONTH($B3673,0)</f>
        <v/>
      </c>
      <c r="D3673" s="87">
        <f>$C3673-$B3673+1</f>
        <v/>
      </c>
      <c r="E3673" s="87">
        <f>MONTH($B3673)</f>
        <v/>
      </c>
      <c r="F3673" s="93">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$N3673*IF($O$3640=1,$O3673/$F$3640,1)</f>
        <v/>
      </c>
      <c r="T3673" s="95">
        <f>IF($G3673&lt;nr_MStartP,$S3673,$T3661*(1+IF($G3673&lt;nr_MStartP1,$M$3640,$N$3640)))</f>
        <v/>
      </c>
      <c r="U3673" s="95">
        <f>IF($L$3640,$T3673,$N3673)</f>
        <v/>
      </c>
    </row>
    <row r="3674">
      <c r="A3674" s="90" t="n">
        <v>32</v>
      </c>
      <c r="B3674" s="91">
        <f>EDATE($B3673,1)</f>
        <v/>
      </c>
      <c r="C3674" s="92">
        <f>EOMONTH($B3674,0)</f>
        <v/>
      </c>
      <c r="D3674" s="87">
        <f>$C3674-$B3674+1</f>
        <v/>
      </c>
      <c r="E3674" s="87">
        <f>MONTH($B3674)</f>
        <v/>
      </c>
      <c r="F3674" s="93">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$N3674*IF($O$3640=1,$O3674/$F$3640,1)</f>
        <v/>
      </c>
      <c r="T3674" s="95">
        <f>IF($G3674&lt;nr_MStartP,$S3674,$T3662*(1+IF($G3674&lt;nr_MStartP1,$M$3640,$N$3640)))</f>
        <v/>
      </c>
      <c r="U3674" s="95">
        <f>IF($L$3640,$T3674,$N3674)</f>
        <v/>
      </c>
    </row>
    <row r="3675">
      <c r="A3675" s="90" t="n">
        <v>33</v>
      </c>
      <c r="B3675" s="91">
        <f>EDATE($B3674,1)</f>
        <v/>
      </c>
      <c r="C3675" s="92">
        <f>EOMONTH($B3675,0)</f>
        <v/>
      </c>
      <c r="D3675" s="87">
        <f>$C3675-$B3675+1</f>
        <v/>
      </c>
      <c r="E3675" s="87">
        <f>MONTH($B3675)</f>
        <v/>
      </c>
      <c r="F3675" s="93">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$N3675*IF($O$3640=1,$O3675/$F$3640,1)</f>
        <v/>
      </c>
      <c r="T3675" s="95">
        <f>IF($G3675&lt;nr_MStartP,$S3675,$T3663*(1+IF($G3675&lt;nr_MStartP1,$M$3640,$N$3640)))</f>
        <v/>
      </c>
      <c r="U3675" s="95">
        <f>IF($L$3640,$T3675,$N3675)</f>
        <v/>
      </c>
    </row>
    <row r="3676">
      <c r="A3676" s="90" t="n">
        <v>34</v>
      </c>
      <c r="B3676" s="91">
        <f>EDATE($B3675,1)</f>
        <v/>
      </c>
      <c r="C3676" s="92">
        <f>EOMONTH($B3676,0)</f>
        <v/>
      </c>
      <c r="D3676" s="87">
        <f>$C3676-$B3676+1</f>
        <v/>
      </c>
      <c r="E3676" s="87">
        <f>MONTH($B3676)</f>
        <v/>
      </c>
      <c r="F3676" s="93">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$N3676*IF($O$3640=1,$O3676/$F$3640,1)</f>
        <v/>
      </c>
      <c r="T3676" s="95">
        <f>IF($G3676&lt;nr_MStartP,$S3676,$T3664*(1+IF($G3676&lt;nr_MStartP1,$M$3640,$N$3640)))</f>
        <v/>
      </c>
      <c r="U3676" s="95">
        <f>IF($L$3640,$T3676,$N3676)</f>
        <v/>
      </c>
    </row>
    <row r="3677">
      <c r="A3677" s="90" t="n">
        <v>35</v>
      </c>
      <c r="B3677" s="91">
        <f>EDATE($B3676,1)</f>
        <v/>
      </c>
      <c r="C3677" s="92">
        <f>EOMONTH($B3677,0)</f>
        <v/>
      </c>
      <c r="D3677" s="87">
        <f>$C3677-$B3677+1</f>
        <v/>
      </c>
      <c r="E3677" s="87">
        <f>MONTH($B3677)</f>
        <v/>
      </c>
      <c r="F3677" s="93">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$N3677*IF($O$3640=1,$O3677/$F$3640,1)</f>
        <v/>
      </c>
      <c r="T3677" s="95">
        <f>IF($G3677&lt;nr_MStartP,$S3677,$T3665*(1+IF($G3677&lt;nr_MStartP1,$M$3640,$N$3640)))</f>
        <v/>
      </c>
      <c r="U3677" s="95">
        <f>IF($L$3640,$T3677,$N3677)</f>
        <v/>
      </c>
    </row>
    <row r="3678">
      <c r="A3678" s="90" t="n">
        <v>36</v>
      </c>
      <c r="B3678" s="91">
        <f>EDATE($B3677,1)</f>
        <v/>
      </c>
      <c r="C3678" s="92">
        <f>EOMONTH($B3678,0)</f>
        <v/>
      </c>
      <c r="D3678" s="87">
        <f>$C3678-$B3678+1</f>
        <v/>
      </c>
      <c r="E3678" s="87">
        <f>MONTH($B3678)</f>
        <v/>
      </c>
      <c r="F3678" s="93">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$N3678*IF($O$3640=1,$O3678/$F$3640,1)</f>
        <v/>
      </c>
      <c r="T3678" s="95">
        <f>IF($G3678&lt;nr_MStartP,$S3678,$T3666*(1+IF($G3678&lt;nr_MStartP1,$M$3640,$N$3640)))</f>
        <v/>
      </c>
      <c r="U3678" s="95">
        <f>IF($L$3640,$T3678,$N3678)</f>
        <v/>
      </c>
    </row>
    <row r="3679">
      <c r="A3679" s="90" t="n">
        <v>37</v>
      </c>
      <c r="B3679" s="91">
        <f>EDATE($B3678,1)</f>
        <v/>
      </c>
      <c r="C3679" s="92">
        <f>EOMONTH($B3679,0)</f>
        <v/>
      </c>
      <c r="D3679" s="87">
        <f>$C3679-$B3679+1</f>
        <v/>
      </c>
      <c r="E3679" s="87">
        <f>MONTH($B3679)</f>
        <v/>
      </c>
      <c r="F3679" s="93">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$N3679*IF($O$3640=1,$O3679/$F$3640,1)</f>
        <v/>
      </c>
      <c r="T3679" s="95">
        <f>IF($G3679&lt;nr_MStartP,$S3679,$T3667*(1+IF($G3679&lt;nr_MStartP1,$M$3640,$N$3640)))</f>
        <v/>
      </c>
      <c r="U3679" s="95">
        <f>IF($L$3640,$T3679,$N3679)</f>
        <v/>
      </c>
    </row>
    <row r="3680">
      <c r="A3680" s="90" t="n">
        <v>38</v>
      </c>
      <c r="B3680" s="91">
        <f>EDATE($B3679,1)</f>
        <v/>
      </c>
      <c r="C3680" s="92">
        <f>EOMONTH($B3680,0)</f>
        <v/>
      </c>
      <c r="D3680" s="87">
        <f>$C3680-$B3680+1</f>
        <v/>
      </c>
      <c r="E3680" s="87">
        <f>MONTH($B3680)</f>
        <v/>
      </c>
      <c r="F3680" s="93">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$N3680*IF($O$3640=1,$O3680/$F$3640,1)</f>
        <v/>
      </c>
      <c r="T3680" s="95">
        <f>IF($G3680&lt;nr_MStartP,$S3680,$T3668*(1+IF($G3680&lt;nr_MStartP1,$M$3640,$N$3640)))</f>
        <v/>
      </c>
      <c r="U3680" s="95">
        <f>IF($L$3640,$T3680,$N3680)</f>
        <v/>
      </c>
    </row>
    <row r="3681">
      <c r="A3681" s="90" t="n">
        <v>39</v>
      </c>
      <c r="B3681" s="91">
        <f>EDATE($B3680,1)</f>
        <v/>
      </c>
      <c r="C3681" s="92">
        <f>EOMONTH($B3681,0)</f>
        <v/>
      </c>
      <c r="D3681" s="87">
        <f>$C3681-$B3681+1</f>
        <v/>
      </c>
      <c r="E3681" s="87">
        <f>MONTH($B3681)</f>
        <v/>
      </c>
      <c r="F3681" s="93">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$N3681*IF($O$3640=1,$O3681/$F$3640,1)</f>
        <v/>
      </c>
      <c r="T3681" s="95">
        <f>IF($G3681&lt;nr_MStartP,$S3681,$T3669*(1+IF($G3681&lt;nr_MStartP1,$M$3640,$N$3640)))</f>
        <v/>
      </c>
      <c r="U3681" s="95">
        <f>IF($L$3640,$T3681,$N3681)</f>
        <v/>
      </c>
    </row>
    <row r="3682">
      <c r="A3682" s="90" t="n">
        <v>40</v>
      </c>
      <c r="B3682" s="91">
        <f>EDATE($B3681,1)</f>
        <v/>
      </c>
      <c r="C3682" s="92">
        <f>EOMONTH($B3682,0)</f>
        <v/>
      </c>
      <c r="D3682" s="87">
        <f>$C3682-$B3682+1</f>
        <v/>
      </c>
      <c r="E3682" s="87">
        <f>MONTH($B3682)</f>
        <v/>
      </c>
      <c r="F3682" s="93">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$N3682*IF($O$3640=1,$O3682/$F$3640,1)</f>
        <v/>
      </c>
      <c r="T3682" s="95">
        <f>IF($G3682&lt;nr_MStartP,$S3682,$T3670*(1+IF($G3682&lt;nr_MStartP1,$M$3640,$N$3640)))</f>
        <v/>
      </c>
      <c r="U3682" s="95">
        <f>IF($L$3640,$T3682,$N3682)</f>
        <v/>
      </c>
    </row>
    <row r="3683">
      <c r="A3683" s="90" t="n">
        <v>41</v>
      </c>
      <c r="B3683" s="91">
        <f>EDATE($B3682,1)</f>
        <v/>
      </c>
      <c r="C3683" s="92">
        <f>EOMONTH($B3683,0)</f>
        <v/>
      </c>
      <c r="D3683" s="87">
        <f>$C3683-$B3683+1</f>
        <v/>
      </c>
      <c r="E3683" s="87">
        <f>MONTH($B3683)</f>
        <v/>
      </c>
      <c r="F3683" s="93">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$N3683*IF($O$3640=1,$O3683/$F$3640,1)</f>
        <v/>
      </c>
      <c r="T3683" s="95">
        <f>IF($G3683&lt;nr_MStartP,$S3683,$T3671*(1+IF($G3683&lt;nr_MStartP1,$M$3640,$N$3640)))</f>
        <v/>
      </c>
      <c r="U3683" s="95">
        <f>IF($L$3640,$T3683,$N3683)</f>
        <v/>
      </c>
    </row>
    <row r="3684">
      <c r="A3684" s="90" t="n">
        <v>42</v>
      </c>
      <c r="B3684" s="91">
        <f>EDATE($B3683,1)</f>
        <v/>
      </c>
      <c r="C3684" s="92">
        <f>EOMONTH($B3684,0)</f>
        <v/>
      </c>
      <c r="D3684" s="87">
        <f>$C3684-$B3684+1</f>
        <v/>
      </c>
      <c r="E3684" s="87">
        <f>MONTH($B3684)</f>
        <v/>
      </c>
      <c r="F3684" s="93">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$N3684*IF($O$3640=1,$O3684/$F$3640,1)</f>
        <v/>
      </c>
      <c r="T3684" s="95">
        <f>IF($G3684&lt;nr_MStartP,$S3684,$T3672*(1+IF($G3684&lt;nr_MStartP1,$M$3640,$N$3640)))</f>
        <v/>
      </c>
      <c r="U3684" s="95">
        <f>IF($L$3640,$T3684,$N3684)</f>
        <v/>
      </c>
    </row>
    <row r="3685">
      <c r="A3685" s="90" t="n">
        <v>43</v>
      </c>
      <c r="B3685" s="91">
        <f>EDATE($B3684,1)</f>
        <v/>
      </c>
      <c r="C3685" s="92">
        <f>EOMONTH($B3685,0)</f>
        <v/>
      </c>
      <c r="D3685" s="87">
        <f>$C3685-$B3685+1</f>
        <v/>
      </c>
      <c r="E3685" s="87">
        <f>MONTH($B3685)</f>
        <v/>
      </c>
      <c r="F3685" s="93">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$N3685*IF($O$3640=1,$O3685/$F$3640,1)</f>
        <v/>
      </c>
      <c r="T3685" s="95">
        <f>IF($G3685&lt;nr_MStartP,$S3685,$T3673*(1+IF($G3685&lt;nr_MStartP1,$M$3640,$N$3640)))</f>
        <v/>
      </c>
      <c r="U3685" s="95">
        <f>IF($L$3640,$T3685,$N3685)</f>
        <v/>
      </c>
    </row>
    <row r="3686">
      <c r="A3686" s="90" t="n">
        <v>44</v>
      </c>
      <c r="B3686" s="91">
        <f>EDATE($B3685,1)</f>
        <v/>
      </c>
      <c r="C3686" s="92">
        <f>EOMONTH($B3686,0)</f>
        <v/>
      </c>
      <c r="D3686" s="87">
        <f>$C3686-$B3686+1</f>
        <v/>
      </c>
      <c r="E3686" s="87">
        <f>MONTH($B3686)</f>
        <v/>
      </c>
      <c r="F3686" s="93">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$N3686*IF($O$3640=1,$O3686/$F$3640,1)</f>
        <v/>
      </c>
      <c r="T3686" s="95">
        <f>IF($G3686&lt;nr_MStartP,$S3686,$T3674*(1+IF($G3686&lt;nr_MStartP1,$M$3640,$N$3640)))</f>
        <v/>
      </c>
      <c r="U3686" s="95">
        <f>IF($L$3640,$T3686,$N3686)</f>
        <v/>
      </c>
    </row>
    <row r="3687">
      <c r="A3687" s="90" t="n">
        <v>45</v>
      </c>
      <c r="B3687" s="91">
        <f>EDATE($B3686,1)</f>
        <v/>
      </c>
      <c r="C3687" s="92">
        <f>EOMONTH($B3687,0)</f>
        <v/>
      </c>
      <c r="D3687" s="87">
        <f>$C3687-$B3687+1</f>
        <v/>
      </c>
      <c r="E3687" s="87">
        <f>MONTH($B3687)</f>
        <v/>
      </c>
      <c r="F3687" s="93">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$N3687*IF($O$3640=1,$O3687/$F$3640,1)</f>
        <v/>
      </c>
      <c r="T3687" s="95">
        <f>IF($G3687&lt;nr_MStartP,$S3687,$T3675*(1+IF($G3687&lt;nr_MStartP1,$M$3640,$N$3640)))</f>
        <v/>
      </c>
      <c r="U3687" s="95">
        <f>IF($L$3640,$T3687,$N3687)</f>
        <v/>
      </c>
    </row>
    <row r="3688">
      <c r="A3688" s="90" t="n">
        <v>46</v>
      </c>
      <c r="B3688" s="91">
        <f>EDATE($B3687,1)</f>
        <v/>
      </c>
      <c r="C3688" s="92">
        <f>EOMONTH($B3688,0)</f>
        <v/>
      </c>
      <c r="D3688" s="87">
        <f>$C3688-$B3688+1</f>
        <v/>
      </c>
      <c r="E3688" s="87">
        <f>MONTH($B3688)</f>
        <v/>
      </c>
      <c r="F3688" s="93">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$N3688*IF($O$3640=1,$O3688/$F$3640,1)</f>
        <v/>
      </c>
      <c r="T3688" s="95">
        <f>IF($G3688&lt;nr_MStartP,$S3688,$T3676*(1+IF($G3688&lt;nr_MStartP1,$M$3640,$N$3640)))</f>
        <v/>
      </c>
      <c r="U3688" s="95">
        <f>IF($L$3640,$T3688,$N3688)</f>
        <v/>
      </c>
    </row>
    <row r="3689">
      <c r="A3689" s="90" t="n">
        <v>47</v>
      </c>
      <c r="B3689" s="91">
        <f>EDATE($B3688,1)</f>
        <v/>
      </c>
      <c r="C3689" s="92">
        <f>EOMONTH($B3689,0)</f>
        <v/>
      </c>
      <c r="D3689" s="87">
        <f>$C3689-$B3689+1</f>
        <v/>
      </c>
      <c r="E3689" s="87">
        <f>MONTH($B3689)</f>
        <v/>
      </c>
      <c r="F3689" s="93">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$N3689*IF($O$3640=1,$O3689/$F$3640,1)</f>
        <v/>
      </c>
      <c r="T3689" s="95">
        <f>IF($G3689&lt;nr_MStartP,$S3689,$T3677*(1+IF($G3689&lt;nr_MStartP1,$M$3640,$N$3640)))</f>
        <v/>
      </c>
      <c r="U3689" s="95">
        <f>IF($L$3640,$T3689,$N3689)</f>
        <v/>
      </c>
    </row>
    <row r="3690">
      <c r="A3690" s="90" t="n">
        <v>48</v>
      </c>
      <c r="B3690" s="91">
        <f>EDATE($B3689,1)</f>
        <v/>
      </c>
      <c r="C3690" s="92">
        <f>EOMONTH($B3690,0)</f>
        <v/>
      </c>
      <c r="D3690" s="87">
        <f>$C3690-$B3690+1</f>
        <v/>
      </c>
      <c r="E3690" s="87">
        <f>MONTH($B3690)</f>
        <v/>
      </c>
      <c r="F3690" s="93">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$N3690*IF($O$3640=1,$O3690/$F$3640,1)</f>
        <v/>
      </c>
      <c r="T3690" s="95">
        <f>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04">
        <f>SUMPRODUCT($H$3643:$H$3690,$Q$3643:$Q$3690,$O$3643:$O$3690)/SUMPRODUCT($H$3643:$H$3690,$Q$3643:$Q$3690)</f>
        <v/>
      </c>
      <c r="G3691" s="20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04">
        <f>IF(N(INDEX(lr_mind,68))=0,1,INDEX(lr_mind,68))</f>
        <v/>
      </c>
      <c r="G3694" s="204">
        <f>IF(N(INDEX(lr_m0,68))=0,1,INDEX(lr_m0,68))</f>
        <v/>
      </c>
      <c r="H3694" s="73">
        <f>IF(N(INDEX(lr_m0asof,68))=0,DATE(nr_PlanYear-1,10,1),INDEX(lr_m0asof,68))</f>
        <v/>
      </c>
      <c r="I3694" s="204">
        <f>IF(N(INDEX(lr_m1,68))=0,1,INDEX(lr_m1,68))</f>
        <v/>
      </c>
      <c r="J3694" s="204">
        <f>INDEX(lr_mprior,68)</f>
        <v/>
      </c>
      <c r="K3694" s="20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93">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$N3697*IF($O$3694=1,$O3697/$F$3694,1)</f>
        <v/>
      </c>
      <c r="T3697" s="95">
        <f>IF($G3697&lt;nr_MStartP,$S3697,$T3685*(1+IF($G3697&lt;nr_MStartP1,$M$3694,$N$3694)))</f>
        <v/>
      </c>
      <c r="U3697" s="95">
        <f>IF($L$3694,$T3697,$N3697)</f>
        <v/>
      </c>
    </row>
    <row r="3698">
      <c r="A3698" s="90" t="n">
        <v>2</v>
      </c>
      <c r="B3698" s="91">
        <f>EDATE($B3697,1)</f>
        <v/>
      </c>
      <c r="C3698" s="92">
        <f>EOMONTH($B3698,0)</f>
        <v/>
      </c>
      <c r="D3698" s="87">
        <f>$C3698-$B3698+1</f>
        <v/>
      </c>
      <c r="E3698" s="87">
        <f>MONTH($B3698)</f>
        <v/>
      </c>
      <c r="F3698" s="93">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$N3698*IF($O$3694=1,$O3698/$F$3694,1)</f>
        <v/>
      </c>
      <c r="T3698" s="95">
        <f>IF($G3698&lt;nr_MStartP,$S3698,$T3686*(1+IF($G3698&lt;nr_MStartP1,$M$3694,$N$3694)))</f>
        <v/>
      </c>
      <c r="U3698" s="95">
        <f>IF($L$3694,$T3698,$N3698)</f>
        <v/>
      </c>
    </row>
    <row r="3699">
      <c r="A3699" s="90" t="n">
        <v>3</v>
      </c>
      <c r="B3699" s="91">
        <f>EDATE($B3698,1)</f>
        <v/>
      </c>
      <c r="C3699" s="92">
        <f>EOMONTH($B3699,0)</f>
        <v/>
      </c>
      <c r="D3699" s="87">
        <f>$C3699-$B3699+1</f>
        <v/>
      </c>
      <c r="E3699" s="87">
        <f>MONTH($B3699)</f>
        <v/>
      </c>
      <c r="F3699" s="93">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$N3699*IF($O$3694=1,$O3699/$F$3694,1)</f>
        <v/>
      </c>
      <c r="T3699" s="95">
        <f>IF($G3699&lt;nr_MStartP,$S3699,$T3687*(1+IF($G3699&lt;nr_MStartP1,$M$3694,$N$3694)))</f>
        <v/>
      </c>
      <c r="U3699" s="95">
        <f>IF($L$3694,$T3699,$N3699)</f>
        <v/>
      </c>
    </row>
    <row r="3700">
      <c r="A3700" s="90" t="n">
        <v>4</v>
      </c>
      <c r="B3700" s="91">
        <f>EDATE($B3699,1)</f>
        <v/>
      </c>
      <c r="C3700" s="92">
        <f>EOMONTH($B3700,0)</f>
        <v/>
      </c>
      <c r="D3700" s="87">
        <f>$C3700-$B3700+1</f>
        <v/>
      </c>
      <c r="E3700" s="87">
        <f>MONTH($B3700)</f>
        <v/>
      </c>
      <c r="F3700" s="93">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$N3700*IF($O$3694=1,$O3700/$F$3694,1)</f>
        <v/>
      </c>
      <c r="T3700" s="95">
        <f>IF($G3700&lt;nr_MStartP,$S3700,$T3688*(1+IF($G3700&lt;nr_MStartP1,$M$3694,$N$3694)))</f>
        <v/>
      </c>
      <c r="U3700" s="95">
        <f>IF($L$3694,$T3700,$N3700)</f>
        <v/>
      </c>
    </row>
    <row r="3701">
      <c r="A3701" s="90" t="n">
        <v>5</v>
      </c>
      <c r="B3701" s="91">
        <f>EDATE($B3700,1)</f>
        <v/>
      </c>
      <c r="C3701" s="92">
        <f>EOMONTH($B3701,0)</f>
        <v/>
      </c>
      <c r="D3701" s="87">
        <f>$C3701-$B3701+1</f>
        <v/>
      </c>
      <c r="E3701" s="87">
        <f>MONTH($B3701)</f>
        <v/>
      </c>
      <c r="F3701" s="93">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$N3701*IF($O$3694=1,$O3701/$F$3694,1)</f>
        <v/>
      </c>
      <c r="T3701" s="95">
        <f>IF($G3701&lt;nr_MStartP,$S3701,$T3689*(1+IF($G3701&lt;nr_MStartP1,$M$3694,$N$3694)))</f>
        <v/>
      </c>
      <c r="U3701" s="95">
        <f>IF($L$3694,$T3701,$N3701)</f>
        <v/>
      </c>
    </row>
    <row r="3702">
      <c r="A3702" s="90" t="n">
        <v>6</v>
      </c>
      <c r="B3702" s="91">
        <f>EDATE($B3701,1)</f>
        <v/>
      </c>
      <c r="C3702" s="92">
        <f>EOMONTH($B3702,0)</f>
        <v/>
      </c>
      <c r="D3702" s="87">
        <f>$C3702-$B3702+1</f>
        <v/>
      </c>
      <c r="E3702" s="87">
        <f>MONTH($B3702)</f>
        <v/>
      </c>
      <c r="F3702" s="93">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$N3702*IF($O$3694=1,$O3702/$F$3694,1)</f>
        <v/>
      </c>
      <c r="T3702" s="95">
        <f>IF($G3702&lt;nr_MStartP,$S3702,$T3690*(1+IF($G3702&lt;nr_MStartP1,$M$3694,$N$3694)))</f>
        <v/>
      </c>
      <c r="U3702" s="95">
        <f>IF($L$3694,$T3702,$N3702)</f>
        <v/>
      </c>
    </row>
    <row r="3703">
      <c r="A3703" s="90" t="n">
        <v>7</v>
      </c>
      <c r="B3703" s="91">
        <f>EDATE($B3702,1)</f>
        <v/>
      </c>
      <c r="C3703" s="92">
        <f>EOMONTH($B3703,0)</f>
        <v/>
      </c>
      <c r="D3703" s="87">
        <f>$C3703-$B3703+1</f>
        <v/>
      </c>
      <c r="E3703" s="87">
        <f>MONTH($B3703)</f>
        <v/>
      </c>
      <c r="F3703" s="93">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$N3703*IF($O$3694=1,$O3703/$F$3694,1)</f>
        <v/>
      </c>
      <c r="T3703" s="95">
        <f>IF($G3703&lt;nr_MStartP,$S3703,$T3691*(1+IF($G3703&lt;nr_MStartP1,$M$3694,$N$3694)))</f>
        <v/>
      </c>
      <c r="U3703" s="95">
        <f>IF($L$3694,$T3703,$N3703)</f>
        <v/>
      </c>
    </row>
    <row r="3704">
      <c r="A3704" s="90" t="n">
        <v>8</v>
      </c>
      <c r="B3704" s="91">
        <f>EDATE($B3703,1)</f>
        <v/>
      </c>
      <c r="C3704" s="92">
        <f>EOMONTH($B3704,0)</f>
        <v/>
      </c>
      <c r="D3704" s="87">
        <f>$C3704-$B3704+1</f>
        <v/>
      </c>
      <c r="E3704" s="87">
        <f>MONTH($B3704)</f>
        <v/>
      </c>
      <c r="F3704" s="93">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$N3704*IF($O$3694=1,$O3704/$F$3694,1)</f>
        <v/>
      </c>
      <c r="T3704" s="95">
        <f>IF($G3704&lt;nr_MStartP,$S3704,$T3692*(1+IF($G3704&lt;nr_MStartP1,$M$3694,$N$3694)))</f>
        <v/>
      </c>
      <c r="U3704" s="95">
        <f>IF($L$3694,$T3704,$N3704)</f>
        <v/>
      </c>
    </row>
    <row r="3705">
      <c r="A3705" s="90" t="n">
        <v>9</v>
      </c>
      <c r="B3705" s="91">
        <f>EDATE($B3704,1)</f>
        <v/>
      </c>
      <c r="C3705" s="92">
        <f>EOMONTH($B3705,0)</f>
        <v/>
      </c>
      <c r="D3705" s="87">
        <f>$C3705-$B3705+1</f>
        <v/>
      </c>
      <c r="E3705" s="87">
        <f>MONTH($B3705)</f>
        <v/>
      </c>
      <c r="F3705" s="93">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$N3705*IF($O$3694=1,$O3705/$F$3694,1)</f>
        <v/>
      </c>
      <c r="T3705" s="95">
        <f>IF($G3705&lt;nr_MStartP,$S3705,$T3693*(1+IF($G3705&lt;nr_MStartP1,$M$3694,$N$3694)))</f>
        <v/>
      </c>
      <c r="U3705" s="95">
        <f>IF($L$3694,$T3705,$N3705)</f>
        <v/>
      </c>
    </row>
    <row r="3706">
      <c r="A3706" s="90" t="n">
        <v>10</v>
      </c>
      <c r="B3706" s="91">
        <f>EDATE($B3705,1)</f>
        <v/>
      </c>
      <c r="C3706" s="92">
        <f>EOMONTH($B3706,0)</f>
        <v/>
      </c>
      <c r="D3706" s="87">
        <f>$C3706-$B3706+1</f>
        <v/>
      </c>
      <c r="E3706" s="87">
        <f>MONTH($B3706)</f>
        <v/>
      </c>
      <c r="F3706" s="93">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$N3706*IF($O$3694=1,$O3706/$F$3694,1)</f>
        <v/>
      </c>
      <c r="T3706" s="95">
        <f>IF($G3706&lt;nr_MStartP,$S3706,$T3694*(1+IF($G3706&lt;nr_MStartP1,$M$3694,$N$3694)))</f>
        <v/>
      </c>
      <c r="U3706" s="95">
        <f>IF($L$3694,$T3706,$N3706)</f>
        <v/>
      </c>
    </row>
    <row r="3707">
      <c r="A3707" s="90" t="n">
        <v>11</v>
      </c>
      <c r="B3707" s="91">
        <f>EDATE($B3706,1)</f>
        <v/>
      </c>
      <c r="C3707" s="92">
        <f>EOMONTH($B3707,0)</f>
        <v/>
      </c>
      <c r="D3707" s="87">
        <f>$C3707-$B3707+1</f>
        <v/>
      </c>
      <c r="E3707" s="87">
        <f>MONTH($B3707)</f>
        <v/>
      </c>
      <c r="F3707" s="93">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$N3707*IF($O$3694=1,$O3707/$F$3694,1)</f>
        <v/>
      </c>
      <c r="T3707" s="95">
        <f>IF($G3707&lt;nr_MStartP,$S3707,$T3695*(1+IF($G3707&lt;nr_MStartP1,$M$3694,$N$3694)))</f>
        <v/>
      </c>
      <c r="U3707" s="95">
        <f>IF($L$3694,$T3707,$N3707)</f>
        <v/>
      </c>
    </row>
    <row r="3708">
      <c r="A3708" s="90" t="n">
        <v>12</v>
      </c>
      <c r="B3708" s="91">
        <f>EDATE($B3707,1)</f>
        <v/>
      </c>
      <c r="C3708" s="92">
        <f>EOMONTH($B3708,0)</f>
        <v/>
      </c>
      <c r="D3708" s="87">
        <f>$C3708-$B3708+1</f>
        <v/>
      </c>
      <c r="E3708" s="87">
        <f>MONTH($B3708)</f>
        <v/>
      </c>
      <c r="F3708" s="93">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$N3708*IF($O$3694=1,$O3708/$F$3694,1)</f>
        <v/>
      </c>
      <c r="T3708" s="95">
        <f>IF($G3708&lt;nr_MStartP,$S3708,$T3696*(1+IF($G3708&lt;nr_MStartP1,$M$3694,$N$3694)))</f>
        <v/>
      </c>
      <c r="U3708" s="95">
        <f>IF($L$3694,$T3708,$N3708)</f>
        <v/>
      </c>
    </row>
    <row r="3709">
      <c r="A3709" s="90" t="n">
        <v>13</v>
      </c>
      <c r="B3709" s="91">
        <f>EDATE($B3708,1)</f>
        <v/>
      </c>
      <c r="C3709" s="92">
        <f>EOMONTH($B3709,0)</f>
        <v/>
      </c>
      <c r="D3709" s="87">
        <f>$C3709-$B3709+1</f>
        <v/>
      </c>
      <c r="E3709" s="87">
        <f>MONTH($B3709)</f>
        <v/>
      </c>
      <c r="F3709" s="93">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$N3709*IF($O$3694=1,$O3709/$F$3694,1)</f>
        <v/>
      </c>
      <c r="T3709" s="95">
        <f>IF($G3709&lt;nr_MStartP,$S3709,$T3697*(1+IF($G3709&lt;nr_MStartP1,$M$3694,$N$3694)))</f>
        <v/>
      </c>
      <c r="U3709" s="95">
        <f>IF($L$3694,$T3709,$N3709)</f>
        <v/>
      </c>
    </row>
    <row r="3710">
      <c r="A3710" s="90" t="n">
        <v>14</v>
      </c>
      <c r="B3710" s="91">
        <f>EDATE($B3709,1)</f>
        <v/>
      </c>
      <c r="C3710" s="92">
        <f>EOMONTH($B3710,0)</f>
        <v/>
      </c>
      <c r="D3710" s="87">
        <f>$C3710-$B3710+1</f>
        <v/>
      </c>
      <c r="E3710" s="87">
        <f>MONTH($B3710)</f>
        <v/>
      </c>
      <c r="F3710" s="93">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$N3710*IF($O$3694=1,$O3710/$F$3694,1)</f>
        <v/>
      </c>
      <c r="T3710" s="95">
        <f>IF($G3710&lt;nr_MStartP,$S3710,$T3698*(1+IF($G3710&lt;nr_MStartP1,$M$3694,$N$3694)))</f>
        <v/>
      </c>
      <c r="U3710" s="95">
        <f>IF($L$3694,$T3710,$N3710)</f>
        <v/>
      </c>
    </row>
    <row r="3711">
      <c r="A3711" s="90" t="n">
        <v>15</v>
      </c>
      <c r="B3711" s="91">
        <f>EDATE($B3710,1)</f>
        <v/>
      </c>
      <c r="C3711" s="92">
        <f>EOMONTH($B3711,0)</f>
        <v/>
      </c>
      <c r="D3711" s="87">
        <f>$C3711-$B3711+1</f>
        <v/>
      </c>
      <c r="E3711" s="87">
        <f>MONTH($B3711)</f>
        <v/>
      </c>
      <c r="F3711" s="93">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$N3711*IF($O$3694=1,$O3711/$F$3694,1)</f>
        <v/>
      </c>
      <c r="T3711" s="95">
        <f>IF($G3711&lt;nr_MStartP,$S3711,$T3699*(1+IF($G3711&lt;nr_MStartP1,$M$3694,$N$3694)))</f>
        <v/>
      </c>
      <c r="U3711" s="95">
        <f>IF($L$3694,$T3711,$N3711)</f>
        <v/>
      </c>
    </row>
    <row r="3712">
      <c r="A3712" s="90" t="n">
        <v>16</v>
      </c>
      <c r="B3712" s="91">
        <f>EDATE($B3711,1)</f>
        <v/>
      </c>
      <c r="C3712" s="92">
        <f>EOMONTH($B3712,0)</f>
        <v/>
      </c>
      <c r="D3712" s="87">
        <f>$C3712-$B3712+1</f>
        <v/>
      </c>
      <c r="E3712" s="87">
        <f>MONTH($B3712)</f>
        <v/>
      </c>
      <c r="F3712" s="93">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$N3712*IF($O$3694=1,$O3712/$F$3694,1)</f>
        <v/>
      </c>
      <c r="T3712" s="95">
        <f>IF($G3712&lt;nr_MStartP,$S3712,$T3700*(1+IF($G3712&lt;nr_MStartP1,$M$3694,$N$3694)))</f>
        <v/>
      </c>
      <c r="U3712" s="95">
        <f>IF($L$3694,$T3712,$N3712)</f>
        <v/>
      </c>
    </row>
    <row r="3713">
      <c r="A3713" s="90" t="n">
        <v>17</v>
      </c>
      <c r="B3713" s="91">
        <f>EDATE($B3712,1)</f>
        <v/>
      </c>
      <c r="C3713" s="92">
        <f>EOMONTH($B3713,0)</f>
        <v/>
      </c>
      <c r="D3713" s="87">
        <f>$C3713-$B3713+1</f>
        <v/>
      </c>
      <c r="E3713" s="87">
        <f>MONTH($B3713)</f>
        <v/>
      </c>
      <c r="F3713" s="93">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$N3713*IF($O$3694=1,$O3713/$F$3694,1)</f>
        <v/>
      </c>
      <c r="T3713" s="95">
        <f>IF($G3713&lt;nr_MStartP,$S3713,$T3701*(1+IF($G3713&lt;nr_MStartP1,$M$3694,$N$3694)))</f>
        <v/>
      </c>
      <c r="U3713" s="95">
        <f>IF($L$3694,$T3713,$N3713)</f>
        <v/>
      </c>
    </row>
    <row r="3714">
      <c r="A3714" s="90" t="n">
        <v>18</v>
      </c>
      <c r="B3714" s="91">
        <f>EDATE($B3713,1)</f>
        <v/>
      </c>
      <c r="C3714" s="92">
        <f>EOMONTH($B3714,0)</f>
        <v/>
      </c>
      <c r="D3714" s="87">
        <f>$C3714-$B3714+1</f>
        <v/>
      </c>
      <c r="E3714" s="87">
        <f>MONTH($B3714)</f>
        <v/>
      </c>
      <c r="F3714" s="93">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$N3714*IF($O$3694=1,$O3714/$F$3694,1)</f>
        <v/>
      </c>
      <c r="T3714" s="95">
        <f>IF($G3714&lt;nr_MStartP,$S3714,$T3702*(1+IF($G3714&lt;nr_MStartP1,$M$3694,$N$3694)))</f>
        <v/>
      </c>
      <c r="U3714" s="95">
        <f>IF($L$3694,$T3714,$N3714)</f>
        <v/>
      </c>
    </row>
    <row r="3715">
      <c r="A3715" s="90" t="n">
        <v>19</v>
      </c>
      <c r="B3715" s="91">
        <f>EDATE($B3714,1)</f>
        <v/>
      </c>
      <c r="C3715" s="92">
        <f>EOMONTH($B3715,0)</f>
        <v/>
      </c>
      <c r="D3715" s="87">
        <f>$C3715-$B3715+1</f>
        <v/>
      </c>
      <c r="E3715" s="87">
        <f>MONTH($B3715)</f>
        <v/>
      </c>
      <c r="F3715" s="93">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$N3715*IF($O$3694=1,$O3715/$F$3694,1)</f>
        <v/>
      </c>
      <c r="T3715" s="95">
        <f>IF($G3715&lt;nr_MStartP,$S3715,$T3703*(1+IF($G3715&lt;nr_MStartP1,$M$3694,$N$3694)))</f>
        <v/>
      </c>
      <c r="U3715" s="95">
        <f>IF($L$3694,$T3715,$N3715)</f>
        <v/>
      </c>
    </row>
    <row r="3716">
      <c r="A3716" s="90" t="n">
        <v>20</v>
      </c>
      <c r="B3716" s="91">
        <f>EDATE($B3715,1)</f>
        <v/>
      </c>
      <c r="C3716" s="92">
        <f>EOMONTH($B3716,0)</f>
        <v/>
      </c>
      <c r="D3716" s="87">
        <f>$C3716-$B3716+1</f>
        <v/>
      </c>
      <c r="E3716" s="87">
        <f>MONTH($B3716)</f>
        <v/>
      </c>
      <c r="F3716" s="93">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$N3716*IF($O$3694=1,$O3716/$F$3694,1)</f>
        <v/>
      </c>
      <c r="T3716" s="95">
        <f>IF($G3716&lt;nr_MStartP,$S3716,$T3704*(1+IF($G3716&lt;nr_MStartP1,$M$3694,$N$3694)))</f>
        <v/>
      </c>
      <c r="U3716" s="95">
        <f>IF($L$3694,$T3716,$N3716)</f>
        <v/>
      </c>
    </row>
    <row r="3717">
      <c r="A3717" s="90" t="n">
        <v>21</v>
      </c>
      <c r="B3717" s="91">
        <f>EDATE($B3716,1)</f>
        <v/>
      </c>
      <c r="C3717" s="92">
        <f>EOMONTH($B3717,0)</f>
        <v/>
      </c>
      <c r="D3717" s="87">
        <f>$C3717-$B3717+1</f>
        <v/>
      </c>
      <c r="E3717" s="87">
        <f>MONTH($B3717)</f>
        <v/>
      </c>
      <c r="F3717" s="93">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$N3717*IF($O$3694=1,$O3717/$F$3694,1)</f>
        <v/>
      </c>
      <c r="T3717" s="95">
        <f>IF($G3717&lt;nr_MStartP,$S3717,$T3705*(1+IF($G3717&lt;nr_MStartP1,$M$3694,$N$3694)))</f>
        <v/>
      </c>
      <c r="U3717" s="95">
        <f>IF($L$3694,$T3717,$N3717)</f>
        <v/>
      </c>
    </row>
    <row r="3718">
      <c r="A3718" s="90" t="n">
        <v>22</v>
      </c>
      <c r="B3718" s="91">
        <f>EDATE($B3717,1)</f>
        <v/>
      </c>
      <c r="C3718" s="92">
        <f>EOMONTH($B3718,0)</f>
        <v/>
      </c>
      <c r="D3718" s="87">
        <f>$C3718-$B3718+1</f>
        <v/>
      </c>
      <c r="E3718" s="87">
        <f>MONTH($B3718)</f>
        <v/>
      </c>
      <c r="F3718" s="93">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$N3718*IF($O$3694=1,$O3718/$F$3694,1)</f>
        <v/>
      </c>
      <c r="T3718" s="95">
        <f>IF($G3718&lt;nr_MStartP,$S3718,$T3706*(1+IF($G3718&lt;nr_MStartP1,$M$3694,$N$3694)))</f>
        <v/>
      </c>
      <c r="U3718" s="95">
        <f>IF($L$3694,$T3718,$N3718)</f>
        <v/>
      </c>
    </row>
    <row r="3719">
      <c r="A3719" s="90" t="n">
        <v>23</v>
      </c>
      <c r="B3719" s="91">
        <f>EDATE($B3718,1)</f>
        <v/>
      </c>
      <c r="C3719" s="92">
        <f>EOMONTH($B3719,0)</f>
        <v/>
      </c>
      <c r="D3719" s="87">
        <f>$C3719-$B3719+1</f>
        <v/>
      </c>
      <c r="E3719" s="87">
        <f>MONTH($B3719)</f>
        <v/>
      </c>
      <c r="F3719" s="93">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$N3719*IF($O$3694=1,$O3719/$F$3694,1)</f>
        <v/>
      </c>
      <c r="T3719" s="95">
        <f>IF($G3719&lt;nr_MStartP,$S3719,$T3707*(1+IF($G3719&lt;nr_MStartP1,$M$3694,$N$3694)))</f>
        <v/>
      </c>
      <c r="U3719" s="95">
        <f>IF($L$3694,$T3719,$N3719)</f>
        <v/>
      </c>
    </row>
    <row r="3720">
      <c r="A3720" s="90" t="n">
        <v>24</v>
      </c>
      <c r="B3720" s="91">
        <f>EDATE($B3719,1)</f>
        <v/>
      </c>
      <c r="C3720" s="92">
        <f>EOMONTH($B3720,0)</f>
        <v/>
      </c>
      <c r="D3720" s="87">
        <f>$C3720-$B3720+1</f>
        <v/>
      </c>
      <c r="E3720" s="87">
        <f>MONTH($B3720)</f>
        <v/>
      </c>
      <c r="F3720" s="93">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$N3720*IF($O$3694=1,$O3720/$F$3694,1)</f>
        <v/>
      </c>
      <c r="T3720" s="95">
        <f>IF($G3720&lt;nr_MStartP,$S3720,$T3708*(1+IF($G3720&lt;nr_MStartP1,$M$3694,$N$3694)))</f>
        <v/>
      </c>
      <c r="U3720" s="95">
        <f>IF($L$3694,$T3720,$N3720)</f>
        <v/>
      </c>
    </row>
    <row r="3721">
      <c r="A3721" s="90" t="n">
        <v>25</v>
      </c>
      <c r="B3721" s="91">
        <f>EDATE($B3720,1)</f>
        <v/>
      </c>
      <c r="C3721" s="92">
        <f>EOMONTH($B3721,0)</f>
        <v/>
      </c>
      <c r="D3721" s="87">
        <f>$C3721-$B3721+1</f>
        <v/>
      </c>
      <c r="E3721" s="87">
        <f>MONTH($B3721)</f>
        <v/>
      </c>
      <c r="F3721" s="93">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$N3721*IF($O$3694=1,$O3721/$F$3694,1)</f>
        <v/>
      </c>
      <c r="T3721" s="95">
        <f>IF($G3721&lt;nr_MStartP,$S3721,$T3709*(1+IF($G3721&lt;nr_MStartP1,$M$3694,$N$3694)))</f>
        <v/>
      </c>
      <c r="U3721" s="95">
        <f>IF($L$3694,$T3721,$N3721)</f>
        <v/>
      </c>
    </row>
    <row r="3722">
      <c r="A3722" s="90" t="n">
        <v>26</v>
      </c>
      <c r="B3722" s="91">
        <f>EDATE($B3721,1)</f>
        <v/>
      </c>
      <c r="C3722" s="92">
        <f>EOMONTH($B3722,0)</f>
        <v/>
      </c>
      <c r="D3722" s="87">
        <f>$C3722-$B3722+1</f>
        <v/>
      </c>
      <c r="E3722" s="87">
        <f>MONTH($B3722)</f>
        <v/>
      </c>
      <c r="F3722" s="93">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$N3722*IF($O$3694=1,$O3722/$F$3694,1)</f>
        <v/>
      </c>
      <c r="T3722" s="95">
        <f>IF($G3722&lt;nr_MStartP,$S3722,$T3710*(1+IF($G3722&lt;nr_MStartP1,$M$3694,$N$3694)))</f>
        <v/>
      </c>
      <c r="U3722" s="95">
        <f>IF($L$3694,$T3722,$N3722)</f>
        <v/>
      </c>
    </row>
    <row r="3723">
      <c r="A3723" s="90" t="n">
        <v>27</v>
      </c>
      <c r="B3723" s="91">
        <f>EDATE($B3722,1)</f>
        <v/>
      </c>
      <c r="C3723" s="92">
        <f>EOMONTH($B3723,0)</f>
        <v/>
      </c>
      <c r="D3723" s="87">
        <f>$C3723-$B3723+1</f>
        <v/>
      </c>
      <c r="E3723" s="87">
        <f>MONTH($B3723)</f>
        <v/>
      </c>
      <c r="F3723" s="93">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$N3723*IF($O$3694=1,$O3723/$F$3694,1)</f>
        <v/>
      </c>
      <c r="T3723" s="95">
        <f>IF($G3723&lt;nr_MStartP,$S3723,$T3711*(1+IF($G3723&lt;nr_MStartP1,$M$3694,$N$3694)))</f>
        <v/>
      </c>
      <c r="U3723" s="95">
        <f>IF($L$3694,$T3723,$N3723)</f>
        <v/>
      </c>
    </row>
    <row r="3724">
      <c r="A3724" s="90" t="n">
        <v>28</v>
      </c>
      <c r="B3724" s="91">
        <f>EDATE($B3723,1)</f>
        <v/>
      </c>
      <c r="C3724" s="92">
        <f>EOMONTH($B3724,0)</f>
        <v/>
      </c>
      <c r="D3724" s="87">
        <f>$C3724-$B3724+1</f>
        <v/>
      </c>
      <c r="E3724" s="87">
        <f>MONTH($B3724)</f>
        <v/>
      </c>
      <c r="F3724" s="93">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$N3724*IF($O$3694=1,$O3724/$F$3694,1)</f>
        <v/>
      </c>
      <c r="T3724" s="95">
        <f>IF($G3724&lt;nr_MStartP,$S3724,$T3712*(1+IF($G3724&lt;nr_MStartP1,$M$3694,$N$3694)))</f>
        <v/>
      </c>
      <c r="U3724" s="95">
        <f>IF($L$3694,$T3724,$N3724)</f>
        <v/>
      </c>
    </row>
    <row r="3725">
      <c r="A3725" s="90" t="n">
        <v>29</v>
      </c>
      <c r="B3725" s="91">
        <f>EDATE($B3724,1)</f>
        <v/>
      </c>
      <c r="C3725" s="92">
        <f>EOMONTH($B3725,0)</f>
        <v/>
      </c>
      <c r="D3725" s="87">
        <f>$C3725-$B3725+1</f>
        <v/>
      </c>
      <c r="E3725" s="87">
        <f>MONTH($B3725)</f>
        <v/>
      </c>
      <c r="F3725" s="93">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$N3725*IF($O$3694=1,$O3725/$F$3694,1)</f>
        <v/>
      </c>
      <c r="T3725" s="95">
        <f>IF($G3725&lt;nr_MStartP,$S3725,$T3713*(1+IF($G3725&lt;nr_MStartP1,$M$3694,$N$3694)))</f>
        <v/>
      </c>
      <c r="U3725" s="95">
        <f>IF($L$3694,$T3725,$N3725)</f>
        <v/>
      </c>
    </row>
    <row r="3726">
      <c r="A3726" s="90" t="n">
        <v>30</v>
      </c>
      <c r="B3726" s="91">
        <f>EDATE($B3725,1)</f>
        <v/>
      </c>
      <c r="C3726" s="92">
        <f>EOMONTH($B3726,0)</f>
        <v/>
      </c>
      <c r="D3726" s="87">
        <f>$C3726-$B3726+1</f>
        <v/>
      </c>
      <c r="E3726" s="87">
        <f>MONTH($B3726)</f>
        <v/>
      </c>
      <c r="F3726" s="93">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$N3726*IF($O$3694=1,$O3726/$F$3694,1)</f>
        <v/>
      </c>
      <c r="T3726" s="95">
        <f>IF($G3726&lt;nr_MStartP,$S3726,$T3714*(1+IF($G3726&lt;nr_MStartP1,$M$3694,$N$3694)))</f>
        <v/>
      </c>
      <c r="U3726" s="95">
        <f>IF($L$3694,$T3726,$N3726)</f>
        <v/>
      </c>
    </row>
    <row r="3727">
      <c r="A3727" s="90" t="n">
        <v>31</v>
      </c>
      <c r="B3727" s="91">
        <f>EDATE($B3726,1)</f>
        <v/>
      </c>
      <c r="C3727" s="92">
        <f>EOMONTH($B3727,0)</f>
        <v/>
      </c>
      <c r="D3727" s="87">
        <f>$C3727-$B3727+1</f>
        <v/>
      </c>
      <c r="E3727" s="87">
        <f>MONTH($B3727)</f>
        <v/>
      </c>
      <c r="F3727" s="93">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$N3727*IF($O$3694=1,$O3727/$F$3694,1)</f>
        <v/>
      </c>
      <c r="T3727" s="95">
        <f>IF($G3727&lt;nr_MStartP,$S3727,$T3715*(1+IF($G3727&lt;nr_MStartP1,$M$3694,$N$3694)))</f>
        <v/>
      </c>
      <c r="U3727" s="95">
        <f>IF($L$3694,$T3727,$N3727)</f>
        <v/>
      </c>
    </row>
    <row r="3728">
      <c r="A3728" s="90" t="n">
        <v>32</v>
      </c>
      <c r="B3728" s="91">
        <f>EDATE($B3727,1)</f>
        <v/>
      </c>
      <c r="C3728" s="92">
        <f>EOMONTH($B3728,0)</f>
        <v/>
      </c>
      <c r="D3728" s="87">
        <f>$C3728-$B3728+1</f>
        <v/>
      </c>
      <c r="E3728" s="87">
        <f>MONTH($B3728)</f>
        <v/>
      </c>
      <c r="F3728" s="93">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$N3728*IF($O$3694=1,$O3728/$F$3694,1)</f>
        <v/>
      </c>
      <c r="T3728" s="95">
        <f>IF($G3728&lt;nr_MStartP,$S3728,$T3716*(1+IF($G3728&lt;nr_MStartP1,$M$3694,$N$3694)))</f>
        <v/>
      </c>
      <c r="U3728" s="95">
        <f>IF($L$3694,$T3728,$N3728)</f>
        <v/>
      </c>
    </row>
    <row r="3729">
      <c r="A3729" s="90" t="n">
        <v>33</v>
      </c>
      <c r="B3729" s="91">
        <f>EDATE($B3728,1)</f>
        <v/>
      </c>
      <c r="C3729" s="92">
        <f>EOMONTH($B3729,0)</f>
        <v/>
      </c>
      <c r="D3729" s="87">
        <f>$C3729-$B3729+1</f>
        <v/>
      </c>
      <c r="E3729" s="87">
        <f>MONTH($B3729)</f>
        <v/>
      </c>
      <c r="F3729" s="93">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$N3729*IF($O$3694=1,$O3729/$F$3694,1)</f>
        <v/>
      </c>
      <c r="T3729" s="95">
        <f>IF($G3729&lt;nr_MStartP,$S3729,$T3717*(1+IF($G3729&lt;nr_MStartP1,$M$3694,$N$3694)))</f>
        <v/>
      </c>
      <c r="U3729" s="95">
        <f>IF($L$3694,$T3729,$N3729)</f>
        <v/>
      </c>
    </row>
    <row r="3730">
      <c r="A3730" s="90" t="n">
        <v>34</v>
      </c>
      <c r="B3730" s="91">
        <f>EDATE($B3729,1)</f>
        <v/>
      </c>
      <c r="C3730" s="92">
        <f>EOMONTH($B3730,0)</f>
        <v/>
      </c>
      <c r="D3730" s="87">
        <f>$C3730-$B3730+1</f>
        <v/>
      </c>
      <c r="E3730" s="87">
        <f>MONTH($B3730)</f>
        <v/>
      </c>
      <c r="F3730" s="93">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$N3730*IF($O$3694=1,$O3730/$F$3694,1)</f>
        <v/>
      </c>
      <c r="T3730" s="95">
        <f>IF($G3730&lt;nr_MStartP,$S3730,$T3718*(1+IF($G3730&lt;nr_MStartP1,$M$3694,$N$3694)))</f>
        <v/>
      </c>
      <c r="U3730" s="95">
        <f>IF($L$3694,$T3730,$N3730)</f>
        <v/>
      </c>
    </row>
    <row r="3731">
      <c r="A3731" s="90" t="n">
        <v>35</v>
      </c>
      <c r="B3731" s="91">
        <f>EDATE($B3730,1)</f>
        <v/>
      </c>
      <c r="C3731" s="92">
        <f>EOMONTH($B3731,0)</f>
        <v/>
      </c>
      <c r="D3731" s="87">
        <f>$C3731-$B3731+1</f>
        <v/>
      </c>
      <c r="E3731" s="87">
        <f>MONTH($B3731)</f>
        <v/>
      </c>
      <c r="F3731" s="93">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$N3731*IF($O$3694=1,$O3731/$F$3694,1)</f>
        <v/>
      </c>
      <c r="T3731" s="95">
        <f>IF($G3731&lt;nr_MStartP,$S3731,$T3719*(1+IF($G3731&lt;nr_MStartP1,$M$3694,$N$3694)))</f>
        <v/>
      </c>
      <c r="U3731" s="95">
        <f>IF($L$3694,$T3731,$N3731)</f>
        <v/>
      </c>
    </row>
    <row r="3732">
      <c r="A3732" s="90" t="n">
        <v>36</v>
      </c>
      <c r="B3732" s="91">
        <f>EDATE($B3731,1)</f>
        <v/>
      </c>
      <c r="C3732" s="92">
        <f>EOMONTH($B3732,0)</f>
        <v/>
      </c>
      <c r="D3732" s="87">
        <f>$C3732-$B3732+1</f>
        <v/>
      </c>
      <c r="E3732" s="87">
        <f>MONTH($B3732)</f>
        <v/>
      </c>
      <c r="F3732" s="93">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$N3732*IF($O$3694=1,$O3732/$F$3694,1)</f>
        <v/>
      </c>
      <c r="T3732" s="95">
        <f>IF($G3732&lt;nr_MStartP,$S3732,$T3720*(1+IF($G3732&lt;nr_MStartP1,$M$3694,$N$3694)))</f>
        <v/>
      </c>
      <c r="U3732" s="95">
        <f>IF($L$3694,$T3732,$N3732)</f>
        <v/>
      </c>
    </row>
    <row r="3733">
      <c r="A3733" s="90" t="n">
        <v>37</v>
      </c>
      <c r="B3733" s="91">
        <f>EDATE($B3732,1)</f>
        <v/>
      </c>
      <c r="C3733" s="92">
        <f>EOMONTH($B3733,0)</f>
        <v/>
      </c>
      <c r="D3733" s="87">
        <f>$C3733-$B3733+1</f>
        <v/>
      </c>
      <c r="E3733" s="87">
        <f>MONTH($B3733)</f>
        <v/>
      </c>
      <c r="F3733" s="93">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$N3733*IF($O$3694=1,$O3733/$F$3694,1)</f>
        <v/>
      </c>
      <c r="T3733" s="95">
        <f>IF($G3733&lt;nr_MStartP,$S3733,$T3721*(1+IF($G3733&lt;nr_MStartP1,$M$3694,$N$3694)))</f>
        <v/>
      </c>
      <c r="U3733" s="95">
        <f>IF($L$3694,$T3733,$N3733)</f>
        <v/>
      </c>
    </row>
    <row r="3734">
      <c r="A3734" s="90" t="n">
        <v>38</v>
      </c>
      <c r="B3734" s="91">
        <f>EDATE($B3733,1)</f>
        <v/>
      </c>
      <c r="C3734" s="92">
        <f>EOMONTH($B3734,0)</f>
        <v/>
      </c>
      <c r="D3734" s="87">
        <f>$C3734-$B3734+1</f>
        <v/>
      </c>
      <c r="E3734" s="87">
        <f>MONTH($B3734)</f>
        <v/>
      </c>
      <c r="F3734" s="93">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$N3734*IF($O$3694=1,$O3734/$F$3694,1)</f>
        <v/>
      </c>
      <c r="T3734" s="95">
        <f>IF($G3734&lt;nr_MStartP,$S3734,$T3722*(1+IF($G3734&lt;nr_MStartP1,$M$3694,$N$3694)))</f>
        <v/>
      </c>
      <c r="U3734" s="95">
        <f>IF($L$3694,$T3734,$N3734)</f>
        <v/>
      </c>
    </row>
    <row r="3735">
      <c r="A3735" s="90" t="n">
        <v>39</v>
      </c>
      <c r="B3735" s="91">
        <f>EDATE($B3734,1)</f>
        <v/>
      </c>
      <c r="C3735" s="92">
        <f>EOMONTH($B3735,0)</f>
        <v/>
      </c>
      <c r="D3735" s="87">
        <f>$C3735-$B3735+1</f>
        <v/>
      </c>
      <c r="E3735" s="87">
        <f>MONTH($B3735)</f>
        <v/>
      </c>
      <c r="F3735" s="93">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$N3735*IF($O$3694=1,$O3735/$F$3694,1)</f>
        <v/>
      </c>
      <c r="T3735" s="95">
        <f>IF($G3735&lt;nr_MStartP,$S3735,$T3723*(1+IF($G3735&lt;nr_MStartP1,$M$3694,$N$3694)))</f>
        <v/>
      </c>
      <c r="U3735" s="95">
        <f>IF($L$3694,$T3735,$N3735)</f>
        <v/>
      </c>
    </row>
    <row r="3736">
      <c r="A3736" s="90" t="n">
        <v>40</v>
      </c>
      <c r="B3736" s="91">
        <f>EDATE($B3735,1)</f>
        <v/>
      </c>
      <c r="C3736" s="92">
        <f>EOMONTH($B3736,0)</f>
        <v/>
      </c>
      <c r="D3736" s="87">
        <f>$C3736-$B3736+1</f>
        <v/>
      </c>
      <c r="E3736" s="87">
        <f>MONTH($B3736)</f>
        <v/>
      </c>
      <c r="F3736" s="93">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$N3736*IF($O$3694=1,$O3736/$F$3694,1)</f>
        <v/>
      </c>
      <c r="T3736" s="95">
        <f>IF($G3736&lt;nr_MStartP,$S3736,$T3724*(1+IF($G3736&lt;nr_MStartP1,$M$3694,$N$3694)))</f>
        <v/>
      </c>
      <c r="U3736" s="95">
        <f>IF($L$3694,$T3736,$N3736)</f>
        <v/>
      </c>
    </row>
    <row r="3737">
      <c r="A3737" s="90" t="n">
        <v>41</v>
      </c>
      <c r="B3737" s="91">
        <f>EDATE($B3736,1)</f>
        <v/>
      </c>
      <c r="C3737" s="92">
        <f>EOMONTH($B3737,0)</f>
        <v/>
      </c>
      <c r="D3737" s="87">
        <f>$C3737-$B3737+1</f>
        <v/>
      </c>
      <c r="E3737" s="87">
        <f>MONTH($B3737)</f>
        <v/>
      </c>
      <c r="F3737" s="93">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$N3737*IF($O$3694=1,$O3737/$F$3694,1)</f>
        <v/>
      </c>
      <c r="T3737" s="95">
        <f>IF($G3737&lt;nr_MStartP,$S3737,$T3725*(1+IF($G3737&lt;nr_MStartP1,$M$3694,$N$3694)))</f>
        <v/>
      </c>
      <c r="U3737" s="95">
        <f>IF($L$3694,$T3737,$N3737)</f>
        <v/>
      </c>
    </row>
    <row r="3738">
      <c r="A3738" s="90" t="n">
        <v>42</v>
      </c>
      <c r="B3738" s="91">
        <f>EDATE($B3737,1)</f>
        <v/>
      </c>
      <c r="C3738" s="92">
        <f>EOMONTH($B3738,0)</f>
        <v/>
      </c>
      <c r="D3738" s="87">
        <f>$C3738-$B3738+1</f>
        <v/>
      </c>
      <c r="E3738" s="87">
        <f>MONTH($B3738)</f>
        <v/>
      </c>
      <c r="F3738" s="93">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$N3738*IF($O$3694=1,$O3738/$F$3694,1)</f>
        <v/>
      </c>
      <c r="T3738" s="95">
        <f>IF($G3738&lt;nr_MStartP,$S3738,$T3726*(1+IF($G3738&lt;nr_MStartP1,$M$3694,$N$3694)))</f>
        <v/>
      </c>
      <c r="U3738" s="95">
        <f>IF($L$3694,$T3738,$N3738)</f>
        <v/>
      </c>
    </row>
    <row r="3739">
      <c r="A3739" s="90" t="n">
        <v>43</v>
      </c>
      <c r="B3739" s="91">
        <f>EDATE($B3738,1)</f>
        <v/>
      </c>
      <c r="C3739" s="92">
        <f>EOMONTH($B3739,0)</f>
        <v/>
      </c>
      <c r="D3739" s="87">
        <f>$C3739-$B3739+1</f>
        <v/>
      </c>
      <c r="E3739" s="87">
        <f>MONTH($B3739)</f>
        <v/>
      </c>
      <c r="F3739" s="93">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$N3739*IF($O$3694=1,$O3739/$F$3694,1)</f>
        <v/>
      </c>
      <c r="T3739" s="95">
        <f>IF($G3739&lt;nr_MStartP,$S3739,$T3727*(1+IF($G3739&lt;nr_MStartP1,$M$3694,$N$3694)))</f>
        <v/>
      </c>
      <c r="U3739" s="95">
        <f>IF($L$3694,$T3739,$N3739)</f>
        <v/>
      </c>
    </row>
    <row r="3740">
      <c r="A3740" s="90" t="n">
        <v>44</v>
      </c>
      <c r="B3740" s="91">
        <f>EDATE($B3739,1)</f>
        <v/>
      </c>
      <c r="C3740" s="92">
        <f>EOMONTH($B3740,0)</f>
        <v/>
      </c>
      <c r="D3740" s="87">
        <f>$C3740-$B3740+1</f>
        <v/>
      </c>
      <c r="E3740" s="87">
        <f>MONTH($B3740)</f>
        <v/>
      </c>
      <c r="F3740" s="93">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$N3740*IF($O$3694=1,$O3740/$F$3694,1)</f>
        <v/>
      </c>
      <c r="T3740" s="95">
        <f>IF($G3740&lt;nr_MStartP,$S3740,$T3728*(1+IF($G3740&lt;nr_MStartP1,$M$3694,$N$3694)))</f>
        <v/>
      </c>
      <c r="U3740" s="95">
        <f>IF($L$3694,$T3740,$N3740)</f>
        <v/>
      </c>
    </row>
    <row r="3741">
      <c r="A3741" s="90" t="n">
        <v>45</v>
      </c>
      <c r="B3741" s="91">
        <f>EDATE($B3740,1)</f>
        <v/>
      </c>
      <c r="C3741" s="92">
        <f>EOMONTH($B3741,0)</f>
        <v/>
      </c>
      <c r="D3741" s="87">
        <f>$C3741-$B3741+1</f>
        <v/>
      </c>
      <c r="E3741" s="87">
        <f>MONTH($B3741)</f>
        <v/>
      </c>
      <c r="F3741" s="93">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$N3741*IF($O$3694=1,$O3741/$F$3694,1)</f>
        <v/>
      </c>
      <c r="T3741" s="95">
        <f>IF($G3741&lt;nr_MStartP,$S3741,$T3729*(1+IF($G3741&lt;nr_MStartP1,$M$3694,$N$3694)))</f>
        <v/>
      </c>
      <c r="U3741" s="95">
        <f>IF($L$3694,$T3741,$N3741)</f>
        <v/>
      </c>
    </row>
    <row r="3742">
      <c r="A3742" s="90" t="n">
        <v>46</v>
      </c>
      <c r="B3742" s="91">
        <f>EDATE($B3741,1)</f>
        <v/>
      </c>
      <c r="C3742" s="92">
        <f>EOMONTH($B3742,0)</f>
        <v/>
      </c>
      <c r="D3742" s="87">
        <f>$C3742-$B3742+1</f>
        <v/>
      </c>
      <c r="E3742" s="87">
        <f>MONTH($B3742)</f>
        <v/>
      </c>
      <c r="F3742" s="93">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$N3742*IF($O$3694=1,$O3742/$F$3694,1)</f>
        <v/>
      </c>
      <c r="T3742" s="95">
        <f>IF($G3742&lt;nr_MStartP,$S3742,$T3730*(1+IF($G3742&lt;nr_MStartP1,$M$3694,$N$3694)))</f>
        <v/>
      </c>
      <c r="U3742" s="95">
        <f>IF($L$3694,$T3742,$N3742)</f>
        <v/>
      </c>
    </row>
    <row r="3743">
      <c r="A3743" s="90" t="n">
        <v>47</v>
      </c>
      <c r="B3743" s="91">
        <f>EDATE($B3742,1)</f>
        <v/>
      </c>
      <c r="C3743" s="92">
        <f>EOMONTH($B3743,0)</f>
        <v/>
      </c>
      <c r="D3743" s="87">
        <f>$C3743-$B3743+1</f>
        <v/>
      </c>
      <c r="E3743" s="87">
        <f>MONTH($B3743)</f>
        <v/>
      </c>
      <c r="F3743" s="93">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$N3743*IF($O$3694=1,$O3743/$F$3694,1)</f>
        <v/>
      </c>
      <c r="T3743" s="95">
        <f>IF($G3743&lt;nr_MStartP,$S3743,$T3731*(1+IF($G3743&lt;nr_MStartP1,$M$3694,$N$3694)))</f>
        <v/>
      </c>
      <c r="U3743" s="95">
        <f>IF($L$3694,$T3743,$N3743)</f>
        <v/>
      </c>
    </row>
    <row r="3744">
      <c r="A3744" s="90" t="n">
        <v>48</v>
      </c>
      <c r="B3744" s="91">
        <f>EDATE($B3743,1)</f>
        <v/>
      </c>
      <c r="C3744" s="92">
        <f>EOMONTH($B3744,0)</f>
        <v/>
      </c>
      <c r="D3744" s="87">
        <f>$C3744-$B3744+1</f>
        <v/>
      </c>
      <c r="E3744" s="87">
        <f>MONTH($B3744)</f>
        <v/>
      </c>
      <c r="F3744" s="93">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$N3744*IF($O$3694=1,$O3744/$F$3694,1)</f>
        <v/>
      </c>
      <c r="T3744" s="95">
        <f>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04">
        <f>SUMPRODUCT($H$3697:$H$3744,$Q$3697:$Q$3744,$O$3697:$O$3744)/SUMPRODUCT($H$3697:$H$3744,$Q$3697:$Q$3744)</f>
        <v/>
      </c>
      <c r="G3745" s="20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04">
        <f>IF(N(INDEX(lr_mind,69))=0,1,INDEX(lr_mind,69))</f>
        <v/>
      </c>
      <c r="G3748" s="204">
        <f>IF(N(INDEX(lr_m0,69))=0,1,INDEX(lr_m0,69))</f>
        <v/>
      </c>
      <c r="H3748" s="73">
        <f>IF(N(INDEX(lr_m0asof,69))=0,DATE(nr_PlanYear-1,10,1),INDEX(lr_m0asof,69))</f>
        <v/>
      </c>
      <c r="I3748" s="204">
        <f>IF(N(INDEX(lr_m1,69))=0,1,INDEX(lr_m1,69))</f>
        <v/>
      </c>
      <c r="J3748" s="204">
        <f>INDEX(lr_mprior,69)</f>
        <v/>
      </c>
      <c r="K3748" s="20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93">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$N3751*IF($O$3748=1,$O3751/$F$3748,1)</f>
        <v/>
      </c>
      <c r="T3751" s="95">
        <f>IF($G3751&lt;nr_MStartP,$S3751,$T3739*(1+IF($G3751&lt;nr_MStartP1,$M$3748,$N$3748)))</f>
        <v/>
      </c>
      <c r="U3751" s="95">
        <f>IF($L$3748,$T3751,$N3751)</f>
        <v/>
      </c>
    </row>
    <row r="3752">
      <c r="A3752" s="90" t="n">
        <v>2</v>
      </c>
      <c r="B3752" s="91">
        <f>EDATE($B3751,1)</f>
        <v/>
      </c>
      <c r="C3752" s="92">
        <f>EOMONTH($B3752,0)</f>
        <v/>
      </c>
      <c r="D3752" s="87">
        <f>$C3752-$B3752+1</f>
        <v/>
      </c>
      <c r="E3752" s="87">
        <f>MONTH($B3752)</f>
        <v/>
      </c>
      <c r="F3752" s="93">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$N3752*IF($O$3748=1,$O3752/$F$3748,1)</f>
        <v/>
      </c>
      <c r="T3752" s="95">
        <f>IF($G3752&lt;nr_MStartP,$S3752,$T3740*(1+IF($G3752&lt;nr_MStartP1,$M$3748,$N$3748)))</f>
        <v/>
      </c>
      <c r="U3752" s="95">
        <f>IF($L$3748,$T3752,$N3752)</f>
        <v/>
      </c>
    </row>
    <row r="3753">
      <c r="A3753" s="90" t="n">
        <v>3</v>
      </c>
      <c r="B3753" s="91">
        <f>EDATE($B3752,1)</f>
        <v/>
      </c>
      <c r="C3753" s="92">
        <f>EOMONTH($B3753,0)</f>
        <v/>
      </c>
      <c r="D3753" s="87">
        <f>$C3753-$B3753+1</f>
        <v/>
      </c>
      <c r="E3753" s="87">
        <f>MONTH($B3753)</f>
        <v/>
      </c>
      <c r="F3753" s="93">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$N3753*IF($O$3748=1,$O3753/$F$3748,1)</f>
        <v/>
      </c>
      <c r="T3753" s="95">
        <f>IF($G3753&lt;nr_MStartP,$S3753,$T3741*(1+IF($G3753&lt;nr_MStartP1,$M$3748,$N$3748)))</f>
        <v/>
      </c>
      <c r="U3753" s="95">
        <f>IF($L$3748,$T3753,$N3753)</f>
        <v/>
      </c>
    </row>
    <row r="3754">
      <c r="A3754" s="90" t="n">
        <v>4</v>
      </c>
      <c r="B3754" s="91">
        <f>EDATE($B3753,1)</f>
        <v/>
      </c>
      <c r="C3754" s="92">
        <f>EOMONTH($B3754,0)</f>
        <v/>
      </c>
      <c r="D3754" s="87">
        <f>$C3754-$B3754+1</f>
        <v/>
      </c>
      <c r="E3754" s="87">
        <f>MONTH($B3754)</f>
        <v/>
      </c>
      <c r="F3754" s="93">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$N3754*IF($O$3748=1,$O3754/$F$3748,1)</f>
        <v/>
      </c>
      <c r="T3754" s="95">
        <f>IF($G3754&lt;nr_MStartP,$S3754,$T3742*(1+IF($G3754&lt;nr_MStartP1,$M$3748,$N$3748)))</f>
        <v/>
      </c>
      <c r="U3754" s="95">
        <f>IF($L$3748,$T3754,$N3754)</f>
        <v/>
      </c>
    </row>
    <row r="3755">
      <c r="A3755" s="90" t="n">
        <v>5</v>
      </c>
      <c r="B3755" s="91">
        <f>EDATE($B3754,1)</f>
        <v/>
      </c>
      <c r="C3755" s="92">
        <f>EOMONTH($B3755,0)</f>
        <v/>
      </c>
      <c r="D3755" s="87">
        <f>$C3755-$B3755+1</f>
        <v/>
      </c>
      <c r="E3755" s="87">
        <f>MONTH($B3755)</f>
        <v/>
      </c>
      <c r="F3755" s="93">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$N3755*IF($O$3748=1,$O3755/$F$3748,1)</f>
        <v/>
      </c>
      <c r="T3755" s="95">
        <f>IF($G3755&lt;nr_MStartP,$S3755,$T3743*(1+IF($G3755&lt;nr_MStartP1,$M$3748,$N$3748)))</f>
        <v/>
      </c>
      <c r="U3755" s="95">
        <f>IF($L$3748,$T3755,$N3755)</f>
        <v/>
      </c>
    </row>
    <row r="3756">
      <c r="A3756" s="90" t="n">
        <v>6</v>
      </c>
      <c r="B3756" s="91">
        <f>EDATE($B3755,1)</f>
        <v/>
      </c>
      <c r="C3756" s="92">
        <f>EOMONTH($B3756,0)</f>
        <v/>
      </c>
      <c r="D3756" s="87">
        <f>$C3756-$B3756+1</f>
        <v/>
      </c>
      <c r="E3756" s="87">
        <f>MONTH($B3756)</f>
        <v/>
      </c>
      <c r="F3756" s="93">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$N3756*IF($O$3748=1,$O3756/$F$3748,1)</f>
        <v/>
      </c>
      <c r="T3756" s="95">
        <f>IF($G3756&lt;nr_MStartP,$S3756,$T3744*(1+IF($G3756&lt;nr_MStartP1,$M$3748,$N$3748)))</f>
        <v/>
      </c>
      <c r="U3756" s="95">
        <f>IF($L$3748,$T3756,$N3756)</f>
        <v/>
      </c>
    </row>
    <row r="3757">
      <c r="A3757" s="90" t="n">
        <v>7</v>
      </c>
      <c r="B3757" s="91">
        <f>EDATE($B3756,1)</f>
        <v/>
      </c>
      <c r="C3757" s="92">
        <f>EOMONTH($B3757,0)</f>
        <v/>
      </c>
      <c r="D3757" s="87">
        <f>$C3757-$B3757+1</f>
        <v/>
      </c>
      <c r="E3757" s="87">
        <f>MONTH($B3757)</f>
        <v/>
      </c>
      <c r="F3757" s="93">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$N3757*IF($O$3748=1,$O3757/$F$3748,1)</f>
        <v/>
      </c>
      <c r="T3757" s="95">
        <f>IF($G3757&lt;nr_MStartP,$S3757,$T3745*(1+IF($G3757&lt;nr_MStartP1,$M$3748,$N$3748)))</f>
        <v/>
      </c>
      <c r="U3757" s="95">
        <f>IF($L$3748,$T3757,$N3757)</f>
        <v/>
      </c>
    </row>
    <row r="3758">
      <c r="A3758" s="90" t="n">
        <v>8</v>
      </c>
      <c r="B3758" s="91">
        <f>EDATE($B3757,1)</f>
        <v/>
      </c>
      <c r="C3758" s="92">
        <f>EOMONTH($B3758,0)</f>
        <v/>
      </c>
      <c r="D3758" s="87">
        <f>$C3758-$B3758+1</f>
        <v/>
      </c>
      <c r="E3758" s="87">
        <f>MONTH($B3758)</f>
        <v/>
      </c>
      <c r="F3758" s="93">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$N3758*IF($O$3748=1,$O3758/$F$3748,1)</f>
        <v/>
      </c>
      <c r="T3758" s="95">
        <f>IF($G3758&lt;nr_MStartP,$S3758,$T3746*(1+IF($G3758&lt;nr_MStartP1,$M$3748,$N$3748)))</f>
        <v/>
      </c>
      <c r="U3758" s="95">
        <f>IF($L$3748,$T3758,$N3758)</f>
        <v/>
      </c>
    </row>
    <row r="3759">
      <c r="A3759" s="90" t="n">
        <v>9</v>
      </c>
      <c r="B3759" s="91">
        <f>EDATE($B3758,1)</f>
        <v/>
      </c>
      <c r="C3759" s="92">
        <f>EOMONTH($B3759,0)</f>
        <v/>
      </c>
      <c r="D3759" s="87">
        <f>$C3759-$B3759+1</f>
        <v/>
      </c>
      <c r="E3759" s="87">
        <f>MONTH($B3759)</f>
        <v/>
      </c>
      <c r="F3759" s="93">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$N3759*IF($O$3748=1,$O3759/$F$3748,1)</f>
        <v/>
      </c>
      <c r="T3759" s="95">
        <f>IF($G3759&lt;nr_MStartP,$S3759,$T3747*(1+IF($G3759&lt;nr_MStartP1,$M$3748,$N$3748)))</f>
        <v/>
      </c>
      <c r="U3759" s="95">
        <f>IF($L$3748,$T3759,$N3759)</f>
        <v/>
      </c>
    </row>
    <row r="3760">
      <c r="A3760" s="90" t="n">
        <v>10</v>
      </c>
      <c r="B3760" s="91">
        <f>EDATE($B3759,1)</f>
        <v/>
      </c>
      <c r="C3760" s="92">
        <f>EOMONTH($B3760,0)</f>
        <v/>
      </c>
      <c r="D3760" s="87">
        <f>$C3760-$B3760+1</f>
        <v/>
      </c>
      <c r="E3760" s="87">
        <f>MONTH($B3760)</f>
        <v/>
      </c>
      <c r="F3760" s="93">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$N3760*IF($O$3748=1,$O3760/$F$3748,1)</f>
        <v/>
      </c>
      <c r="T3760" s="95">
        <f>IF($G3760&lt;nr_MStartP,$S3760,$T3748*(1+IF($G3760&lt;nr_MStartP1,$M$3748,$N$3748)))</f>
        <v/>
      </c>
      <c r="U3760" s="95">
        <f>IF($L$3748,$T3760,$N3760)</f>
        <v/>
      </c>
    </row>
    <row r="3761">
      <c r="A3761" s="90" t="n">
        <v>11</v>
      </c>
      <c r="B3761" s="91">
        <f>EDATE($B3760,1)</f>
        <v/>
      </c>
      <c r="C3761" s="92">
        <f>EOMONTH($B3761,0)</f>
        <v/>
      </c>
      <c r="D3761" s="87">
        <f>$C3761-$B3761+1</f>
        <v/>
      </c>
      <c r="E3761" s="87">
        <f>MONTH($B3761)</f>
        <v/>
      </c>
      <c r="F3761" s="93">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$N3761*IF($O$3748=1,$O3761/$F$3748,1)</f>
        <v/>
      </c>
      <c r="T3761" s="95">
        <f>IF($G3761&lt;nr_MStartP,$S3761,$T3749*(1+IF($G3761&lt;nr_MStartP1,$M$3748,$N$3748)))</f>
        <v/>
      </c>
      <c r="U3761" s="95">
        <f>IF($L$3748,$T3761,$N3761)</f>
        <v/>
      </c>
    </row>
    <row r="3762">
      <c r="A3762" s="90" t="n">
        <v>12</v>
      </c>
      <c r="B3762" s="91">
        <f>EDATE($B3761,1)</f>
        <v/>
      </c>
      <c r="C3762" s="92">
        <f>EOMONTH($B3762,0)</f>
        <v/>
      </c>
      <c r="D3762" s="87">
        <f>$C3762-$B3762+1</f>
        <v/>
      </c>
      <c r="E3762" s="87">
        <f>MONTH($B3762)</f>
        <v/>
      </c>
      <c r="F3762" s="93">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$N3762*IF($O$3748=1,$O3762/$F$3748,1)</f>
        <v/>
      </c>
      <c r="T3762" s="95">
        <f>IF($G3762&lt;nr_MStartP,$S3762,$T3750*(1+IF($G3762&lt;nr_MStartP1,$M$3748,$N$3748)))</f>
        <v/>
      </c>
      <c r="U3762" s="95">
        <f>IF($L$3748,$T3762,$N3762)</f>
        <v/>
      </c>
    </row>
    <row r="3763">
      <c r="A3763" s="90" t="n">
        <v>13</v>
      </c>
      <c r="B3763" s="91">
        <f>EDATE($B3762,1)</f>
        <v/>
      </c>
      <c r="C3763" s="92">
        <f>EOMONTH($B3763,0)</f>
        <v/>
      </c>
      <c r="D3763" s="87">
        <f>$C3763-$B3763+1</f>
        <v/>
      </c>
      <c r="E3763" s="87">
        <f>MONTH($B3763)</f>
        <v/>
      </c>
      <c r="F3763" s="93">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$N3763*IF($O$3748=1,$O3763/$F$3748,1)</f>
        <v/>
      </c>
      <c r="T3763" s="95">
        <f>IF($G3763&lt;nr_MStartP,$S3763,$T3751*(1+IF($G3763&lt;nr_MStartP1,$M$3748,$N$3748)))</f>
        <v/>
      </c>
      <c r="U3763" s="95">
        <f>IF($L$3748,$T3763,$N3763)</f>
        <v/>
      </c>
    </row>
    <row r="3764">
      <c r="A3764" s="90" t="n">
        <v>14</v>
      </c>
      <c r="B3764" s="91">
        <f>EDATE($B3763,1)</f>
        <v/>
      </c>
      <c r="C3764" s="92">
        <f>EOMONTH($B3764,0)</f>
        <v/>
      </c>
      <c r="D3764" s="87">
        <f>$C3764-$B3764+1</f>
        <v/>
      </c>
      <c r="E3764" s="87">
        <f>MONTH($B3764)</f>
        <v/>
      </c>
      <c r="F3764" s="93">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$N3764*IF($O$3748=1,$O3764/$F$3748,1)</f>
        <v/>
      </c>
      <c r="T3764" s="95">
        <f>IF($G3764&lt;nr_MStartP,$S3764,$T3752*(1+IF($G3764&lt;nr_MStartP1,$M$3748,$N$3748)))</f>
        <v/>
      </c>
      <c r="U3764" s="95">
        <f>IF($L$3748,$T3764,$N3764)</f>
        <v/>
      </c>
    </row>
    <row r="3765">
      <c r="A3765" s="90" t="n">
        <v>15</v>
      </c>
      <c r="B3765" s="91">
        <f>EDATE($B3764,1)</f>
        <v/>
      </c>
      <c r="C3765" s="92">
        <f>EOMONTH($B3765,0)</f>
        <v/>
      </c>
      <c r="D3765" s="87">
        <f>$C3765-$B3765+1</f>
        <v/>
      </c>
      <c r="E3765" s="87">
        <f>MONTH($B3765)</f>
        <v/>
      </c>
      <c r="F3765" s="93">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$N3765*IF($O$3748=1,$O3765/$F$3748,1)</f>
        <v/>
      </c>
      <c r="T3765" s="95">
        <f>IF($G3765&lt;nr_MStartP,$S3765,$T3753*(1+IF($G3765&lt;nr_MStartP1,$M$3748,$N$3748)))</f>
        <v/>
      </c>
      <c r="U3765" s="95">
        <f>IF($L$3748,$T3765,$N3765)</f>
        <v/>
      </c>
    </row>
    <row r="3766">
      <c r="A3766" s="90" t="n">
        <v>16</v>
      </c>
      <c r="B3766" s="91">
        <f>EDATE($B3765,1)</f>
        <v/>
      </c>
      <c r="C3766" s="92">
        <f>EOMONTH($B3766,0)</f>
        <v/>
      </c>
      <c r="D3766" s="87">
        <f>$C3766-$B3766+1</f>
        <v/>
      </c>
      <c r="E3766" s="87">
        <f>MONTH($B3766)</f>
        <v/>
      </c>
      <c r="F3766" s="93">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$N3766*IF($O$3748=1,$O3766/$F$3748,1)</f>
        <v/>
      </c>
      <c r="T3766" s="95">
        <f>IF($G3766&lt;nr_MStartP,$S3766,$T3754*(1+IF($G3766&lt;nr_MStartP1,$M$3748,$N$3748)))</f>
        <v/>
      </c>
      <c r="U3766" s="95">
        <f>IF($L$3748,$T3766,$N3766)</f>
        <v/>
      </c>
    </row>
    <row r="3767">
      <c r="A3767" s="90" t="n">
        <v>17</v>
      </c>
      <c r="B3767" s="91">
        <f>EDATE($B3766,1)</f>
        <v/>
      </c>
      <c r="C3767" s="92">
        <f>EOMONTH($B3767,0)</f>
        <v/>
      </c>
      <c r="D3767" s="87">
        <f>$C3767-$B3767+1</f>
        <v/>
      </c>
      <c r="E3767" s="87">
        <f>MONTH($B3767)</f>
        <v/>
      </c>
      <c r="F3767" s="93">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$N3767*IF($O$3748=1,$O3767/$F$3748,1)</f>
        <v/>
      </c>
      <c r="T3767" s="95">
        <f>IF($G3767&lt;nr_MStartP,$S3767,$T3755*(1+IF($G3767&lt;nr_MStartP1,$M$3748,$N$3748)))</f>
        <v/>
      </c>
      <c r="U3767" s="95">
        <f>IF($L$3748,$T3767,$N3767)</f>
        <v/>
      </c>
    </row>
    <row r="3768">
      <c r="A3768" s="90" t="n">
        <v>18</v>
      </c>
      <c r="B3768" s="91">
        <f>EDATE($B3767,1)</f>
        <v/>
      </c>
      <c r="C3768" s="92">
        <f>EOMONTH($B3768,0)</f>
        <v/>
      </c>
      <c r="D3768" s="87">
        <f>$C3768-$B3768+1</f>
        <v/>
      </c>
      <c r="E3768" s="87">
        <f>MONTH($B3768)</f>
        <v/>
      </c>
      <c r="F3768" s="93">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$N3768*IF($O$3748=1,$O3768/$F$3748,1)</f>
        <v/>
      </c>
      <c r="T3768" s="95">
        <f>IF($G3768&lt;nr_MStartP,$S3768,$T3756*(1+IF($G3768&lt;nr_MStartP1,$M$3748,$N$3748)))</f>
        <v/>
      </c>
      <c r="U3768" s="95">
        <f>IF($L$3748,$T3768,$N3768)</f>
        <v/>
      </c>
    </row>
    <row r="3769">
      <c r="A3769" s="90" t="n">
        <v>19</v>
      </c>
      <c r="B3769" s="91">
        <f>EDATE($B3768,1)</f>
        <v/>
      </c>
      <c r="C3769" s="92">
        <f>EOMONTH($B3769,0)</f>
        <v/>
      </c>
      <c r="D3769" s="87">
        <f>$C3769-$B3769+1</f>
        <v/>
      </c>
      <c r="E3769" s="87">
        <f>MONTH($B3769)</f>
        <v/>
      </c>
      <c r="F3769" s="93">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$N3769*IF($O$3748=1,$O3769/$F$3748,1)</f>
        <v/>
      </c>
      <c r="T3769" s="95">
        <f>IF($G3769&lt;nr_MStartP,$S3769,$T3757*(1+IF($G3769&lt;nr_MStartP1,$M$3748,$N$3748)))</f>
        <v/>
      </c>
      <c r="U3769" s="95">
        <f>IF($L$3748,$T3769,$N3769)</f>
        <v/>
      </c>
    </row>
    <row r="3770">
      <c r="A3770" s="90" t="n">
        <v>20</v>
      </c>
      <c r="B3770" s="91">
        <f>EDATE($B3769,1)</f>
        <v/>
      </c>
      <c r="C3770" s="92">
        <f>EOMONTH($B3770,0)</f>
        <v/>
      </c>
      <c r="D3770" s="87">
        <f>$C3770-$B3770+1</f>
        <v/>
      </c>
      <c r="E3770" s="87">
        <f>MONTH($B3770)</f>
        <v/>
      </c>
      <c r="F3770" s="93">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$N3770*IF($O$3748=1,$O3770/$F$3748,1)</f>
        <v/>
      </c>
      <c r="T3770" s="95">
        <f>IF($G3770&lt;nr_MStartP,$S3770,$T3758*(1+IF($G3770&lt;nr_MStartP1,$M$3748,$N$3748)))</f>
        <v/>
      </c>
      <c r="U3770" s="95">
        <f>IF($L$3748,$T3770,$N3770)</f>
        <v/>
      </c>
    </row>
    <row r="3771">
      <c r="A3771" s="90" t="n">
        <v>21</v>
      </c>
      <c r="B3771" s="91">
        <f>EDATE($B3770,1)</f>
        <v/>
      </c>
      <c r="C3771" s="92">
        <f>EOMONTH($B3771,0)</f>
        <v/>
      </c>
      <c r="D3771" s="87">
        <f>$C3771-$B3771+1</f>
        <v/>
      </c>
      <c r="E3771" s="87">
        <f>MONTH($B3771)</f>
        <v/>
      </c>
      <c r="F3771" s="93">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$N3771*IF($O$3748=1,$O3771/$F$3748,1)</f>
        <v/>
      </c>
      <c r="T3771" s="95">
        <f>IF($G3771&lt;nr_MStartP,$S3771,$T3759*(1+IF($G3771&lt;nr_MStartP1,$M$3748,$N$3748)))</f>
        <v/>
      </c>
      <c r="U3771" s="95">
        <f>IF($L$3748,$T3771,$N3771)</f>
        <v/>
      </c>
    </row>
    <row r="3772">
      <c r="A3772" s="90" t="n">
        <v>22</v>
      </c>
      <c r="B3772" s="91">
        <f>EDATE($B3771,1)</f>
        <v/>
      </c>
      <c r="C3772" s="92">
        <f>EOMONTH($B3772,0)</f>
        <v/>
      </c>
      <c r="D3772" s="87">
        <f>$C3772-$B3772+1</f>
        <v/>
      </c>
      <c r="E3772" s="87">
        <f>MONTH($B3772)</f>
        <v/>
      </c>
      <c r="F3772" s="93">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$N3772*IF($O$3748=1,$O3772/$F$3748,1)</f>
        <v/>
      </c>
      <c r="T3772" s="95">
        <f>IF($G3772&lt;nr_MStartP,$S3772,$T3760*(1+IF($G3772&lt;nr_MStartP1,$M$3748,$N$3748)))</f>
        <v/>
      </c>
      <c r="U3772" s="95">
        <f>IF($L$3748,$T3772,$N3772)</f>
        <v/>
      </c>
    </row>
    <row r="3773">
      <c r="A3773" s="90" t="n">
        <v>23</v>
      </c>
      <c r="B3773" s="91">
        <f>EDATE($B3772,1)</f>
        <v/>
      </c>
      <c r="C3773" s="92">
        <f>EOMONTH($B3773,0)</f>
        <v/>
      </c>
      <c r="D3773" s="87">
        <f>$C3773-$B3773+1</f>
        <v/>
      </c>
      <c r="E3773" s="87">
        <f>MONTH($B3773)</f>
        <v/>
      </c>
      <c r="F3773" s="93">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$N3773*IF($O$3748=1,$O3773/$F$3748,1)</f>
        <v/>
      </c>
      <c r="T3773" s="95">
        <f>IF($G3773&lt;nr_MStartP,$S3773,$T3761*(1+IF($G3773&lt;nr_MStartP1,$M$3748,$N$3748)))</f>
        <v/>
      </c>
      <c r="U3773" s="95">
        <f>IF($L$3748,$T3773,$N3773)</f>
        <v/>
      </c>
    </row>
    <row r="3774">
      <c r="A3774" s="90" t="n">
        <v>24</v>
      </c>
      <c r="B3774" s="91">
        <f>EDATE($B3773,1)</f>
        <v/>
      </c>
      <c r="C3774" s="92">
        <f>EOMONTH($B3774,0)</f>
        <v/>
      </c>
      <c r="D3774" s="87">
        <f>$C3774-$B3774+1</f>
        <v/>
      </c>
      <c r="E3774" s="87">
        <f>MONTH($B3774)</f>
        <v/>
      </c>
      <c r="F3774" s="93">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$N3774*IF($O$3748=1,$O3774/$F$3748,1)</f>
        <v/>
      </c>
      <c r="T3774" s="95">
        <f>IF($G3774&lt;nr_MStartP,$S3774,$T3762*(1+IF($G3774&lt;nr_MStartP1,$M$3748,$N$3748)))</f>
        <v/>
      </c>
      <c r="U3774" s="95">
        <f>IF($L$3748,$T3774,$N3774)</f>
        <v/>
      </c>
    </row>
    <row r="3775">
      <c r="A3775" s="90" t="n">
        <v>25</v>
      </c>
      <c r="B3775" s="91">
        <f>EDATE($B3774,1)</f>
        <v/>
      </c>
      <c r="C3775" s="92">
        <f>EOMONTH($B3775,0)</f>
        <v/>
      </c>
      <c r="D3775" s="87">
        <f>$C3775-$B3775+1</f>
        <v/>
      </c>
      <c r="E3775" s="87">
        <f>MONTH($B3775)</f>
        <v/>
      </c>
      <c r="F3775" s="93">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$N3775*IF($O$3748=1,$O3775/$F$3748,1)</f>
        <v/>
      </c>
      <c r="T3775" s="95">
        <f>IF($G3775&lt;nr_MStartP,$S3775,$T3763*(1+IF($G3775&lt;nr_MStartP1,$M$3748,$N$3748)))</f>
        <v/>
      </c>
      <c r="U3775" s="95">
        <f>IF($L$3748,$T3775,$N3775)</f>
        <v/>
      </c>
    </row>
    <row r="3776">
      <c r="A3776" s="90" t="n">
        <v>26</v>
      </c>
      <c r="B3776" s="91">
        <f>EDATE($B3775,1)</f>
        <v/>
      </c>
      <c r="C3776" s="92">
        <f>EOMONTH($B3776,0)</f>
        <v/>
      </c>
      <c r="D3776" s="87">
        <f>$C3776-$B3776+1</f>
        <v/>
      </c>
      <c r="E3776" s="87">
        <f>MONTH($B3776)</f>
        <v/>
      </c>
      <c r="F3776" s="93">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$N3776*IF($O$3748=1,$O3776/$F$3748,1)</f>
        <v/>
      </c>
      <c r="T3776" s="95">
        <f>IF($G3776&lt;nr_MStartP,$S3776,$T3764*(1+IF($G3776&lt;nr_MStartP1,$M$3748,$N$3748)))</f>
        <v/>
      </c>
      <c r="U3776" s="95">
        <f>IF($L$3748,$T3776,$N3776)</f>
        <v/>
      </c>
    </row>
    <row r="3777">
      <c r="A3777" s="90" t="n">
        <v>27</v>
      </c>
      <c r="B3777" s="91">
        <f>EDATE($B3776,1)</f>
        <v/>
      </c>
      <c r="C3777" s="92">
        <f>EOMONTH($B3777,0)</f>
        <v/>
      </c>
      <c r="D3777" s="87">
        <f>$C3777-$B3777+1</f>
        <v/>
      </c>
      <c r="E3777" s="87">
        <f>MONTH($B3777)</f>
        <v/>
      </c>
      <c r="F3777" s="93">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$N3777*IF($O$3748=1,$O3777/$F$3748,1)</f>
        <v/>
      </c>
      <c r="T3777" s="95">
        <f>IF($G3777&lt;nr_MStartP,$S3777,$T3765*(1+IF($G3777&lt;nr_MStartP1,$M$3748,$N$3748)))</f>
        <v/>
      </c>
      <c r="U3777" s="95">
        <f>IF($L$3748,$T3777,$N3777)</f>
        <v/>
      </c>
    </row>
    <row r="3778">
      <c r="A3778" s="90" t="n">
        <v>28</v>
      </c>
      <c r="B3778" s="91">
        <f>EDATE($B3777,1)</f>
        <v/>
      </c>
      <c r="C3778" s="92">
        <f>EOMONTH($B3778,0)</f>
        <v/>
      </c>
      <c r="D3778" s="87">
        <f>$C3778-$B3778+1</f>
        <v/>
      </c>
      <c r="E3778" s="87">
        <f>MONTH($B3778)</f>
        <v/>
      </c>
      <c r="F3778" s="93">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$N3778*IF($O$3748=1,$O3778/$F$3748,1)</f>
        <v/>
      </c>
      <c r="T3778" s="95">
        <f>IF($G3778&lt;nr_MStartP,$S3778,$T3766*(1+IF($G3778&lt;nr_MStartP1,$M$3748,$N$3748)))</f>
        <v/>
      </c>
      <c r="U3778" s="95">
        <f>IF($L$3748,$T3778,$N3778)</f>
        <v/>
      </c>
    </row>
    <row r="3779">
      <c r="A3779" s="90" t="n">
        <v>29</v>
      </c>
      <c r="B3779" s="91">
        <f>EDATE($B3778,1)</f>
        <v/>
      </c>
      <c r="C3779" s="92">
        <f>EOMONTH($B3779,0)</f>
        <v/>
      </c>
      <c r="D3779" s="87">
        <f>$C3779-$B3779+1</f>
        <v/>
      </c>
      <c r="E3779" s="87">
        <f>MONTH($B3779)</f>
        <v/>
      </c>
      <c r="F3779" s="93">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$N3779*IF($O$3748=1,$O3779/$F$3748,1)</f>
        <v/>
      </c>
      <c r="T3779" s="95">
        <f>IF($G3779&lt;nr_MStartP,$S3779,$T3767*(1+IF($G3779&lt;nr_MStartP1,$M$3748,$N$3748)))</f>
        <v/>
      </c>
      <c r="U3779" s="95">
        <f>IF($L$3748,$T3779,$N3779)</f>
        <v/>
      </c>
    </row>
    <row r="3780">
      <c r="A3780" s="90" t="n">
        <v>30</v>
      </c>
      <c r="B3780" s="91">
        <f>EDATE($B3779,1)</f>
        <v/>
      </c>
      <c r="C3780" s="92">
        <f>EOMONTH($B3780,0)</f>
        <v/>
      </c>
      <c r="D3780" s="87">
        <f>$C3780-$B3780+1</f>
        <v/>
      </c>
      <c r="E3780" s="87">
        <f>MONTH($B3780)</f>
        <v/>
      </c>
      <c r="F3780" s="93">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$N3780*IF($O$3748=1,$O3780/$F$3748,1)</f>
        <v/>
      </c>
      <c r="T3780" s="95">
        <f>IF($G3780&lt;nr_MStartP,$S3780,$T3768*(1+IF($G3780&lt;nr_MStartP1,$M$3748,$N$3748)))</f>
        <v/>
      </c>
      <c r="U3780" s="95">
        <f>IF($L$3748,$T3780,$N3780)</f>
        <v/>
      </c>
    </row>
    <row r="3781">
      <c r="A3781" s="90" t="n">
        <v>31</v>
      </c>
      <c r="B3781" s="91">
        <f>EDATE($B3780,1)</f>
        <v/>
      </c>
      <c r="C3781" s="92">
        <f>EOMONTH($B3781,0)</f>
        <v/>
      </c>
      <c r="D3781" s="87">
        <f>$C3781-$B3781+1</f>
        <v/>
      </c>
      <c r="E3781" s="87">
        <f>MONTH($B3781)</f>
        <v/>
      </c>
      <c r="F3781" s="93">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$N3781*IF($O$3748=1,$O3781/$F$3748,1)</f>
        <v/>
      </c>
      <c r="T3781" s="95">
        <f>IF($G3781&lt;nr_MStartP,$S3781,$T3769*(1+IF($G3781&lt;nr_MStartP1,$M$3748,$N$3748)))</f>
        <v/>
      </c>
      <c r="U3781" s="95">
        <f>IF($L$3748,$T3781,$N3781)</f>
        <v/>
      </c>
    </row>
    <row r="3782">
      <c r="A3782" s="90" t="n">
        <v>32</v>
      </c>
      <c r="B3782" s="91">
        <f>EDATE($B3781,1)</f>
        <v/>
      </c>
      <c r="C3782" s="92">
        <f>EOMONTH($B3782,0)</f>
        <v/>
      </c>
      <c r="D3782" s="87">
        <f>$C3782-$B3782+1</f>
        <v/>
      </c>
      <c r="E3782" s="87">
        <f>MONTH($B3782)</f>
        <v/>
      </c>
      <c r="F3782" s="93">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$N3782*IF($O$3748=1,$O3782/$F$3748,1)</f>
        <v/>
      </c>
      <c r="T3782" s="95">
        <f>IF($G3782&lt;nr_MStartP,$S3782,$T3770*(1+IF($G3782&lt;nr_MStartP1,$M$3748,$N$3748)))</f>
        <v/>
      </c>
      <c r="U3782" s="95">
        <f>IF($L$3748,$T3782,$N3782)</f>
        <v/>
      </c>
    </row>
    <row r="3783">
      <c r="A3783" s="90" t="n">
        <v>33</v>
      </c>
      <c r="B3783" s="91">
        <f>EDATE($B3782,1)</f>
        <v/>
      </c>
      <c r="C3783" s="92">
        <f>EOMONTH($B3783,0)</f>
        <v/>
      </c>
      <c r="D3783" s="87">
        <f>$C3783-$B3783+1</f>
        <v/>
      </c>
      <c r="E3783" s="87">
        <f>MONTH($B3783)</f>
        <v/>
      </c>
      <c r="F3783" s="93">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$N3783*IF($O$3748=1,$O3783/$F$3748,1)</f>
        <v/>
      </c>
      <c r="T3783" s="95">
        <f>IF($G3783&lt;nr_MStartP,$S3783,$T3771*(1+IF($G3783&lt;nr_MStartP1,$M$3748,$N$3748)))</f>
        <v/>
      </c>
      <c r="U3783" s="95">
        <f>IF($L$3748,$T3783,$N3783)</f>
        <v/>
      </c>
    </row>
    <row r="3784">
      <c r="A3784" s="90" t="n">
        <v>34</v>
      </c>
      <c r="B3784" s="91">
        <f>EDATE($B3783,1)</f>
        <v/>
      </c>
      <c r="C3784" s="92">
        <f>EOMONTH($B3784,0)</f>
        <v/>
      </c>
      <c r="D3784" s="87">
        <f>$C3784-$B3784+1</f>
        <v/>
      </c>
      <c r="E3784" s="87">
        <f>MONTH($B3784)</f>
        <v/>
      </c>
      <c r="F3784" s="93">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$N3784*IF($O$3748=1,$O3784/$F$3748,1)</f>
        <v/>
      </c>
      <c r="T3784" s="95">
        <f>IF($G3784&lt;nr_MStartP,$S3784,$T3772*(1+IF($G3784&lt;nr_MStartP1,$M$3748,$N$3748)))</f>
        <v/>
      </c>
      <c r="U3784" s="95">
        <f>IF($L$3748,$T3784,$N3784)</f>
        <v/>
      </c>
    </row>
    <row r="3785">
      <c r="A3785" s="90" t="n">
        <v>35</v>
      </c>
      <c r="B3785" s="91">
        <f>EDATE($B3784,1)</f>
        <v/>
      </c>
      <c r="C3785" s="92">
        <f>EOMONTH($B3785,0)</f>
        <v/>
      </c>
      <c r="D3785" s="87">
        <f>$C3785-$B3785+1</f>
        <v/>
      </c>
      <c r="E3785" s="87">
        <f>MONTH($B3785)</f>
        <v/>
      </c>
      <c r="F3785" s="93">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$N3785*IF($O$3748=1,$O3785/$F$3748,1)</f>
        <v/>
      </c>
      <c r="T3785" s="95">
        <f>IF($G3785&lt;nr_MStartP,$S3785,$T3773*(1+IF($G3785&lt;nr_MStartP1,$M$3748,$N$3748)))</f>
        <v/>
      </c>
      <c r="U3785" s="95">
        <f>IF($L$3748,$T3785,$N3785)</f>
        <v/>
      </c>
    </row>
    <row r="3786">
      <c r="A3786" s="90" t="n">
        <v>36</v>
      </c>
      <c r="B3786" s="91">
        <f>EDATE($B3785,1)</f>
        <v/>
      </c>
      <c r="C3786" s="92">
        <f>EOMONTH($B3786,0)</f>
        <v/>
      </c>
      <c r="D3786" s="87">
        <f>$C3786-$B3786+1</f>
        <v/>
      </c>
      <c r="E3786" s="87">
        <f>MONTH($B3786)</f>
        <v/>
      </c>
      <c r="F3786" s="93">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$N3786*IF($O$3748=1,$O3786/$F$3748,1)</f>
        <v/>
      </c>
      <c r="T3786" s="95">
        <f>IF($G3786&lt;nr_MStartP,$S3786,$T3774*(1+IF($G3786&lt;nr_MStartP1,$M$3748,$N$3748)))</f>
        <v/>
      </c>
      <c r="U3786" s="95">
        <f>IF($L$3748,$T3786,$N3786)</f>
        <v/>
      </c>
    </row>
    <row r="3787">
      <c r="A3787" s="90" t="n">
        <v>37</v>
      </c>
      <c r="B3787" s="91">
        <f>EDATE($B3786,1)</f>
        <v/>
      </c>
      <c r="C3787" s="92">
        <f>EOMONTH($B3787,0)</f>
        <v/>
      </c>
      <c r="D3787" s="87">
        <f>$C3787-$B3787+1</f>
        <v/>
      </c>
      <c r="E3787" s="87">
        <f>MONTH($B3787)</f>
        <v/>
      </c>
      <c r="F3787" s="93">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$N3787*IF($O$3748=1,$O3787/$F$3748,1)</f>
        <v/>
      </c>
      <c r="T3787" s="95">
        <f>IF($G3787&lt;nr_MStartP,$S3787,$T3775*(1+IF($G3787&lt;nr_MStartP1,$M$3748,$N$3748)))</f>
        <v/>
      </c>
      <c r="U3787" s="95">
        <f>IF($L$3748,$T3787,$N3787)</f>
        <v/>
      </c>
    </row>
    <row r="3788">
      <c r="A3788" s="90" t="n">
        <v>38</v>
      </c>
      <c r="B3788" s="91">
        <f>EDATE($B3787,1)</f>
        <v/>
      </c>
      <c r="C3788" s="92">
        <f>EOMONTH($B3788,0)</f>
        <v/>
      </c>
      <c r="D3788" s="87">
        <f>$C3788-$B3788+1</f>
        <v/>
      </c>
      <c r="E3788" s="87">
        <f>MONTH($B3788)</f>
        <v/>
      </c>
      <c r="F3788" s="93">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$N3788*IF($O$3748=1,$O3788/$F$3748,1)</f>
        <v/>
      </c>
      <c r="T3788" s="95">
        <f>IF($G3788&lt;nr_MStartP,$S3788,$T3776*(1+IF($G3788&lt;nr_MStartP1,$M$3748,$N$3748)))</f>
        <v/>
      </c>
      <c r="U3788" s="95">
        <f>IF($L$3748,$T3788,$N3788)</f>
        <v/>
      </c>
    </row>
    <row r="3789">
      <c r="A3789" s="90" t="n">
        <v>39</v>
      </c>
      <c r="B3789" s="91">
        <f>EDATE($B3788,1)</f>
        <v/>
      </c>
      <c r="C3789" s="92">
        <f>EOMONTH($B3789,0)</f>
        <v/>
      </c>
      <c r="D3789" s="87">
        <f>$C3789-$B3789+1</f>
        <v/>
      </c>
      <c r="E3789" s="87">
        <f>MONTH($B3789)</f>
        <v/>
      </c>
      <c r="F3789" s="93">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$N3789*IF($O$3748=1,$O3789/$F$3748,1)</f>
        <v/>
      </c>
      <c r="T3789" s="95">
        <f>IF($G3789&lt;nr_MStartP,$S3789,$T3777*(1+IF($G3789&lt;nr_MStartP1,$M$3748,$N$3748)))</f>
        <v/>
      </c>
      <c r="U3789" s="95">
        <f>IF($L$3748,$T3789,$N3789)</f>
        <v/>
      </c>
    </row>
    <row r="3790">
      <c r="A3790" s="90" t="n">
        <v>40</v>
      </c>
      <c r="B3790" s="91">
        <f>EDATE($B3789,1)</f>
        <v/>
      </c>
      <c r="C3790" s="92">
        <f>EOMONTH($B3790,0)</f>
        <v/>
      </c>
      <c r="D3790" s="87">
        <f>$C3790-$B3790+1</f>
        <v/>
      </c>
      <c r="E3790" s="87">
        <f>MONTH($B3790)</f>
        <v/>
      </c>
      <c r="F3790" s="93">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$N3790*IF($O$3748=1,$O3790/$F$3748,1)</f>
        <v/>
      </c>
      <c r="T3790" s="95">
        <f>IF($G3790&lt;nr_MStartP,$S3790,$T3778*(1+IF($G3790&lt;nr_MStartP1,$M$3748,$N$3748)))</f>
        <v/>
      </c>
      <c r="U3790" s="95">
        <f>IF($L$3748,$T3790,$N3790)</f>
        <v/>
      </c>
    </row>
    <row r="3791">
      <c r="A3791" s="90" t="n">
        <v>41</v>
      </c>
      <c r="B3791" s="91">
        <f>EDATE($B3790,1)</f>
        <v/>
      </c>
      <c r="C3791" s="92">
        <f>EOMONTH($B3791,0)</f>
        <v/>
      </c>
      <c r="D3791" s="87">
        <f>$C3791-$B3791+1</f>
        <v/>
      </c>
      <c r="E3791" s="87">
        <f>MONTH($B3791)</f>
        <v/>
      </c>
      <c r="F3791" s="93">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$N3791*IF($O$3748=1,$O3791/$F$3748,1)</f>
        <v/>
      </c>
      <c r="T3791" s="95">
        <f>IF($G3791&lt;nr_MStartP,$S3791,$T3779*(1+IF($G3791&lt;nr_MStartP1,$M$3748,$N$3748)))</f>
        <v/>
      </c>
      <c r="U3791" s="95">
        <f>IF($L$3748,$T3791,$N3791)</f>
        <v/>
      </c>
    </row>
    <row r="3792">
      <c r="A3792" s="90" t="n">
        <v>42</v>
      </c>
      <c r="B3792" s="91">
        <f>EDATE($B3791,1)</f>
        <v/>
      </c>
      <c r="C3792" s="92">
        <f>EOMONTH($B3792,0)</f>
        <v/>
      </c>
      <c r="D3792" s="87">
        <f>$C3792-$B3792+1</f>
        <v/>
      </c>
      <c r="E3792" s="87">
        <f>MONTH($B3792)</f>
        <v/>
      </c>
      <c r="F3792" s="93">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$N3792*IF($O$3748=1,$O3792/$F$3748,1)</f>
        <v/>
      </c>
      <c r="T3792" s="95">
        <f>IF($G3792&lt;nr_MStartP,$S3792,$T3780*(1+IF($G3792&lt;nr_MStartP1,$M$3748,$N$3748)))</f>
        <v/>
      </c>
      <c r="U3792" s="95">
        <f>IF($L$3748,$T3792,$N3792)</f>
        <v/>
      </c>
    </row>
    <row r="3793">
      <c r="A3793" s="90" t="n">
        <v>43</v>
      </c>
      <c r="B3793" s="91">
        <f>EDATE($B3792,1)</f>
        <v/>
      </c>
      <c r="C3793" s="92">
        <f>EOMONTH($B3793,0)</f>
        <v/>
      </c>
      <c r="D3793" s="87">
        <f>$C3793-$B3793+1</f>
        <v/>
      </c>
      <c r="E3793" s="87">
        <f>MONTH($B3793)</f>
        <v/>
      </c>
      <c r="F3793" s="93">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$N3793*IF($O$3748=1,$O3793/$F$3748,1)</f>
        <v/>
      </c>
      <c r="T3793" s="95">
        <f>IF($G3793&lt;nr_MStartP,$S3793,$T3781*(1+IF($G3793&lt;nr_MStartP1,$M$3748,$N$3748)))</f>
        <v/>
      </c>
      <c r="U3793" s="95">
        <f>IF($L$3748,$T3793,$N3793)</f>
        <v/>
      </c>
    </row>
    <row r="3794">
      <c r="A3794" s="90" t="n">
        <v>44</v>
      </c>
      <c r="B3794" s="91">
        <f>EDATE($B3793,1)</f>
        <v/>
      </c>
      <c r="C3794" s="92">
        <f>EOMONTH($B3794,0)</f>
        <v/>
      </c>
      <c r="D3794" s="87">
        <f>$C3794-$B3794+1</f>
        <v/>
      </c>
      <c r="E3794" s="87">
        <f>MONTH($B3794)</f>
        <v/>
      </c>
      <c r="F3794" s="93">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$N3794*IF($O$3748=1,$O3794/$F$3748,1)</f>
        <v/>
      </c>
      <c r="T3794" s="95">
        <f>IF($G3794&lt;nr_MStartP,$S3794,$T3782*(1+IF($G3794&lt;nr_MStartP1,$M$3748,$N$3748)))</f>
        <v/>
      </c>
      <c r="U3794" s="95">
        <f>IF($L$3748,$T3794,$N3794)</f>
        <v/>
      </c>
    </row>
    <row r="3795">
      <c r="A3795" s="90" t="n">
        <v>45</v>
      </c>
      <c r="B3795" s="91">
        <f>EDATE($B3794,1)</f>
        <v/>
      </c>
      <c r="C3795" s="92">
        <f>EOMONTH($B3795,0)</f>
        <v/>
      </c>
      <c r="D3795" s="87">
        <f>$C3795-$B3795+1</f>
        <v/>
      </c>
      <c r="E3795" s="87">
        <f>MONTH($B3795)</f>
        <v/>
      </c>
      <c r="F3795" s="93">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$N3795*IF($O$3748=1,$O3795/$F$3748,1)</f>
        <v/>
      </c>
      <c r="T3795" s="95">
        <f>IF($G3795&lt;nr_MStartP,$S3795,$T3783*(1+IF($G3795&lt;nr_MStartP1,$M$3748,$N$3748)))</f>
        <v/>
      </c>
      <c r="U3795" s="95">
        <f>IF($L$3748,$T3795,$N3795)</f>
        <v/>
      </c>
    </row>
    <row r="3796">
      <c r="A3796" s="90" t="n">
        <v>46</v>
      </c>
      <c r="B3796" s="91">
        <f>EDATE($B3795,1)</f>
        <v/>
      </c>
      <c r="C3796" s="92">
        <f>EOMONTH($B3796,0)</f>
        <v/>
      </c>
      <c r="D3796" s="87">
        <f>$C3796-$B3796+1</f>
        <v/>
      </c>
      <c r="E3796" s="87">
        <f>MONTH($B3796)</f>
        <v/>
      </c>
      <c r="F3796" s="93">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$N3796*IF($O$3748=1,$O3796/$F$3748,1)</f>
        <v/>
      </c>
      <c r="T3796" s="95">
        <f>IF($G3796&lt;nr_MStartP,$S3796,$T3784*(1+IF($G3796&lt;nr_MStartP1,$M$3748,$N$3748)))</f>
        <v/>
      </c>
      <c r="U3796" s="95">
        <f>IF($L$3748,$T3796,$N3796)</f>
        <v/>
      </c>
    </row>
    <row r="3797">
      <c r="A3797" s="90" t="n">
        <v>47</v>
      </c>
      <c r="B3797" s="91">
        <f>EDATE($B3796,1)</f>
        <v/>
      </c>
      <c r="C3797" s="92">
        <f>EOMONTH($B3797,0)</f>
        <v/>
      </c>
      <c r="D3797" s="87">
        <f>$C3797-$B3797+1</f>
        <v/>
      </c>
      <c r="E3797" s="87">
        <f>MONTH($B3797)</f>
        <v/>
      </c>
      <c r="F3797" s="93">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$N3797*IF($O$3748=1,$O3797/$F$3748,1)</f>
        <v/>
      </c>
      <c r="T3797" s="95">
        <f>IF($G3797&lt;nr_MStartP,$S3797,$T3785*(1+IF($G3797&lt;nr_MStartP1,$M$3748,$N$3748)))</f>
        <v/>
      </c>
      <c r="U3797" s="95">
        <f>IF($L$3748,$T3797,$N3797)</f>
        <v/>
      </c>
    </row>
    <row r="3798">
      <c r="A3798" s="90" t="n">
        <v>48</v>
      </c>
      <c r="B3798" s="91">
        <f>EDATE($B3797,1)</f>
        <v/>
      </c>
      <c r="C3798" s="92">
        <f>EOMONTH($B3798,0)</f>
        <v/>
      </c>
      <c r="D3798" s="87">
        <f>$C3798-$B3798+1</f>
        <v/>
      </c>
      <c r="E3798" s="87">
        <f>MONTH($B3798)</f>
        <v/>
      </c>
      <c r="F3798" s="93">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$N3798*IF($O$3748=1,$O3798/$F$3748,1)</f>
        <v/>
      </c>
      <c r="T3798" s="95">
        <f>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04">
        <f>SUMPRODUCT($H$3751:$H$3798,$Q$3751:$Q$3798,$O$3751:$O$3798)/SUMPRODUCT($H$3751:$H$3798,$Q$3751:$Q$3798)</f>
        <v/>
      </c>
      <c r="G3799" s="204">
        <f>SUMPRODUCT($H$3751:$H$3798,$R$3751:$R$3798,$O$3751:$O$3798)/SUMPRODUCT($H$3751:$H$3798,$R$3751:$R$3798)</f>
        <v/>
      </c>
    </row>
    <row r="3804">
      <c r="A3804" s="222"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2"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93">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$N4051*IF(nr_ModAdjEff="ON",$O4051/nr_MInd,1)</f>
        <v/>
      </c>
      <c r="T4051" s="95">
        <f>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93">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$N4052*IF(nr_ModAdjEff="ON",$O4052/nr_MInd,1)</f>
        <v/>
      </c>
      <c r="T4052" s="95">
        <f>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93">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$N4053*IF(nr_ModAdjEff="ON",$O4053/nr_MInd,1)</f>
        <v/>
      </c>
      <c r="T4053" s="95">
        <f>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93">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$N4054*IF(nr_ModAdjEff="ON",$O4054/nr_MInd,1)</f>
        <v/>
      </c>
      <c r="T4054" s="95">
        <f>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93">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$N4055*IF(nr_ModAdjEff="ON",$O4055/nr_MInd,1)</f>
        <v/>
      </c>
      <c r="T4055" s="95">
        <f>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93">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$N4056*IF(nr_ModAdjEff="ON",$O4056/nr_MInd,1)</f>
        <v/>
      </c>
      <c r="T4056" s="95">
        <f>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93">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$N4057*IF(nr_ModAdjEff="ON",$O4057/nr_MInd,1)</f>
        <v/>
      </c>
      <c r="T4057" s="95">
        <f>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93">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$N4058*IF(nr_ModAdjEff="ON",$O4058/nr_MInd,1)</f>
        <v/>
      </c>
      <c r="T4058" s="95">
        <f>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93">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$N4059*IF(nr_ModAdjEff="ON",$O4059/nr_MInd,1)</f>
        <v/>
      </c>
      <c r="T4059" s="95">
        <f>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93">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$N4060*IF(nr_ModAdjEff="ON",$O4060/nr_MInd,1)</f>
        <v/>
      </c>
      <c r="T4060" s="95">
        <f>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93">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$N4061*IF(nr_ModAdjEff="ON",$O4061/nr_MInd,1)</f>
        <v/>
      </c>
      <c r="T4061" s="95">
        <f>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93">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$N4062*IF(nr_ModAdjEff="ON",$O4062/nr_MInd,1)</f>
        <v/>
      </c>
      <c r="T4062" s="95">
        <f>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93">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$N4063*IF(nr_ModAdjEff="ON",$O4063/nr_MInd,1)</f>
        <v/>
      </c>
      <c r="T4063" s="95">
        <f>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93">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$N4064*IF(nr_ModAdjEff="ON",$O4064/nr_MInd,1)</f>
        <v/>
      </c>
      <c r="T4064" s="95">
        <f>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93">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$N4065*IF(nr_ModAdjEff="ON",$O4065/nr_MInd,1)</f>
        <v/>
      </c>
      <c r="T4065" s="95">
        <f>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93">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$N4066*IF(nr_ModAdjEff="ON",$O4066/nr_MInd,1)</f>
        <v/>
      </c>
      <c r="T4066" s="95">
        <f>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93">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$N4067*IF(nr_ModAdjEff="ON",$O4067/nr_MInd,1)</f>
        <v/>
      </c>
      <c r="T4067" s="95">
        <f>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93">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$N4068*IF(nr_ModAdjEff="ON",$O4068/nr_MInd,1)</f>
        <v/>
      </c>
      <c r="T4068" s="95">
        <f>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93">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$N4069*IF(nr_ModAdjEff="ON",$O4069/nr_MInd,1)</f>
        <v/>
      </c>
      <c r="T4069" s="95">
        <f>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93">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$N4070*IF(nr_ModAdjEff="ON",$O4070/nr_MInd,1)</f>
        <v/>
      </c>
      <c r="T4070" s="95">
        <f>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93">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$N4071*IF(nr_ModAdjEff="ON",$O4071/nr_MInd,1)</f>
        <v/>
      </c>
      <c r="T4071" s="95">
        <f>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93">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$N4072*IF(nr_ModAdjEff="ON",$O4072/nr_MInd,1)</f>
        <v/>
      </c>
      <c r="T4072" s="95">
        <f>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93">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$N4073*IF(nr_ModAdjEff="ON",$O4073/nr_MInd,1)</f>
        <v/>
      </c>
      <c r="T4073" s="95">
        <f>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93">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$N4074*IF(nr_ModAdjEff="ON",$O4074/nr_MInd,1)</f>
        <v/>
      </c>
      <c r="T4074" s="95">
        <f>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93">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$N4075*IF(nr_ModAdjEff="ON",$O4075/nr_MInd,1)</f>
        <v/>
      </c>
      <c r="T4075" s="95">
        <f>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93">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$N4076*IF(nr_ModAdjEff="ON",$O4076/nr_MInd,1)</f>
        <v/>
      </c>
      <c r="T4076" s="95">
        <f>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93">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$N4077*IF(nr_ModAdjEff="ON",$O4077/nr_MInd,1)</f>
        <v/>
      </c>
      <c r="T4077" s="95">
        <f>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93">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$N4078*IF(nr_ModAdjEff="ON",$O4078/nr_MInd,1)</f>
        <v/>
      </c>
      <c r="T4078" s="95">
        <f>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93">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$N4079*IF(nr_ModAdjEff="ON",$O4079/nr_MInd,1)</f>
        <v/>
      </c>
      <c r="T4079" s="95">
        <f>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93">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$N4080*IF(nr_ModAdjEff="ON",$O4080/nr_MInd,1)</f>
        <v/>
      </c>
      <c r="T4080" s="95">
        <f>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93">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$N4081*IF(nr_ModAdjEff="ON",$O4081/nr_MInd,1)</f>
        <v/>
      </c>
      <c r="T4081" s="95">
        <f>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93">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$N4082*IF(nr_ModAdjEff="ON",$O4082/nr_MInd,1)</f>
        <v/>
      </c>
      <c r="T4082" s="95">
        <f>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93">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$N4083*IF(nr_ModAdjEff="ON",$O4083/nr_MInd,1)</f>
        <v/>
      </c>
      <c r="T4083" s="95">
        <f>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93">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$N4084*IF(nr_ModAdjEff="ON",$O4084/nr_MInd,1)</f>
        <v/>
      </c>
      <c r="T4084" s="95">
        <f>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93">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$N4085*IF(nr_ModAdjEff="ON",$O4085/nr_MInd,1)</f>
        <v/>
      </c>
      <c r="T4085" s="95">
        <f>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93">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$N4086*IF(nr_ModAdjEff="ON",$O4086/nr_MInd,1)</f>
        <v/>
      </c>
      <c r="T4086" s="95">
        <f>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93">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$N4087*IF(nr_ModAdjEff="ON",$O4087/nr_MInd,1)</f>
        <v/>
      </c>
      <c r="T4087" s="95">
        <f>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93">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$N4088*IF(nr_ModAdjEff="ON",$O4088/nr_MInd,1)</f>
        <v/>
      </c>
      <c r="T4088" s="95">
        <f>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93">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$N4089*IF(nr_ModAdjEff="ON",$O4089/nr_MInd,1)</f>
        <v/>
      </c>
      <c r="T4089" s="95">
        <f>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93">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$N4090*IF(nr_ModAdjEff="ON",$O4090/nr_MInd,1)</f>
        <v/>
      </c>
      <c r="T4090" s="95">
        <f>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93">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$N4091*IF(nr_ModAdjEff="ON",$O4091/nr_MInd,1)</f>
        <v/>
      </c>
      <c r="T4091" s="95">
        <f>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93">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$N4092*IF(nr_ModAdjEff="ON",$O4092/nr_MInd,1)</f>
        <v/>
      </c>
      <c r="T4092" s="95">
        <f>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93">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$N4093*IF(nr_ModAdjEff="ON",$O4093/nr_MInd,1)</f>
        <v/>
      </c>
      <c r="T4093" s="95">
        <f>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93">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$N4094*IF(nr_ModAdjEff="ON",$O4094/nr_MInd,1)</f>
        <v/>
      </c>
      <c r="T4094" s="95">
        <f>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93">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$N4095*IF(nr_ModAdjEff="ON",$O4095/nr_MInd,1)</f>
        <v/>
      </c>
      <c r="T4095" s="95">
        <f>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93">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$N4096*IF(nr_ModAdjEff="ON",$O4096/nr_MInd,1)</f>
        <v/>
      </c>
      <c r="T4096" s="95">
        <f>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93">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$N4097*IF(nr_ModAdjEff="ON",$O4097/nr_MInd,1)</f>
        <v/>
      </c>
      <c r="T4097" s="95">
        <f>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93">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$N4098*IF(nr_ModAdjEff="ON",$O4098/nr_MInd,1)</f>
        <v/>
      </c>
      <c r="T4098" s="95">
        <f>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04">
        <f>SUMPRODUCT($H$4051:$H$4098,$Q$4051:$Q$4098,$O$4051:$O$4098)/SUMPRODUCT($H$4051:$H$4098,$Q$4051:$Q$4098)</f>
        <v/>
      </c>
    </row>
    <row r="4102">
      <c r="A4102" s="222"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93">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$N4105*IF(nr_ModAdjEff="ON",$O4105/nr_MInd,1)</f>
        <v/>
      </c>
      <c r="T4105" s="95">
        <f>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93">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$N4106*IF(nr_ModAdjEff="ON",$O4106/nr_MInd,1)</f>
        <v/>
      </c>
      <c r="T4106" s="95">
        <f>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93">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$N4107*IF(nr_ModAdjEff="ON",$O4107/nr_MInd,1)</f>
        <v/>
      </c>
      <c r="T4107" s="95">
        <f>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93">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$N4108*IF(nr_ModAdjEff="ON",$O4108/nr_MInd,1)</f>
        <v/>
      </c>
      <c r="T4108" s="95">
        <f>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93">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$N4109*IF(nr_ModAdjEff="ON",$O4109/nr_MInd,1)</f>
        <v/>
      </c>
      <c r="T4109" s="95">
        <f>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93">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$N4110*IF(nr_ModAdjEff="ON",$O4110/nr_MInd,1)</f>
        <v/>
      </c>
      <c r="T4110" s="95">
        <f>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93">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$N4111*IF(nr_ModAdjEff="ON",$O4111/nr_MInd,1)</f>
        <v/>
      </c>
      <c r="T4111" s="95">
        <f>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93">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$N4112*IF(nr_ModAdjEff="ON",$O4112/nr_MInd,1)</f>
        <v/>
      </c>
      <c r="T4112" s="95">
        <f>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93">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$N4113*IF(nr_ModAdjEff="ON",$O4113/nr_MInd,1)</f>
        <v/>
      </c>
      <c r="T4113" s="95">
        <f>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93">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$N4114*IF(nr_ModAdjEff="ON",$O4114/nr_MInd,1)</f>
        <v/>
      </c>
      <c r="T4114" s="95">
        <f>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93">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$N4115*IF(nr_ModAdjEff="ON",$O4115/nr_MInd,1)</f>
        <v/>
      </c>
      <c r="T4115" s="95">
        <f>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93">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$N4116*IF(nr_ModAdjEff="ON",$O4116/nr_MInd,1)</f>
        <v/>
      </c>
      <c r="T4116" s="95">
        <f>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93">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$N4117*IF(nr_ModAdjEff="ON",$O4117/nr_MInd,1)</f>
        <v/>
      </c>
      <c r="T4117" s="95">
        <f>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93">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$N4118*IF(nr_ModAdjEff="ON",$O4118/nr_MInd,1)</f>
        <v/>
      </c>
      <c r="T4118" s="95">
        <f>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93">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$N4119*IF(nr_ModAdjEff="ON",$O4119/nr_MInd,1)</f>
        <v/>
      </c>
      <c r="T4119" s="95">
        <f>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93">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$N4120*IF(nr_ModAdjEff="ON",$O4120/nr_MInd,1)</f>
        <v/>
      </c>
      <c r="T4120" s="95">
        <f>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93">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$N4121*IF(nr_ModAdjEff="ON",$O4121/nr_MInd,1)</f>
        <v/>
      </c>
      <c r="T4121" s="95">
        <f>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93">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$N4122*IF(nr_ModAdjEff="ON",$O4122/nr_MInd,1)</f>
        <v/>
      </c>
      <c r="T4122" s="95">
        <f>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93">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$N4123*IF(nr_ModAdjEff="ON",$O4123/nr_MInd,1)</f>
        <v/>
      </c>
      <c r="T4123" s="95">
        <f>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93">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$N4124*IF(nr_ModAdjEff="ON",$O4124/nr_MInd,1)</f>
        <v/>
      </c>
      <c r="T4124" s="95">
        <f>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93">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$N4125*IF(nr_ModAdjEff="ON",$O4125/nr_MInd,1)</f>
        <v/>
      </c>
      <c r="T4125" s="95">
        <f>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93">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$N4126*IF(nr_ModAdjEff="ON",$O4126/nr_MInd,1)</f>
        <v/>
      </c>
      <c r="T4126" s="95">
        <f>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93">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$N4127*IF(nr_ModAdjEff="ON",$O4127/nr_MInd,1)</f>
        <v/>
      </c>
      <c r="T4127" s="95">
        <f>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93">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$N4128*IF(nr_ModAdjEff="ON",$O4128/nr_MInd,1)</f>
        <v/>
      </c>
      <c r="T4128" s="95">
        <f>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93">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$N4129*IF(nr_ModAdjEff="ON",$O4129/nr_MInd,1)</f>
        <v/>
      </c>
      <c r="T4129" s="95">
        <f>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93">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$N4130*IF(nr_ModAdjEff="ON",$O4130/nr_MInd,1)</f>
        <v/>
      </c>
      <c r="T4130" s="95">
        <f>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93">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$N4131*IF(nr_ModAdjEff="ON",$O4131/nr_MInd,1)</f>
        <v/>
      </c>
      <c r="T4131" s="95">
        <f>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93">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$N4132*IF(nr_ModAdjEff="ON",$O4132/nr_MInd,1)</f>
        <v/>
      </c>
      <c r="T4132" s="95">
        <f>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93">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$N4133*IF(nr_ModAdjEff="ON",$O4133/nr_MInd,1)</f>
        <v/>
      </c>
      <c r="T4133" s="95">
        <f>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93">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$N4134*IF(nr_ModAdjEff="ON",$O4134/nr_MInd,1)</f>
        <v/>
      </c>
      <c r="T4134" s="95">
        <f>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93">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$N4135*IF(nr_ModAdjEff="ON",$O4135/nr_MInd,1)</f>
        <v/>
      </c>
      <c r="T4135" s="95">
        <f>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93">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$N4136*IF(nr_ModAdjEff="ON",$O4136/nr_MInd,1)</f>
        <v/>
      </c>
      <c r="T4136" s="95">
        <f>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93">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$N4137*IF(nr_ModAdjEff="ON",$O4137/nr_MInd,1)</f>
        <v/>
      </c>
      <c r="T4137" s="95">
        <f>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93">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$N4138*IF(nr_ModAdjEff="ON",$O4138/nr_MInd,1)</f>
        <v/>
      </c>
      <c r="T4138" s="95">
        <f>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93">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$N4139*IF(nr_ModAdjEff="ON",$O4139/nr_MInd,1)</f>
        <v/>
      </c>
      <c r="T4139" s="95">
        <f>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93">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$N4140*IF(nr_ModAdjEff="ON",$O4140/nr_MInd,1)</f>
        <v/>
      </c>
      <c r="T4140" s="95">
        <f>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93">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$N4141*IF(nr_ModAdjEff="ON",$O4141/nr_MInd,1)</f>
        <v/>
      </c>
      <c r="T4141" s="95">
        <f>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93">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$N4142*IF(nr_ModAdjEff="ON",$O4142/nr_MInd,1)</f>
        <v/>
      </c>
      <c r="T4142" s="95">
        <f>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93">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$N4143*IF(nr_ModAdjEff="ON",$O4143/nr_MInd,1)</f>
        <v/>
      </c>
      <c r="T4143" s="95">
        <f>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93">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$N4144*IF(nr_ModAdjEff="ON",$O4144/nr_MInd,1)</f>
        <v/>
      </c>
      <c r="T4144" s="95">
        <f>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93">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$N4145*IF(nr_ModAdjEff="ON",$O4145/nr_MInd,1)</f>
        <v/>
      </c>
      <c r="T4145" s="95">
        <f>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93">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$N4146*IF(nr_ModAdjEff="ON",$O4146/nr_MInd,1)</f>
        <v/>
      </c>
      <c r="T4146" s="95">
        <f>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93">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$N4147*IF(nr_ModAdjEff="ON",$O4147/nr_MInd,1)</f>
        <v/>
      </c>
      <c r="T4147" s="95">
        <f>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93">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$N4148*IF(nr_ModAdjEff="ON",$O4148/nr_MInd,1)</f>
        <v/>
      </c>
      <c r="T4148" s="95">
        <f>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93">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$N4149*IF(nr_ModAdjEff="ON",$O4149/nr_MInd,1)</f>
        <v/>
      </c>
      <c r="T4149" s="95">
        <f>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93">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$N4150*IF(nr_ModAdjEff="ON",$O4150/nr_MInd,1)</f>
        <v/>
      </c>
      <c r="T4150" s="95">
        <f>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93">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$N4151*IF(nr_ModAdjEff="ON",$O4151/nr_MInd,1)</f>
        <v/>
      </c>
      <c r="T4151" s="95">
        <f>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93">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$N4152*IF(nr_ModAdjEff="ON",$O4152/nr_MInd,1)</f>
        <v/>
      </c>
      <c r="T4152" s="95">
        <f>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04">
        <f>SUMPRODUCT($H$4105:$H$4152,$Q$4105:$Q$4152,$O$4105:$O$4152)/SUMPRODUCT($H$4105:$H$4152,$Q$4105:$Q$4152)</f>
        <v/>
      </c>
    </row>
    <row r="4156">
      <c r="A4156" s="222"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93">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$N4159*IF(nr_ModAdjEff="ON",$O4159/nr_MInd,1)</f>
        <v/>
      </c>
      <c r="T4159" s="95">
        <f>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93">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$N4160*IF(nr_ModAdjEff="ON",$O4160/nr_MInd,1)</f>
        <v/>
      </c>
      <c r="T4160" s="95">
        <f>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93">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$N4161*IF(nr_ModAdjEff="ON",$O4161/nr_MInd,1)</f>
        <v/>
      </c>
      <c r="T4161" s="95">
        <f>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93">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$N4162*IF(nr_ModAdjEff="ON",$O4162/nr_MInd,1)</f>
        <v/>
      </c>
      <c r="T4162" s="95">
        <f>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93">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$N4163*IF(nr_ModAdjEff="ON",$O4163/nr_MInd,1)</f>
        <v/>
      </c>
      <c r="T4163" s="95">
        <f>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93">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$N4164*IF(nr_ModAdjEff="ON",$O4164/nr_MInd,1)</f>
        <v/>
      </c>
      <c r="T4164" s="95">
        <f>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93">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$N4165*IF(nr_ModAdjEff="ON",$O4165/nr_MInd,1)</f>
        <v/>
      </c>
      <c r="T4165" s="95">
        <f>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93">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$N4166*IF(nr_ModAdjEff="ON",$O4166/nr_MInd,1)</f>
        <v/>
      </c>
      <c r="T4166" s="95">
        <f>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93">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$N4167*IF(nr_ModAdjEff="ON",$O4167/nr_MInd,1)</f>
        <v/>
      </c>
      <c r="T4167" s="95">
        <f>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93">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$N4168*IF(nr_ModAdjEff="ON",$O4168/nr_MInd,1)</f>
        <v/>
      </c>
      <c r="T4168" s="95">
        <f>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93">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$N4169*IF(nr_ModAdjEff="ON",$O4169/nr_MInd,1)</f>
        <v/>
      </c>
      <c r="T4169" s="95">
        <f>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93">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$N4170*IF(nr_ModAdjEff="ON",$O4170/nr_MInd,1)</f>
        <v/>
      </c>
      <c r="T4170" s="95">
        <f>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93">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$N4171*IF(nr_ModAdjEff="ON",$O4171/nr_MInd,1)</f>
        <v/>
      </c>
      <c r="T4171" s="95">
        <f>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93">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$N4172*IF(nr_ModAdjEff="ON",$O4172/nr_MInd,1)</f>
        <v/>
      </c>
      <c r="T4172" s="95">
        <f>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93">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$N4173*IF(nr_ModAdjEff="ON",$O4173/nr_MInd,1)</f>
        <v/>
      </c>
      <c r="T4173" s="95">
        <f>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93">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$N4174*IF(nr_ModAdjEff="ON",$O4174/nr_MInd,1)</f>
        <v/>
      </c>
      <c r="T4174" s="95">
        <f>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93">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$N4175*IF(nr_ModAdjEff="ON",$O4175/nr_MInd,1)</f>
        <v/>
      </c>
      <c r="T4175" s="95">
        <f>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93">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$N4176*IF(nr_ModAdjEff="ON",$O4176/nr_MInd,1)</f>
        <v/>
      </c>
      <c r="T4176" s="95">
        <f>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93">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$N4177*IF(nr_ModAdjEff="ON",$O4177/nr_MInd,1)</f>
        <v/>
      </c>
      <c r="T4177" s="95">
        <f>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93">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$N4178*IF(nr_ModAdjEff="ON",$O4178/nr_MInd,1)</f>
        <v/>
      </c>
      <c r="T4178" s="95">
        <f>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93">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$N4179*IF(nr_ModAdjEff="ON",$O4179/nr_MInd,1)</f>
        <v/>
      </c>
      <c r="T4179" s="95">
        <f>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93">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$N4180*IF(nr_ModAdjEff="ON",$O4180/nr_MInd,1)</f>
        <v/>
      </c>
      <c r="T4180" s="95">
        <f>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93">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$N4181*IF(nr_ModAdjEff="ON",$O4181/nr_MInd,1)</f>
        <v/>
      </c>
      <c r="T4181" s="95">
        <f>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93">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$N4182*IF(nr_ModAdjEff="ON",$O4182/nr_MInd,1)</f>
        <v/>
      </c>
      <c r="T4182" s="95">
        <f>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93">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$N4183*IF(nr_ModAdjEff="ON",$O4183/nr_MInd,1)</f>
        <v/>
      </c>
      <c r="T4183" s="95">
        <f>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93">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$N4184*IF(nr_ModAdjEff="ON",$O4184/nr_MInd,1)</f>
        <v/>
      </c>
      <c r="T4184" s="95">
        <f>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93">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$N4185*IF(nr_ModAdjEff="ON",$O4185/nr_MInd,1)</f>
        <v/>
      </c>
      <c r="T4185" s="95">
        <f>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93">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$N4186*IF(nr_ModAdjEff="ON",$O4186/nr_MInd,1)</f>
        <v/>
      </c>
      <c r="T4186" s="95">
        <f>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93">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$N4187*IF(nr_ModAdjEff="ON",$O4187/nr_MInd,1)</f>
        <v/>
      </c>
      <c r="T4187" s="95">
        <f>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93">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$N4188*IF(nr_ModAdjEff="ON",$O4188/nr_MInd,1)</f>
        <v/>
      </c>
      <c r="T4188" s="95">
        <f>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93">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$N4189*IF(nr_ModAdjEff="ON",$O4189/nr_MInd,1)</f>
        <v/>
      </c>
      <c r="T4189" s="95">
        <f>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93">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$N4190*IF(nr_ModAdjEff="ON",$O4190/nr_MInd,1)</f>
        <v/>
      </c>
      <c r="T4190" s="95">
        <f>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93">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$N4191*IF(nr_ModAdjEff="ON",$O4191/nr_MInd,1)</f>
        <v/>
      </c>
      <c r="T4191" s="95">
        <f>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93">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$N4192*IF(nr_ModAdjEff="ON",$O4192/nr_MInd,1)</f>
        <v/>
      </c>
      <c r="T4192" s="95">
        <f>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93">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$N4193*IF(nr_ModAdjEff="ON",$O4193/nr_MInd,1)</f>
        <v/>
      </c>
      <c r="T4193" s="95">
        <f>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93">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$N4194*IF(nr_ModAdjEff="ON",$O4194/nr_MInd,1)</f>
        <v/>
      </c>
      <c r="T4194" s="95">
        <f>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93">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$N4195*IF(nr_ModAdjEff="ON",$O4195/nr_MInd,1)</f>
        <v/>
      </c>
      <c r="T4195" s="95">
        <f>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93">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$N4196*IF(nr_ModAdjEff="ON",$O4196/nr_MInd,1)</f>
        <v/>
      </c>
      <c r="T4196" s="95">
        <f>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93">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$N4197*IF(nr_ModAdjEff="ON",$O4197/nr_MInd,1)</f>
        <v/>
      </c>
      <c r="T4197" s="95">
        <f>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93">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$N4198*IF(nr_ModAdjEff="ON",$O4198/nr_MInd,1)</f>
        <v/>
      </c>
      <c r="T4198" s="95">
        <f>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93">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$N4199*IF(nr_ModAdjEff="ON",$O4199/nr_MInd,1)</f>
        <v/>
      </c>
      <c r="T4199" s="95">
        <f>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93">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$N4200*IF(nr_ModAdjEff="ON",$O4200/nr_MInd,1)</f>
        <v/>
      </c>
      <c r="T4200" s="95">
        <f>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93">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$N4201*IF(nr_ModAdjEff="ON",$O4201/nr_MInd,1)</f>
        <v/>
      </c>
      <c r="T4201" s="95">
        <f>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93">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$N4202*IF(nr_ModAdjEff="ON",$O4202/nr_MInd,1)</f>
        <v/>
      </c>
      <c r="T4202" s="95">
        <f>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93">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$N4203*IF(nr_ModAdjEff="ON",$O4203/nr_MInd,1)</f>
        <v/>
      </c>
      <c r="T4203" s="95">
        <f>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93">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$N4204*IF(nr_ModAdjEff="ON",$O4204/nr_MInd,1)</f>
        <v/>
      </c>
      <c r="T4204" s="95">
        <f>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93">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$N4205*IF(nr_ModAdjEff="ON",$O4205/nr_MInd,1)</f>
        <v/>
      </c>
      <c r="T4205" s="95">
        <f>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93">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$N4206*IF(nr_ModAdjEff="ON",$O4206/nr_MInd,1)</f>
        <v/>
      </c>
      <c r="T4206" s="95">
        <f>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04">
        <f>SUMPRODUCT($H$4159:$H$4206,$Q$4159:$Q$4206,$O$4159:$O$4206)/SUMPRODUCT($H$4159:$H$4206,$Q$4159:$Q$4206)</f>
        <v/>
      </c>
    </row>
    <row r="4210">
      <c r="A4210" s="222"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93">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$N4213*IF(nr_ModAdjEff="ON",$O4213/nr_MInd,1)</f>
        <v/>
      </c>
      <c r="T4213" s="95">
        <f>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93">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$N4214*IF(nr_ModAdjEff="ON",$O4214/nr_MInd,1)</f>
        <v/>
      </c>
      <c r="T4214" s="95">
        <f>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93">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$N4215*IF(nr_ModAdjEff="ON",$O4215/nr_MInd,1)</f>
        <v/>
      </c>
      <c r="T4215" s="95">
        <f>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93">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$N4216*IF(nr_ModAdjEff="ON",$O4216/nr_MInd,1)</f>
        <v/>
      </c>
      <c r="T4216" s="95">
        <f>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93">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$N4217*IF(nr_ModAdjEff="ON",$O4217/nr_MInd,1)</f>
        <v/>
      </c>
      <c r="T4217" s="95">
        <f>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93">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$N4218*IF(nr_ModAdjEff="ON",$O4218/nr_MInd,1)</f>
        <v/>
      </c>
      <c r="T4218" s="95">
        <f>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93">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$N4219*IF(nr_ModAdjEff="ON",$O4219/nr_MInd,1)</f>
        <v/>
      </c>
      <c r="T4219" s="95">
        <f>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93">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$N4220*IF(nr_ModAdjEff="ON",$O4220/nr_MInd,1)</f>
        <v/>
      </c>
      <c r="T4220" s="95">
        <f>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93">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$N4221*IF(nr_ModAdjEff="ON",$O4221/nr_MInd,1)</f>
        <v/>
      </c>
      <c r="T4221" s="95">
        <f>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93">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$N4222*IF(nr_ModAdjEff="ON",$O4222/nr_MInd,1)</f>
        <v/>
      </c>
      <c r="T4222" s="95">
        <f>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93">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$N4223*IF(nr_ModAdjEff="ON",$O4223/nr_MInd,1)</f>
        <v/>
      </c>
      <c r="T4223" s="95">
        <f>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93">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$N4224*IF(nr_ModAdjEff="ON",$O4224/nr_MInd,1)</f>
        <v/>
      </c>
      <c r="T4224" s="95">
        <f>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93">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$N4225*IF(nr_ModAdjEff="ON",$O4225/nr_MInd,1)</f>
        <v/>
      </c>
      <c r="T4225" s="95">
        <f>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93">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$N4226*IF(nr_ModAdjEff="ON",$O4226/nr_MInd,1)</f>
        <v/>
      </c>
      <c r="T4226" s="95">
        <f>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93">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$N4227*IF(nr_ModAdjEff="ON",$O4227/nr_MInd,1)</f>
        <v/>
      </c>
      <c r="T4227" s="95">
        <f>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93">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$N4228*IF(nr_ModAdjEff="ON",$O4228/nr_MInd,1)</f>
        <v/>
      </c>
      <c r="T4228" s="95">
        <f>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93">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$N4229*IF(nr_ModAdjEff="ON",$O4229/nr_MInd,1)</f>
        <v/>
      </c>
      <c r="T4229" s="95">
        <f>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93">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$N4230*IF(nr_ModAdjEff="ON",$O4230/nr_MInd,1)</f>
        <v/>
      </c>
      <c r="T4230" s="95">
        <f>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93">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$N4231*IF(nr_ModAdjEff="ON",$O4231/nr_MInd,1)</f>
        <v/>
      </c>
      <c r="T4231" s="95">
        <f>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93">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$N4232*IF(nr_ModAdjEff="ON",$O4232/nr_MInd,1)</f>
        <v/>
      </c>
      <c r="T4232" s="95">
        <f>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93">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$N4233*IF(nr_ModAdjEff="ON",$O4233/nr_MInd,1)</f>
        <v/>
      </c>
      <c r="T4233" s="95">
        <f>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93">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$N4234*IF(nr_ModAdjEff="ON",$O4234/nr_MInd,1)</f>
        <v/>
      </c>
      <c r="T4234" s="95">
        <f>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93">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$N4235*IF(nr_ModAdjEff="ON",$O4235/nr_MInd,1)</f>
        <v/>
      </c>
      <c r="T4235" s="95">
        <f>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93">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$N4236*IF(nr_ModAdjEff="ON",$O4236/nr_MInd,1)</f>
        <v/>
      </c>
      <c r="T4236" s="95">
        <f>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93">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$N4237*IF(nr_ModAdjEff="ON",$O4237/nr_MInd,1)</f>
        <v/>
      </c>
      <c r="T4237" s="95">
        <f>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93">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$N4238*IF(nr_ModAdjEff="ON",$O4238/nr_MInd,1)</f>
        <v/>
      </c>
      <c r="T4238" s="95">
        <f>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93">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$N4239*IF(nr_ModAdjEff="ON",$O4239/nr_MInd,1)</f>
        <v/>
      </c>
      <c r="T4239" s="95">
        <f>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93">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$N4240*IF(nr_ModAdjEff="ON",$O4240/nr_MInd,1)</f>
        <v/>
      </c>
      <c r="T4240" s="95">
        <f>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93">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$N4241*IF(nr_ModAdjEff="ON",$O4241/nr_MInd,1)</f>
        <v/>
      </c>
      <c r="T4241" s="95">
        <f>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93">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$N4242*IF(nr_ModAdjEff="ON",$O4242/nr_MInd,1)</f>
        <v/>
      </c>
      <c r="T4242" s="95">
        <f>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93">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$N4243*IF(nr_ModAdjEff="ON",$O4243/nr_MInd,1)</f>
        <v/>
      </c>
      <c r="T4243" s="95">
        <f>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93">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$N4244*IF(nr_ModAdjEff="ON",$O4244/nr_MInd,1)</f>
        <v/>
      </c>
      <c r="T4244" s="95">
        <f>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93">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$N4245*IF(nr_ModAdjEff="ON",$O4245/nr_MInd,1)</f>
        <v/>
      </c>
      <c r="T4245" s="95">
        <f>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93">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$N4246*IF(nr_ModAdjEff="ON",$O4246/nr_MInd,1)</f>
        <v/>
      </c>
      <c r="T4246" s="95">
        <f>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93">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$N4247*IF(nr_ModAdjEff="ON",$O4247/nr_MInd,1)</f>
        <v/>
      </c>
      <c r="T4247" s="95">
        <f>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93">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$N4248*IF(nr_ModAdjEff="ON",$O4248/nr_MInd,1)</f>
        <v/>
      </c>
      <c r="T4248" s="95">
        <f>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93">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$N4249*IF(nr_ModAdjEff="ON",$O4249/nr_MInd,1)</f>
        <v/>
      </c>
      <c r="T4249" s="95">
        <f>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93">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$N4250*IF(nr_ModAdjEff="ON",$O4250/nr_MInd,1)</f>
        <v/>
      </c>
      <c r="T4250" s="95">
        <f>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93">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$N4251*IF(nr_ModAdjEff="ON",$O4251/nr_MInd,1)</f>
        <v/>
      </c>
      <c r="T4251" s="95">
        <f>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93">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$N4252*IF(nr_ModAdjEff="ON",$O4252/nr_MInd,1)</f>
        <v/>
      </c>
      <c r="T4252" s="95">
        <f>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93">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$N4253*IF(nr_ModAdjEff="ON",$O4253/nr_MInd,1)</f>
        <v/>
      </c>
      <c r="T4253" s="95">
        <f>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93">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$N4254*IF(nr_ModAdjEff="ON",$O4254/nr_MInd,1)</f>
        <v/>
      </c>
      <c r="T4254" s="95">
        <f>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93">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$N4255*IF(nr_ModAdjEff="ON",$O4255/nr_MInd,1)</f>
        <v/>
      </c>
      <c r="T4255" s="95">
        <f>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93">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$N4256*IF(nr_ModAdjEff="ON",$O4256/nr_MInd,1)</f>
        <v/>
      </c>
      <c r="T4256" s="95">
        <f>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93">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$N4257*IF(nr_ModAdjEff="ON",$O4257/nr_MInd,1)</f>
        <v/>
      </c>
      <c r="T4257" s="95">
        <f>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93">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$N4258*IF(nr_ModAdjEff="ON",$O4258/nr_MInd,1)</f>
        <v/>
      </c>
      <c r="T4258" s="95">
        <f>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93">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$N4259*IF(nr_ModAdjEff="ON",$O4259/nr_MInd,1)</f>
        <v/>
      </c>
      <c r="T4259" s="95">
        <f>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93">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$N4260*IF(nr_ModAdjEff="ON",$O4260/nr_MInd,1)</f>
        <v/>
      </c>
      <c r="T4260" s="95">
        <f>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04">
        <f>SUMPRODUCT($H$4213:$H$4260,$Q$4213:$Q$4260,$O$4213:$O$4260)/SUMPRODUCT($H$4213:$H$4260,$Q$4213:$Q$4260)</f>
        <v/>
      </c>
    </row>
    <row r="4266">
      <c r="A4266" s="222"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2"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93">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93">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93">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93">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93">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93">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93">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93">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93">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93">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93">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93">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93">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93">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93">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93">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93">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93">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93">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93">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93">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93">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93">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93">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93">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93">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93">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93">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93">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93">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93">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93">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93">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93">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93">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93">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93">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93">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93">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93">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93">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93">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93">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93">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93">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93">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93">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93">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2"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93">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93">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93">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93">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93">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93">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93">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93">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93">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93">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93">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93">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93">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93">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93">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93">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93">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93">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93">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93">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93">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93">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93">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93">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93">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93">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93">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93">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93">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93">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93">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93">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93">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93">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93">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93">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93">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93">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93">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93">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93">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93">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93">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93">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93">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93">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93">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93">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2" t="inlineStr">
        <is>
          <t>Attribution block 3 — actual written-mod path</t>
        </is>
      </c>
      <c r="M4618" s="204">
        <f>IF(N(att_m0)=0,nr_M0,att_m0)</f>
        <v/>
      </c>
      <c r="N4618" s="73">
        <f>IF(N(att_asof)=0,nr_M0Asof,att_asof)</f>
        <v/>
      </c>
      <c r="O4618" s="204">
        <f>IF(N(att_m1)=0,nr_M1,att_m1)</f>
        <v/>
      </c>
      <c r="P4618" s="20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93">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93">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93">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93">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93">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93">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93">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93">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93">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93">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93">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93">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93">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93">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93">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93">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93">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93">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93">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93">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93">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93">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93">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93">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93">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93">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93">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93">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93">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93">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93">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93">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93">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93">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93">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93">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93">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93">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93">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93">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93">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93">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93">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93">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93">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93">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93">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93">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04">
        <f>SUMPRODUCT($H$4621:$H$4668,$Q$4621:$Q$4668,$O$4621:$O$4668)/SUMPRODUCT($H$4621:$H$4668,$Q$4621:$Q$4668)</f>
        <v/>
      </c>
    </row>
    <row r="4672">
      <c r="A4672" s="222"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4" t="inlineStr">
        <is>
          <t>w-ec-W0</t>
        </is>
      </c>
      <c r="T4674" s="224" t="inlineStr">
        <is>
          <t>cum</t>
        </is>
      </c>
      <c r="U4674" s="224" t="inlineStr">
        <is>
          <t>w-ec-W0eom</t>
        </is>
      </c>
    </row>
    <row r="4675">
      <c r="A4675" s="90" t="n">
        <v>1</v>
      </c>
      <c r="B4675" s="91">
        <f>DATE(nr_PlanYear-2,1,1)</f>
        <v/>
      </c>
      <c r="C4675" s="92">
        <f>EOMONTH($B4675,0)</f>
        <v/>
      </c>
      <c r="D4675" s="87">
        <f>$C4675-$B4675+1</f>
        <v/>
      </c>
      <c r="E4675" s="87">
        <f>MONTH($B4675)</f>
        <v/>
      </c>
      <c r="F4675" s="93">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93">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93">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93">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93">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93">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93">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93">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93">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93">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93">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93">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93">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93">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93">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93">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93">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93">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93">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93">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93">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93">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93">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93">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93">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93">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93">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93">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93">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93">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93">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93">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93">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93">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93">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93">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93">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93">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93">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93">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93">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93">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93">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93">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93">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93">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93">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93">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2"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5" t="n">
        <v>1.1024</v>
      </c>
    </row>
    <row r="5">
      <c r="A5" s="20" t="inlineStr">
        <is>
          <t>Oracle E_CY(P-1), monthly convention</t>
        </is>
      </c>
      <c r="B5" s="225" t="n">
        <v>1.0428</v>
      </c>
    </row>
    <row r="6">
      <c r="A6" s="20" t="inlineStr">
        <is>
          <t>Oracle E_CY(P), monthly convention</t>
        </is>
      </c>
      <c r="B6" s="225" t="n">
        <v>1.1101025</v>
      </c>
    </row>
    <row r="7">
      <c r="A7" s="20" t="inlineStr">
        <is>
          <t>Oracle E_CY(P+1), monthly convention</t>
        </is>
      </c>
      <c r="B7" s="225" t="n">
        <v>1.1557975</v>
      </c>
    </row>
    <row r="8">
      <c r="A8" s="20" t="inlineStr">
        <is>
          <t>Oracle CY P earned mod, monthly convention</t>
        </is>
      </c>
      <c r="B8" s="225" t="n">
        <v>0.8659874179431073</v>
      </c>
    </row>
    <row r="9">
      <c r="A9" s="20" t="inlineStr">
        <is>
          <t>Oracle A_rate(P)</t>
        </is>
      </c>
      <c r="B9" s="225" t="n">
        <v>0.9930614515326286</v>
      </c>
    </row>
    <row r="10">
      <c r="A10" s="20" t="inlineStr">
        <is>
          <t>Oracle A_rate(P+1)</t>
        </is>
      </c>
      <c r="B10" s="225" t="n">
        <v>0.9538002980625931</v>
      </c>
    </row>
    <row r="11">
      <c r="A11" s="20" t="inlineStr">
        <is>
          <t>Oracle A_mod(P)</t>
        </is>
      </c>
      <c r="B11" s="225" t="n">
        <v>0.9815385101309201</v>
      </c>
    </row>
    <row r="12">
      <c r="A12" s="20" t="inlineStr">
        <is>
          <t>Oracle CY plan LR(P), monthly convention</t>
        </is>
      </c>
      <c r="B12" s="225" t="n">
        <v>0.6335732374437604</v>
      </c>
    </row>
    <row r="13">
      <c r="A13" s="20" t="inlineStr">
        <is>
          <t>Oracle CY LR(P+1), monthly convention</t>
        </is>
      </c>
      <c r="B13" s="225" t="n">
        <v>0.5948002961422484</v>
      </c>
    </row>
    <row r="14">
      <c r="A14" s="20" t="inlineStr">
        <is>
          <t>Oracle earned chg vs indication</t>
        </is>
      </c>
      <c r="B14" s="225" t="n">
        <v>0.006987028301886911</v>
      </c>
    </row>
    <row r="15">
      <c r="A15" s="20" t="inlineStr">
        <is>
          <t>Oracle CY plan LR(P), continuous closed form</t>
        </is>
      </c>
      <c r="B15" s="225" t="n">
        <v>0.6335640322999739</v>
      </c>
    </row>
    <row r="16">
      <c r="A16" s="20" t="inlineStr">
        <is>
          <t>Oracle E_CY(P), continuous closed form</t>
        </is>
      </c>
      <c r="B16" s="225" t="n">
        <v>1.1101025</v>
      </c>
    </row>
    <row r="17">
      <c r="A17" s="20" t="inlineStr">
        <is>
          <t>Oracle solver required change (worked example)</t>
        </is>
      </c>
      <c r="B17" s="225" t="n">
        <v>0.05000000000000093</v>
      </c>
    </row>
    <row r="19">
      <c r="A19" s="18" t="inlineStr">
        <is>
          <t>Worked-example input fingerprint (expected vs live)</t>
        </is>
      </c>
    </row>
    <row r="20">
      <c r="A20" s="222" t="inlineStr">
        <is>
          <t>Input</t>
        </is>
      </c>
      <c r="B20" s="222" t="inlineStr">
        <is>
          <t>Expected</t>
        </is>
      </c>
      <c r="C20" s="222" t="inlineStr">
        <is>
          <t>Live</t>
        </is>
      </c>
      <c r="D20" s="222"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2026-07-31T00:31:44Z</dcterms:created>
  <dcterms:modified xsi:type="dcterms:W3CDTF">2026-07-31T00:31:47Z</dcterms:modified>
</cp:coreProperties>
</file>