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a880c7ee81c38dd/Desktop/MY-DAC-Curriculum/DAC-006_Machine_Learning/datasets/"/>
    </mc:Choice>
  </mc:AlternateContent>
  <xr:revisionPtr revIDLastSave="3" documentId="11_8994D62C791F9B53F96C238B20E041E6FFD5A1CA" xr6:coauthVersionLast="47" xr6:coauthVersionMax="47" xr10:uidLastSave="{9F350D97-011C-474D-8344-D8997FE4746E}"/>
  <bookViews>
    <workbookView xWindow="-110" yWindow="-110" windowWidth="19420" windowHeight="10300" activeTab="1" xr2:uid="{00000000-000D-0000-FFFF-FFFF00000000}"/>
  </bookViews>
  <sheets>
    <sheet name="example + OHE" sheetId="1" r:id="rId1"/>
    <sheet name="optimal split point" sheetId="2" r:id="rId2"/>
    <sheet name="multiclass calculation" sheetId="3" r:id="rId3"/>
    <sheet name="regression" sheetId="4" r:id="rId4"/>
    <sheet name="RF - proximity matrix " sheetId="5" r:id="rId5"/>
  </sheets>
  <definedNames>
    <definedName name="Z_05A02C62_3A0B_4BB8_8913_3B7A87C50040_.wvu.FilterData" localSheetId="3" hidden="1">regression!$A$3:$B$18</definedName>
    <definedName name="Z_1199D117_C578_483D_9440_56A1CC2BFC68_.wvu.FilterData" localSheetId="3" hidden="1">regression!$A$3:$B$18</definedName>
    <definedName name="Z_CA96E1A3_6999_4FFF_BA9C_647FB49BCDA3_.wvu.FilterData" localSheetId="3" hidden="1">regression!$A$3:$B$18</definedName>
    <definedName name="Z_FB2EFE71_B75B_4B93_914B_CF4054E51819_.wvu.FilterData" localSheetId="3" hidden="1">regression!$A$3:$B$18</definedName>
  </definedNames>
  <calcPr calcId="191029"/>
  <customWorkbookViews>
    <customWorkbookView name="x &gt; 6.5" guid="{CA96E1A3-6999-4FFF-BA9C-647FB49BCDA3}" maximized="1" windowWidth="0" windowHeight="0" activeSheetId="0"/>
    <customWorkbookView name="x &gt; 9.5" guid="{1199D117-C578-483D-9440-56A1CC2BFC68}" maximized="1" windowWidth="0" windowHeight="0" activeSheetId="0"/>
    <customWorkbookView name="x &lt; 9.5" guid="{05A02C62-3A0B-4BB8-8913-3B7A87C50040}" maximized="1" windowWidth="0" windowHeight="0" activeSheetId="0"/>
    <customWorkbookView name="x &lt; 6.5" guid="{FB2EFE71-B75B-4B93-914B-CF4054E5181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G13" i="2"/>
  <c r="G8" i="2"/>
  <c r="E38" i="5"/>
  <c r="E37" i="5"/>
  <c r="E29" i="5"/>
  <c r="Q29" i="4"/>
  <c r="P29" i="4"/>
  <c r="P32" i="4" s="1"/>
  <c r="M29" i="4"/>
  <c r="L29" i="4"/>
  <c r="L32" i="4" s="1"/>
  <c r="Q28" i="4"/>
  <c r="P28" i="4"/>
  <c r="P31" i="4" s="1"/>
  <c r="M28" i="4"/>
  <c r="L28" i="4"/>
  <c r="L31" i="4" s="1"/>
  <c r="L34" i="4" s="1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E5" i="3"/>
  <c r="E4" i="3"/>
  <c r="E3" i="3"/>
  <c r="E7" i="3" s="1"/>
  <c r="E2" i="3"/>
  <c r="Y37" i="2"/>
  <c r="X37" i="2"/>
  <c r="Z37" i="2" s="1"/>
  <c r="U37" i="2"/>
  <c r="V37" i="2" s="1"/>
  <c r="T37" i="2"/>
  <c r="R37" i="2"/>
  <c r="Q37" i="2"/>
  <c r="P37" i="2"/>
  <c r="Q38" i="2" s="1"/>
  <c r="N37" i="2"/>
  <c r="M37" i="2"/>
  <c r="L37" i="2"/>
  <c r="M38" i="2" s="1"/>
  <c r="Y36" i="2"/>
  <c r="X36" i="2"/>
  <c r="Z36" i="2" s="1"/>
  <c r="U36" i="2"/>
  <c r="T36" i="2"/>
  <c r="R36" i="2"/>
  <c r="Q36" i="2"/>
  <c r="P36" i="2"/>
  <c r="P38" i="2" s="1"/>
  <c r="R38" i="2" s="1"/>
  <c r="M36" i="2"/>
  <c r="L36" i="2"/>
  <c r="N36" i="2" s="1"/>
  <c r="V32" i="2"/>
  <c r="U33" i="2" s="1"/>
  <c r="U32" i="2"/>
  <c r="T32" i="2"/>
  <c r="Q32" i="2"/>
  <c r="P32" i="2"/>
  <c r="M32" i="2"/>
  <c r="L32" i="2"/>
  <c r="V31" i="2"/>
  <c r="T33" i="2" s="1"/>
  <c r="U31" i="2"/>
  <c r="T31" i="2"/>
  <c r="Q31" i="2"/>
  <c r="P31" i="2"/>
  <c r="M31" i="2"/>
  <c r="L31" i="2"/>
  <c r="U27" i="2"/>
  <c r="T27" i="2"/>
  <c r="Q27" i="2"/>
  <c r="P27" i="2"/>
  <c r="N27" i="2"/>
  <c r="M28" i="2" s="1"/>
  <c r="G25" i="2" s="1"/>
  <c r="M27" i="2"/>
  <c r="L27" i="2"/>
  <c r="U26" i="2"/>
  <c r="T26" i="2"/>
  <c r="Q26" i="2"/>
  <c r="P26" i="2"/>
  <c r="N26" i="2"/>
  <c r="L28" i="2" s="1"/>
  <c r="M26" i="2"/>
  <c r="L26" i="2"/>
  <c r="N20" i="2"/>
  <c r="M20" i="2"/>
  <c r="L20" i="2"/>
  <c r="G20" i="2" s="1"/>
  <c r="N19" i="2"/>
  <c r="M19" i="2"/>
  <c r="L19" i="2"/>
  <c r="G19" i="2"/>
  <c r="N16" i="2"/>
  <c r="M16" i="2"/>
  <c r="L16" i="2"/>
  <c r="G16" i="2"/>
  <c r="N15" i="2"/>
  <c r="M15" i="2"/>
  <c r="L15" i="2"/>
  <c r="G15" i="2"/>
  <c r="G17" i="2" s="1"/>
  <c r="N12" i="2"/>
  <c r="M12" i="2"/>
  <c r="L12" i="2"/>
  <c r="G12" i="2"/>
  <c r="N11" i="2"/>
  <c r="M11" i="2"/>
  <c r="L11" i="2"/>
  <c r="G11" i="2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C25" i="1"/>
  <c r="B25" i="1"/>
  <c r="A25" i="1"/>
  <c r="C24" i="1"/>
  <c r="B24" i="1"/>
  <c r="A24" i="1"/>
  <c r="C23" i="1"/>
  <c r="B23" i="1"/>
  <c r="A23" i="1"/>
  <c r="V33" i="2" l="1"/>
  <c r="P33" i="2"/>
  <c r="R33" i="2" s="1"/>
  <c r="Q33" i="2"/>
  <c r="G21" i="2"/>
  <c r="T38" i="2"/>
  <c r="V38" i="2" s="1"/>
  <c r="G24" i="2"/>
  <c r="G26" i="2"/>
  <c r="L33" i="2"/>
  <c r="P28" i="2"/>
  <c r="U38" i="2"/>
  <c r="P34" i="4"/>
  <c r="R27" i="2"/>
  <c r="Q28" i="2" s="1"/>
  <c r="N32" i="2"/>
  <c r="M33" i="2" s="1"/>
  <c r="N33" i="2" s="1"/>
  <c r="V36" i="2"/>
  <c r="L38" i="2"/>
  <c r="X38" i="2"/>
  <c r="V26" i="2"/>
  <c r="T28" i="2" s="1"/>
  <c r="R31" i="2"/>
  <c r="N38" i="2"/>
  <c r="Y38" i="2"/>
  <c r="V27" i="2"/>
  <c r="U28" i="2" s="1"/>
  <c r="R32" i="2"/>
  <c r="Z38" i="2"/>
  <c r="R26" i="2"/>
  <c r="N31" i="2"/>
  <c r="V28" i="2" l="1"/>
  <c r="R28" i="2"/>
</calcChain>
</file>

<file path=xl/sharedStrings.xml><?xml version="1.0" encoding="utf-8"?>
<sst xmlns="http://schemas.openxmlformats.org/spreadsheetml/2006/main" count="254" uniqueCount="124">
  <si>
    <t>Training Data</t>
  </si>
  <si>
    <t>Test Data</t>
  </si>
  <si>
    <t>Features</t>
  </si>
  <si>
    <t>Target</t>
  </si>
  <si>
    <t>Favourite Color</t>
  </si>
  <si>
    <t>Sex</t>
  </si>
  <si>
    <t xml:space="preserve">Age </t>
  </si>
  <si>
    <t>Survived</t>
  </si>
  <si>
    <t>Blue</t>
  </si>
  <si>
    <t>Female</t>
  </si>
  <si>
    <t>?</t>
  </si>
  <si>
    <t>Green</t>
  </si>
  <si>
    <t>Male</t>
  </si>
  <si>
    <t>Red</t>
  </si>
  <si>
    <t>data part of the Titanic.csv dataset</t>
  </si>
  <si>
    <t>After OHE</t>
  </si>
  <si>
    <t>x_1</t>
  </si>
  <si>
    <t>x_2</t>
  </si>
  <si>
    <t>x_3</t>
  </si>
  <si>
    <t>Age</t>
  </si>
  <si>
    <t>PClass</t>
  </si>
  <si>
    <t>1.) Calculate the Gini Index of the Root Node</t>
  </si>
  <si>
    <t>G(Root) =</t>
  </si>
  <si>
    <t>&lt;- survived/not survived</t>
  </si>
  <si>
    <t>2.) Calculate the Gini Index and Information Gain of the split points (categorical)</t>
  </si>
  <si>
    <t xml:space="preserve">G(PClass &lt; 1.5, Yes) = </t>
  </si>
  <si>
    <t xml:space="preserve">G(PClass &lt; 1.5, No) = </t>
  </si>
  <si>
    <t xml:space="preserve">IG(PClass &lt; 1.5) = </t>
  </si>
  <si>
    <t>G(PClass &lt; 2.5, Yes) =</t>
  </si>
  <si>
    <t>G(PClass &lt; 2.5, No) =</t>
  </si>
  <si>
    <t>IG(PClass &lt; 2.5) =</t>
  </si>
  <si>
    <t>G(Sex&lt;0.5, Yes) =</t>
  </si>
  <si>
    <t xml:space="preserve">G(Sex&lt;0.5, No) = </t>
  </si>
  <si>
    <t xml:space="preserve">Female : </t>
  </si>
  <si>
    <t xml:space="preserve">IG(Sex&lt;0.5) = </t>
  </si>
  <si>
    <t>&lt;- best split point out of the categorical data</t>
  </si>
  <si>
    <t xml:space="preserve">Male : </t>
  </si>
  <si>
    <t>3.) Calculate the Gini Index and Information Gain of the numerical split points</t>
  </si>
  <si>
    <t xml:space="preserve">G(Age &lt; 5, Yes) = </t>
  </si>
  <si>
    <t xml:space="preserve">G(Age &lt; 5, No) = </t>
  </si>
  <si>
    <t xml:space="preserve">IG(Age&lt;5) = </t>
  </si>
  <si>
    <t>&lt;- best split point out of the numerical data &amp; categorical</t>
  </si>
  <si>
    <t>X</t>
  </si>
  <si>
    <t>Total Obs.</t>
  </si>
  <si>
    <t>Obs. (Class 1)</t>
  </si>
  <si>
    <t>Obs. (Class 2)</t>
  </si>
  <si>
    <t>Obs. (Class 3)</t>
  </si>
  <si>
    <t xml:space="preserve">Gini Index </t>
  </si>
  <si>
    <t>Train</t>
  </si>
  <si>
    <t>x</t>
  </si>
  <si>
    <t>y</t>
  </si>
  <si>
    <t>Test</t>
  </si>
  <si>
    <t>Suppose we chose split point candidates highlighted:</t>
  </si>
  <si>
    <t>for x = 6.50, Tree A</t>
  </si>
  <si>
    <t>for x = 9.50, Tree B</t>
  </si>
  <si>
    <t>N &lt;6.5</t>
  </si>
  <si>
    <t>N &lt;9.5</t>
  </si>
  <si>
    <t>N &gt;6.5</t>
  </si>
  <si>
    <t>N &gt;9.5</t>
  </si>
  <si>
    <t>left node:</t>
  </si>
  <si>
    <t>MSE(x &lt; 6.5)</t>
  </si>
  <si>
    <t>MSE(x &lt; 9.5)</t>
  </si>
  <si>
    <t>right node:</t>
  </si>
  <si>
    <t>MSE(x &gt; 6.5)</t>
  </si>
  <si>
    <t>MSE(x &gt; 9.5)</t>
  </si>
  <si>
    <t xml:space="preserve">MSE A = </t>
  </si>
  <si>
    <t>(weighted average)</t>
  </si>
  <si>
    <t xml:space="preserve">MSE B = </t>
  </si>
  <si>
    <t>Since MSE A &lt; MSE B therefore Tree A is better.</t>
  </si>
  <si>
    <t>a</t>
  </si>
  <si>
    <t>b</t>
  </si>
  <si>
    <t>c</t>
  </si>
  <si>
    <t>d</t>
  </si>
  <si>
    <t>target</t>
  </si>
  <si>
    <t>tree 1</t>
  </si>
  <si>
    <t>tree 2</t>
  </si>
  <si>
    <t>tree 3</t>
  </si>
  <si>
    <t>...</t>
  </si>
  <si>
    <t>tree 10</t>
  </si>
  <si>
    <t>this can be found using:</t>
  </si>
  <si>
    <t>i=1</t>
  </si>
  <si>
    <t>N</t>
  </si>
  <si>
    <t>model = RandomForestClassifier(...)</t>
  </si>
  <si>
    <t>i=2</t>
  </si>
  <si>
    <t>Y</t>
  </si>
  <si>
    <t>model.fit(x,y)</t>
  </si>
  <si>
    <t>i=3</t>
  </si>
  <si>
    <t>leaf_id = model.apply(x)</t>
  </si>
  <si>
    <t>i=4</t>
  </si>
  <si>
    <t>the data in observation 4 is very similar to the data in observation 3, the 2 features have the same values and the target has the same value as well</t>
  </si>
  <si>
    <t>initial guess:</t>
  </si>
  <si>
    <t>- Set the categorical feature to the most common value.</t>
  </si>
  <si>
    <t>- Set the numeric feature to the average/median value; only consider the values if the class is the most common value.</t>
  </si>
  <si>
    <t>Then,</t>
  </si>
  <si>
    <t>- Train a RF model on the dataset which has no missing features</t>
  </si>
  <si>
    <t>- Find the leaf nodes where the data points ultimately end up</t>
  </si>
  <si>
    <t>- From here we can create a proximity matrix for each tree</t>
  </si>
  <si>
    <t>- sum the proximity matrices for each tree element wise from tree 1 to 10 and normalise</t>
  </si>
  <si>
    <t>- normalise by dividing it by the number of trees OR columns sum to 1</t>
  </si>
  <si>
    <t>- this creates a weighted average to be used later</t>
  </si>
  <si>
    <t>- repeat the process above a couple of times.</t>
  </si>
  <si>
    <t>So how do we actually estimate the missing value?</t>
  </si>
  <si>
    <t xml:space="preserve">- For numeric features (aka d), we multiply the weight vector by the normalised proximity matrix </t>
  </si>
  <si>
    <t>note: since we have missing data for i=4, we need only multiply our weight vector with column 4 of the PM.</t>
  </si>
  <si>
    <t>and so on...</t>
  </si>
  <si>
    <t xml:space="preserve">[125, 90, 150] . (PM | i= 4 column) = </t>
  </si>
  <si>
    <t>note: diagonal will always be 0</t>
  </si>
  <si>
    <t>This is our updated estimate of d, now we replace our previous estimate with the new estimate and retrain to obtain a new PM</t>
  </si>
  <si>
    <t>proximity matrix</t>
  </si>
  <si>
    <t>The retraining process occurs until there are NO changes</t>
  </si>
  <si>
    <t>- For categorical features (aka c),</t>
  </si>
  <si>
    <t>we look at the other observations and calculate Probability * Weight</t>
  </si>
  <si>
    <t xml:space="preserve">P(Yes) = </t>
  </si>
  <si>
    <t>1/3 * 0.1 / (0.1 + 0.1 + 0.8)</t>
  </si>
  <si>
    <t>P(No)=</t>
  </si>
  <si>
    <t>2/3 * 0.1 + 0.8 / (0.1 + 0.1 + 0.8)</t>
  </si>
  <si>
    <t>&lt;- Since this is larger, missing value is assumed to be N</t>
  </si>
  <si>
    <t>So what about test data which has no target feature observation?</t>
  </si>
  <si>
    <t>- For the initial guess, follow above</t>
  </si>
  <si>
    <t>- For categorical features, since there are no observations for the target class, we consider all cases</t>
  </si>
  <si>
    <t>i.e: we replicate the test data point(s) with the number of classes that the target has</t>
  </si>
  <si>
    <t>- Use the model to predict the replicated data, A and B, and select the model which has a higher accuracy in y_pred</t>
  </si>
  <si>
    <t>test (A)</t>
  </si>
  <si>
    <t>test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</si>
</sst>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rgb="FF999999"/>
      <name val="Arial"/>
      <scheme val="minor"/>
    </font>
    <font>
      <sz val="10"/>
      <color rgb="FF11A9CC"/>
      <name val="&quot;Google Sans Mono&quot;"/>
    </font>
    <font>
      <sz val="10"/>
      <color theme="9"/>
      <name val="Google Sans Mono"/>
    </font>
    <font>
      <b/>
      <sz val="10"/>
      <color rgb="FFFF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3" fillId="3" borderId="0" xfId="0" applyNumberFormat="1" applyFont="1" applyFill="1"/>
    <xf numFmtId="0" fontId="1" fillId="4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4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11" xfId="0" applyNumberFormat="1" applyFont="1" applyBorder="1"/>
    <xf numFmtId="164" fontId="1" fillId="0" borderId="4" xfId="0" applyNumberFormat="1" applyFont="1" applyBorder="1"/>
    <xf numFmtId="164" fontId="1" fillId="0" borderId="10" xfId="0" applyNumberFormat="1" applyFont="1" applyBorder="1"/>
    <xf numFmtId="0" fontId="1" fillId="0" borderId="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0" fontId="1" fillId="5" borderId="4" xfId="0" applyFont="1" applyFill="1" applyBorder="1" applyAlignment="1">
      <alignment horizontal="center"/>
    </xf>
    <xf numFmtId="2" fontId="1" fillId="0" borderId="4" xfId="0" applyNumberFormat="1" applyFont="1" applyBorder="1"/>
    <xf numFmtId="2" fontId="1" fillId="6" borderId="4" xfId="0" applyNumberFormat="1" applyFont="1" applyFill="1" applyBorder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regressio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regression!$A$4:$A$18</c:f>
              <c:numCache>
                <c:formatCode>General</c:formatCode>
                <c:ptCount val="15"/>
                <c:pt idx="0">
                  <c:v>11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  <c:pt idx="5">
                  <c:v>20</c:v>
                </c:pt>
                <c:pt idx="6">
                  <c:v>9</c:v>
                </c:pt>
                <c:pt idx="7">
                  <c:v>14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18</c:v>
                </c:pt>
                <c:pt idx="12">
                  <c:v>15</c:v>
                </c:pt>
                <c:pt idx="13">
                  <c:v>4</c:v>
                </c:pt>
                <c:pt idx="14">
                  <c:v>2</c:v>
                </c:pt>
              </c:numCache>
            </c:numRef>
          </c:xVal>
          <c:yVal>
            <c:numRef>
              <c:f>regression!$B$4:$B$18</c:f>
              <c:numCache>
                <c:formatCode>0.00</c:formatCode>
                <c:ptCount val="15"/>
                <c:pt idx="0">
                  <c:v>25.412362178615631</c:v>
                </c:pt>
                <c:pt idx="1">
                  <c:v>11.843096606468366</c:v>
                </c:pt>
                <c:pt idx="2">
                  <c:v>3.1395841642241806</c:v>
                </c:pt>
                <c:pt idx="3">
                  <c:v>1.400356001187858</c:v>
                </c:pt>
                <c:pt idx="4">
                  <c:v>1.9311462438412108</c:v>
                </c:pt>
                <c:pt idx="5">
                  <c:v>6.8809822709962196</c:v>
                </c:pt>
                <c:pt idx="6">
                  <c:v>20.11571247890161</c:v>
                </c:pt>
                <c:pt idx="7">
                  <c:v>25.016189558387424</c:v>
                </c:pt>
                <c:pt idx="8">
                  <c:v>18.834259188592103</c:v>
                </c:pt>
                <c:pt idx="9">
                  <c:v>24.7770931855753</c:v>
                </c:pt>
                <c:pt idx="10">
                  <c:v>24.12375288501454</c:v>
                </c:pt>
                <c:pt idx="11">
                  <c:v>7.6625621492872025</c:v>
                </c:pt>
                <c:pt idx="12">
                  <c:v>8.9904374798810966</c:v>
                </c:pt>
                <c:pt idx="13">
                  <c:v>21.855899494318152</c:v>
                </c:pt>
                <c:pt idx="14">
                  <c:v>29.965009506402271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B-41B6-A162-A442961B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77807"/>
        <c:axId val="456045309"/>
      </c:scatterChart>
      <c:valAx>
        <c:axId val="1150777807"/>
        <c:scaling>
          <c:orientation val="minMax"/>
          <c:max val="22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456045309"/>
        <c:crosses val="autoZero"/>
        <c:crossBetween val="midCat"/>
      </c:valAx>
      <c:valAx>
        <c:axId val="456045309"/>
        <c:scaling>
          <c:orientation val="minMax"/>
          <c:max val="32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0.00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LID4096"/>
          </a:p>
        </c:txPr>
        <c:crossAx val="11507778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LID4096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2</xdr:row>
      <xdr:rowOff>276225</xdr:rowOff>
    </xdr:from>
    <xdr:ext cx="5657850" cy="3495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18">
  <tableColumns count="2">
    <tableColumn id="1" xr3:uid="{00000000-0010-0000-0000-000001000000}" name="x"/>
    <tableColumn id="2" xr3:uid="{00000000-0010-0000-0000-000002000000}" name="y"/>
  </tableColumns>
  <tableStyleInfo name="regress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5"/>
  <sheetViews>
    <sheetView showGridLines="0" workbookViewId="0"/>
  </sheetViews>
  <sheetFormatPr defaultColWidth="12.6328125" defaultRowHeight="15.75" customHeight="1"/>
  <sheetData>
    <row r="1" spans="1:9" ht="15.75" customHeight="1">
      <c r="A1" s="1" t="s">
        <v>0</v>
      </c>
      <c r="F1" s="1" t="s">
        <v>1</v>
      </c>
    </row>
    <row r="3" spans="1:9" ht="15.75" customHeight="1">
      <c r="A3" s="2"/>
      <c r="B3" s="3" t="s">
        <v>2</v>
      </c>
      <c r="C3" s="4"/>
      <c r="D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1:9" ht="15.75" customHeight="1">
      <c r="A4" s="5" t="s">
        <v>4</v>
      </c>
      <c r="B4" s="5" t="s">
        <v>5</v>
      </c>
      <c r="C4" s="5" t="s">
        <v>6</v>
      </c>
      <c r="D4" s="5" t="s">
        <v>7</v>
      </c>
      <c r="F4" s="5" t="s">
        <v>8</v>
      </c>
      <c r="G4" s="5" t="s">
        <v>9</v>
      </c>
      <c r="H4" s="5">
        <v>21</v>
      </c>
      <c r="I4" s="6" t="s">
        <v>10</v>
      </c>
    </row>
    <row r="5" spans="1:9" ht="15.75" customHeight="1">
      <c r="A5" s="5" t="s">
        <v>11</v>
      </c>
      <c r="B5" s="5" t="s">
        <v>9</v>
      </c>
      <c r="C5" s="5">
        <v>41</v>
      </c>
      <c r="D5" s="5">
        <v>1</v>
      </c>
    </row>
    <row r="6" spans="1:9" ht="15.75" customHeight="1">
      <c r="A6" s="5" t="s">
        <v>11</v>
      </c>
      <c r="B6" s="5" t="s">
        <v>12</v>
      </c>
      <c r="C6" s="5">
        <v>7</v>
      </c>
      <c r="D6" s="5">
        <v>1</v>
      </c>
    </row>
    <row r="7" spans="1:9" ht="15.75" customHeight="1">
      <c r="A7" s="5" t="s">
        <v>8</v>
      </c>
      <c r="B7" s="5" t="s">
        <v>12</v>
      </c>
      <c r="C7" s="5">
        <v>41</v>
      </c>
      <c r="D7" s="5">
        <v>1</v>
      </c>
    </row>
    <row r="8" spans="1:9" ht="15.75" customHeight="1">
      <c r="A8" s="5" t="s">
        <v>13</v>
      </c>
      <c r="B8" s="5" t="s">
        <v>12</v>
      </c>
      <c r="C8" s="5">
        <v>18</v>
      </c>
      <c r="D8" s="5">
        <v>1</v>
      </c>
    </row>
    <row r="9" spans="1:9" ht="15.75" customHeight="1">
      <c r="A9" s="5" t="s">
        <v>8</v>
      </c>
      <c r="B9" s="5" t="s">
        <v>12</v>
      </c>
      <c r="C9" s="5">
        <v>47</v>
      </c>
      <c r="D9" s="5">
        <v>0</v>
      </c>
    </row>
    <row r="10" spans="1:9" ht="15.75" customHeight="1">
      <c r="A10" s="5" t="s">
        <v>13</v>
      </c>
      <c r="B10" s="5" t="s">
        <v>12</v>
      </c>
      <c r="C10" s="5">
        <v>31</v>
      </c>
      <c r="D10" s="5">
        <v>0</v>
      </c>
    </row>
    <row r="11" spans="1:9" ht="15.75" customHeight="1">
      <c r="A11" s="5" t="s">
        <v>13</v>
      </c>
      <c r="B11" s="5" t="s">
        <v>9</v>
      </c>
      <c r="C11" s="5">
        <v>36</v>
      </c>
      <c r="D11" s="5">
        <v>1</v>
      </c>
    </row>
    <row r="12" spans="1:9" ht="15.75" customHeight="1">
      <c r="A12" s="5" t="s">
        <v>13</v>
      </c>
      <c r="B12" s="5" t="s">
        <v>12</v>
      </c>
      <c r="C12" s="5">
        <v>24</v>
      </c>
      <c r="D12" s="5">
        <v>1</v>
      </c>
    </row>
    <row r="13" spans="1:9" ht="15.75" customHeight="1">
      <c r="A13" s="5" t="s">
        <v>13</v>
      </c>
      <c r="B13" s="5" t="s">
        <v>12</v>
      </c>
      <c r="C13" s="5">
        <v>42</v>
      </c>
      <c r="D13" s="5">
        <v>1</v>
      </c>
    </row>
    <row r="14" spans="1:9" ht="15.75" customHeight="1">
      <c r="A14" s="5" t="s">
        <v>11</v>
      </c>
      <c r="B14" s="5" t="s">
        <v>9</v>
      </c>
      <c r="C14" s="5">
        <v>45</v>
      </c>
      <c r="D14" s="5">
        <v>0</v>
      </c>
    </row>
    <row r="15" spans="1:9" ht="15.75" customHeight="1">
      <c r="A15" s="5" t="s">
        <v>11</v>
      </c>
      <c r="B15" s="5" t="s">
        <v>12</v>
      </c>
      <c r="C15" s="5">
        <v>47</v>
      </c>
      <c r="D15" s="5">
        <v>1</v>
      </c>
    </row>
    <row r="16" spans="1:9" ht="15.75" customHeight="1">
      <c r="A16" s="5" t="s">
        <v>8</v>
      </c>
      <c r="B16" s="5" t="s">
        <v>9</v>
      </c>
      <c r="C16" s="5">
        <v>12</v>
      </c>
      <c r="D16" s="5">
        <v>0</v>
      </c>
    </row>
    <row r="17" spans="1:22" ht="15.75" customHeight="1">
      <c r="A17" s="5" t="s">
        <v>13</v>
      </c>
      <c r="B17" s="5" t="s">
        <v>9</v>
      </c>
      <c r="C17" s="5">
        <v>3</v>
      </c>
      <c r="D17" s="5">
        <v>0</v>
      </c>
    </row>
    <row r="19" spans="1:22">
      <c r="A19" s="7" t="s">
        <v>14</v>
      </c>
    </row>
    <row r="21" spans="1:22" ht="12.5">
      <c r="A21" s="1" t="s">
        <v>15</v>
      </c>
    </row>
    <row r="22" spans="1:22" ht="12.5">
      <c r="A22" s="5" t="s">
        <v>16</v>
      </c>
      <c r="B22" s="5" t="s">
        <v>17</v>
      </c>
      <c r="C22" s="5" t="s">
        <v>18</v>
      </c>
      <c r="D22" s="5" t="s">
        <v>5</v>
      </c>
      <c r="E22" s="5" t="s">
        <v>6</v>
      </c>
      <c r="F22" s="5" t="s">
        <v>7</v>
      </c>
      <c r="H22" s="1" t="s">
        <v>19</v>
      </c>
    </row>
    <row r="23" spans="1:22" ht="12.5">
      <c r="A23" s="5">
        <f t="shared" ref="A23:A35" si="0">IF(A5="Green",1,0)</f>
        <v>1</v>
      </c>
      <c r="B23" s="5">
        <f t="shared" ref="B23:B35" si="1">IF(A5="Blue",1,0)</f>
        <v>0</v>
      </c>
      <c r="C23" s="5">
        <f t="shared" ref="C23:C35" si="2">IF(A5="Red",1,0)</f>
        <v>0</v>
      </c>
      <c r="D23" s="5" t="s">
        <v>9</v>
      </c>
      <c r="E23" s="5">
        <v>41</v>
      </c>
      <c r="F23" s="5">
        <v>1</v>
      </c>
      <c r="H23" s="5">
        <v>3</v>
      </c>
      <c r="J23" s="5">
        <v>3</v>
      </c>
      <c r="K23" s="5">
        <v>7</v>
      </c>
      <c r="L23" s="5">
        <v>12</v>
      </c>
      <c r="M23" s="5">
        <v>18</v>
      </c>
      <c r="N23" s="5">
        <v>24</v>
      </c>
      <c r="O23" s="5">
        <v>31</v>
      </c>
      <c r="P23" s="5">
        <v>36</v>
      </c>
      <c r="Q23" s="5">
        <v>41</v>
      </c>
      <c r="R23" s="5">
        <v>42</v>
      </c>
      <c r="S23" s="5">
        <v>45</v>
      </c>
      <c r="T23" s="5">
        <v>47</v>
      </c>
      <c r="V23" s="8"/>
    </row>
    <row r="24" spans="1:22" ht="12.5">
      <c r="A24" s="5">
        <f t="shared" si="0"/>
        <v>1</v>
      </c>
      <c r="B24" s="5">
        <f t="shared" si="1"/>
        <v>0</v>
      </c>
      <c r="C24" s="5">
        <f t="shared" si="2"/>
        <v>0</v>
      </c>
      <c r="D24" s="5" t="s">
        <v>12</v>
      </c>
      <c r="E24" s="5">
        <v>7</v>
      </c>
      <c r="F24" s="5">
        <v>1</v>
      </c>
      <c r="H24" s="5">
        <v>7</v>
      </c>
    </row>
    <row r="25" spans="1:22" ht="12.5">
      <c r="A25" s="5">
        <f t="shared" si="0"/>
        <v>0</v>
      </c>
      <c r="B25" s="5">
        <f t="shared" si="1"/>
        <v>1</v>
      </c>
      <c r="C25" s="5">
        <f t="shared" si="2"/>
        <v>0</v>
      </c>
      <c r="D25" s="5" t="s">
        <v>12</v>
      </c>
      <c r="E25" s="5">
        <v>41</v>
      </c>
      <c r="F25" s="5">
        <v>1</v>
      </c>
      <c r="H25" s="5">
        <v>12</v>
      </c>
      <c r="J25" s="1">
        <f t="shared" ref="J25:S25" si="3">(J23+K23)/2</f>
        <v>5</v>
      </c>
      <c r="K25" s="1">
        <f t="shared" si="3"/>
        <v>9.5</v>
      </c>
      <c r="L25" s="1">
        <f t="shared" si="3"/>
        <v>15</v>
      </c>
      <c r="M25" s="1">
        <f t="shared" si="3"/>
        <v>21</v>
      </c>
      <c r="N25" s="1">
        <f t="shared" si="3"/>
        <v>27.5</v>
      </c>
      <c r="O25" s="1">
        <f t="shared" si="3"/>
        <v>33.5</v>
      </c>
      <c r="P25" s="1">
        <f t="shared" si="3"/>
        <v>38.5</v>
      </c>
      <c r="Q25" s="1">
        <f t="shared" si="3"/>
        <v>41.5</v>
      </c>
      <c r="R25" s="1">
        <f t="shared" si="3"/>
        <v>43.5</v>
      </c>
      <c r="S25" s="1">
        <f t="shared" si="3"/>
        <v>46</v>
      </c>
    </row>
    <row r="26" spans="1:22" ht="12.5">
      <c r="A26" s="5">
        <f t="shared" si="0"/>
        <v>0</v>
      </c>
      <c r="B26" s="5">
        <f t="shared" si="1"/>
        <v>0</v>
      </c>
      <c r="C26" s="5">
        <f t="shared" si="2"/>
        <v>1</v>
      </c>
      <c r="D26" s="5" t="s">
        <v>12</v>
      </c>
      <c r="E26" s="5">
        <v>18</v>
      </c>
      <c r="F26" s="5">
        <v>1</v>
      </c>
      <c r="H26" s="5">
        <v>18</v>
      </c>
    </row>
    <row r="27" spans="1:22" ht="12.5">
      <c r="A27" s="5">
        <f t="shared" si="0"/>
        <v>0</v>
      </c>
      <c r="B27" s="5">
        <f t="shared" si="1"/>
        <v>1</v>
      </c>
      <c r="C27" s="5">
        <f t="shared" si="2"/>
        <v>0</v>
      </c>
      <c r="D27" s="5" t="s">
        <v>12</v>
      </c>
      <c r="E27" s="5">
        <v>47</v>
      </c>
      <c r="F27" s="5">
        <v>0</v>
      </c>
      <c r="H27" s="5">
        <v>24</v>
      </c>
    </row>
    <row r="28" spans="1:22" ht="12.5">
      <c r="A28" s="5">
        <f t="shared" si="0"/>
        <v>0</v>
      </c>
      <c r="B28" s="5">
        <f t="shared" si="1"/>
        <v>0</v>
      </c>
      <c r="C28" s="5">
        <f t="shared" si="2"/>
        <v>1</v>
      </c>
      <c r="D28" s="5" t="s">
        <v>12</v>
      </c>
      <c r="E28" s="5">
        <v>31</v>
      </c>
      <c r="F28" s="5">
        <v>0</v>
      </c>
      <c r="H28" s="5">
        <v>31</v>
      </c>
    </row>
    <row r="29" spans="1:22" ht="12.5">
      <c r="A29" s="5">
        <f t="shared" si="0"/>
        <v>0</v>
      </c>
      <c r="B29" s="5">
        <f t="shared" si="1"/>
        <v>0</v>
      </c>
      <c r="C29" s="5">
        <f t="shared" si="2"/>
        <v>1</v>
      </c>
      <c r="D29" s="5" t="s">
        <v>9</v>
      </c>
      <c r="E29" s="5">
        <v>36</v>
      </c>
      <c r="F29" s="5">
        <v>1</v>
      </c>
      <c r="H29" s="5">
        <v>36</v>
      </c>
    </row>
    <row r="30" spans="1:22" ht="12.5">
      <c r="A30" s="5">
        <f t="shared" si="0"/>
        <v>0</v>
      </c>
      <c r="B30" s="5">
        <f t="shared" si="1"/>
        <v>0</v>
      </c>
      <c r="C30" s="5">
        <f t="shared" si="2"/>
        <v>1</v>
      </c>
      <c r="D30" s="5" t="s">
        <v>12</v>
      </c>
      <c r="E30" s="5">
        <v>24</v>
      </c>
      <c r="F30" s="5">
        <v>1</v>
      </c>
      <c r="H30" s="5">
        <v>41</v>
      </c>
    </row>
    <row r="31" spans="1:22" ht="12.5">
      <c r="A31" s="5">
        <f t="shared" si="0"/>
        <v>0</v>
      </c>
      <c r="B31" s="5">
        <f t="shared" si="1"/>
        <v>0</v>
      </c>
      <c r="C31" s="5">
        <f t="shared" si="2"/>
        <v>1</v>
      </c>
      <c r="D31" s="5" t="s">
        <v>12</v>
      </c>
      <c r="E31" s="5">
        <v>42</v>
      </c>
      <c r="F31" s="5">
        <v>1</v>
      </c>
      <c r="H31" s="5">
        <v>41</v>
      </c>
    </row>
    <row r="32" spans="1:22" ht="12.5">
      <c r="A32" s="5">
        <f t="shared" si="0"/>
        <v>1</v>
      </c>
      <c r="B32" s="5">
        <f t="shared" si="1"/>
        <v>0</v>
      </c>
      <c r="C32" s="5">
        <f t="shared" si="2"/>
        <v>0</v>
      </c>
      <c r="D32" s="5" t="s">
        <v>9</v>
      </c>
      <c r="E32" s="5">
        <v>45</v>
      </c>
      <c r="F32" s="5">
        <v>0</v>
      </c>
      <c r="H32" s="5">
        <v>42</v>
      </c>
    </row>
    <row r="33" spans="1:8" ht="12.5">
      <c r="A33" s="5">
        <f t="shared" si="0"/>
        <v>1</v>
      </c>
      <c r="B33" s="5">
        <f t="shared" si="1"/>
        <v>0</v>
      </c>
      <c r="C33" s="5">
        <f t="shared" si="2"/>
        <v>0</v>
      </c>
      <c r="D33" s="5" t="s">
        <v>12</v>
      </c>
      <c r="E33" s="5">
        <v>47</v>
      </c>
      <c r="F33" s="5">
        <v>1</v>
      </c>
      <c r="H33" s="5">
        <v>45</v>
      </c>
    </row>
    <row r="34" spans="1:8" ht="12.5">
      <c r="A34" s="5">
        <f t="shared" si="0"/>
        <v>0</v>
      </c>
      <c r="B34" s="5">
        <f t="shared" si="1"/>
        <v>1</v>
      </c>
      <c r="C34" s="5">
        <f t="shared" si="2"/>
        <v>0</v>
      </c>
      <c r="D34" s="5" t="s">
        <v>9</v>
      </c>
      <c r="E34" s="5">
        <v>12</v>
      </c>
      <c r="F34" s="5">
        <v>0</v>
      </c>
      <c r="H34" s="5">
        <v>47</v>
      </c>
    </row>
    <row r="35" spans="1:8" ht="12.5">
      <c r="A35" s="5">
        <f t="shared" si="0"/>
        <v>0</v>
      </c>
      <c r="B35" s="5">
        <f t="shared" si="1"/>
        <v>0</v>
      </c>
      <c r="C35" s="5">
        <f t="shared" si="2"/>
        <v>1</v>
      </c>
      <c r="D35" s="5" t="s">
        <v>9</v>
      </c>
      <c r="E35" s="5">
        <v>3</v>
      </c>
      <c r="F35" s="5">
        <v>0</v>
      </c>
      <c r="H35" s="5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8"/>
  <sheetViews>
    <sheetView showGridLines="0" tabSelected="1" topLeftCell="G14" workbookViewId="0">
      <selection activeCell="K22" sqref="K22"/>
    </sheetView>
  </sheetViews>
  <sheetFormatPr defaultColWidth="12.6328125" defaultRowHeight="15.75" customHeight="1"/>
  <cols>
    <col min="6" max="6" width="21.90625" customWidth="1"/>
  </cols>
  <sheetData>
    <row r="1" spans="1:14" ht="15.75" customHeight="1">
      <c r="A1" s="1" t="s">
        <v>0</v>
      </c>
      <c r="F1" s="1" t="s">
        <v>1</v>
      </c>
    </row>
    <row r="3" spans="1:14" ht="15.75" customHeight="1">
      <c r="A3" s="2"/>
      <c r="B3" s="3" t="s">
        <v>2</v>
      </c>
      <c r="C3" s="4"/>
      <c r="D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1:14" ht="15.75" customHeight="1">
      <c r="A4" s="5" t="s">
        <v>20</v>
      </c>
      <c r="B4" s="5" t="s">
        <v>5</v>
      </c>
      <c r="C4" s="5" t="s">
        <v>6</v>
      </c>
      <c r="D4" s="5" t="s">
        <v>7</v>
      </c>
      <c r="F4" s="5">
        <v>1</v>
      </c>
      <c r="G4" s="5" t="s">
        <v>9</v>
      </c>
      <c r="H4" s="5">
        <v>21</v>
      </c>
      <c r="I4" s="6" t="s">
        <v>10</v>
      </c>
    </row>
    <row r="5" spans="1:14" ht="15.75" customHeight="1">
      <c r="A5" s="5">
        <v>1</v>
      </c>
      <c r="B5" s="5">
        <v>1</v>
      </c>
      <c r="C5" s="5">
        <v>41</v>
      </c>
      <c r="D5" s="5">
        <v>1</v>
      </c>
    </row>
    <row r="6" spans="1:14" ht="15.75" customHeight="1">
      <c r="A6" s="5">
        <v>2</v>
      </c>
      <c r="B6" s="5">
        <v>0</v>
      </c>
      <c r="C6" s="5">
        <v>7</v>
      </c>
      <c r="D6" s="5">
        <v>1</v>
      </c>
    </row>
    <row r="7" spans="1:14" ht="15.75" customHeight="1">
      <c r="A7" s="5">
        <v>1</v>
      </c>
      <c r="B7" s="5">
        <v>0</v>
      </c>
      <c r="C7" s="5">
        <v>41</v>
      </c>
      <c r="D7" s="5">
        <v>1</v>
      </c>
      <c r="F7" s="1" t="s">
        <v>21</v>
      </c>
    </row>
    <row r="8" spans="1:14" ht="15.75" customHeight="1">
      <c r="A8" s="5">
        <v>2</v>
      </c>
      <c r="B8" s="5">
        <v>0</v>
      </c>
      <c r="C8" s="5">
        <v>18</v>
      </c>
      <c r="D8" s="5">
        <v>1</v>
      </c>
      <c r="F8" s="9" t="s">
        <v>22</v>
      </c>
      <c r="G8" s="10">
        <f>1-(8/13)^2-(5/13)^2</f>
        <v>0.47337278106508873</v>
      </c>
      <c r="H8" s="1" t="s">
        <v>23</v>
      </c>
    </row>
    <row r="9" spans="1:14" ht="15.75" customHeight="1">
      <c r="A9" s="5">
        <v>3</v>
      </c>
      <c r="B9" s="5">
        <v>0</v>
      </c>
      <c r="C9" s="5">
        <v>47</v>
      </c>
      <c r="D9" s="5">
        <v>0</v>
      </c>
    </row>
    <row r="10" spans="1:14" ht="15.75" customHeight="1">
      <c r="A10" s="5">
        <v>2</v>
      </c>
      <c r="B10" s="5">
        <v>0</v>
      </c>
      <c r="C10" s="5">
        <v>31</v>
      </c>
      <c r="D10" s="5">
        <v>0</v>
      </c>
      <c r="F10" s="1" t="s">
        <v>24</v>
      </c>
    </row>
    <row r="11" spans="1:14" ht="15.75" customHeight="1">
      <c r="A11" s="5">
        <v>2</v>
      </c>
      <c r="B11" s="5">
        <v>1</v>
      </c>
      <c r="C11" s="5">
        <v>36</v>
      </c>
      <c r="D11" s="5">
        <v>1</v>
      </c>
      <c r="F11" s="9" t="s">
        <v>25</v>
      </c>
      <c r="G11" s="11">
        <f>1-(2/3)^2-(1/3)^2</f>
        <v>0.44444444444444448</v>
      </c>
      <c r="L11" s="1">
        <f>COUNTIFS($A$5:$A$17,"&lt;1.5",$D$5:$D$17,"1")</f>
        <v>2</v>
      </c>
      <c r="M11" s="1">
        <f>COUNTIFS($A$5:$A$17,"&lt;1.5",$D$5:$D$17,"0")</f>
        <v>1</v>
      </c>
      <c r="N11" s="1">
        <f>COUNTIFS($A$5:$A$17,"&lt;1.5")</f>
        <v>3</v>
      </c>
    </row>
    <row r="12" spans="1:14" ht="15.75" customHeight="1">
      <c r="A12" s="5">
        <v>3</v>
      </c>
      <c r="B12" s="5">
        <v>0</v>
      </c>
      <c r="C12" s="5">
        <v>24</v>
      </c>
      <c r="D12" s="5">
        <v>1</v>
      </c>
      <c r="F12" s="9" t="s">
        <v>26</v>
      </c>
      <c r="G12" s="11">
        <f>1-(6/10)^2-(4/10)^2</f>
        <v>0.48</v>
      </c>
      <c r="L12" s="1">
        <f>COUNTIFS($A$5:$A$17,"&gt;1.5",$D$5:$D$17,"1")</f>
        <v>6</v>
      </c>
      <c r="M12" s="1">
        <f>COUNTIFS($A$5:$A$17,"&gt;1.5",$D$5:$D$17,"0")</f>
        <v>4</v>
      </c>
      <c r="N12" s="1">
        <f>COUNTIFS($A$5:$A$17,"&gt;1.5")</f>
        <v>10</v>
      </c>
    </row>
    <row r="13" spans="1:14" ht="15.75" customHeight="1">
      <c r="A13" s="5">
        <v>2</v>
      </c>
      <c r="B13" s="5">
        <v>0</v>
      </c>
      <c r="C13" s="5">
        <v>42</v>
      </c>
      <c r="D13" s="5">
        <v>1</v>
      </c>
      <c r="F13" s="9" t="s">
        <v>27</v>
      </c>
      <c r="G13" s="11">
        <f>G8-(3/13)*G11-(10/13)*G12</f>
        <v>1.5779092702168929E-3</v>
      </c>
    </row>
    <row r="14" spans="1:14" ht="15.75" customHeight="1">
      <c r="A14" s="5">
        <v>3</v>
      </c>
      <c r="B14" s="5">
        <v>1</v>
      </c>
      <c r="C14" s="5">
        <v>45</v>
      </c>
      <c r="D14" s="5">
        <v>0</v>
      </c>
    </row>
    <row r="15" spans="1:14" ht="15.75" customHeight="1">
      <c r="A15" s="5">
        <v>2</v>
      </c>
      <c r="B15" s="5">
        <v>0</v>
      </c>
      <c r="C15" s="5">
        <v>47</v>
      </c>
      <c r="D15" s="5">
        <v>1</v>
      </c>
      <c r="F15" s="9" t="s">
        <v>28</v>
      </c>
      <c r="G15" s="11">
        <f t="shared" ref="G15:G16" si="0">1-(L15/N15)^2-(M15/N15)^2</f>
        <v>0.42000000000000004</v>
      </c>
      <c r="L15" s="1">
        <f>COUNTIFS($A$5:$A$17,"&lt;2.5",$D$5:$D$17,"1")</f>
        <v>7</v>
      </c>
      <c r="M15" s="1">
        <f>COUNTIFS($A$5:$A$17,"&lt;2.5",$D$5:$D$17,"0")</f>
        <v>3</v>
      </c>
      <c r="N15" s="1">
        <f>COUNTIFS($A$5:$A$17,"&lt;2.5")</f>
        <v>10</v>
      </c>
    </row>
    <row r="16" spans="1:14" ht="15.75" customHeight="1">
      <c r="A16" s="5">
        <v>2</v>
      </c>
      <c r="B16" s="5">
        <v>1</v>
      </c>
      <c r="C16" s="5">
        <v>12</v>
      </c>
      <c r="D16" s="5">
        <v>0</v>
      </c>
      <c r="F16" s="9" t="s">
        <v>29</v>
      </c>
      <c r="G16" s="11">
        <f t="shared" si="0"/>
        <v>0.44444444444444442</v>
      </c>
      <c r="L16" s="1">
        <f>COUNTIFS($A$5:$A$17,"&gt;2.5",$D$5:$D$17,"1")</f>
        <v>1</v>
      </c>
      <c r="M16" s="1">
        <f>COUNTIFS($A$5:$A$17,"&gt;2.5",$D$5:$D$17,"0")</f>
        <v>2</v>
      </c>
      <c r="N16" s="1">
        <f>COUNTIFS($A$5:$A$17,"&gt;2.5")</f>
        <v>3</v>
      </c>
    </row>
    <row r="17" spans="1:22" ht="15.75" customHeight="1">
      <c r="A17" s="5">
        <v>1</v>
      </c>
      <c r="B17" s="5">
        <v>1</v>
      </c>
      <c r="C17" s="5">
        <v>3</v>
      </c>
      <c r="D17" s="5">
        <v>0</v>
      </c>
      <c r="F17" s="9" t="s">
        <v>30</v>
      </c>
      <c r="G17" s="11">
        <f>G8-(10/13)*G15-(3/13)*G16</f>
        <v>4.7731755424063022E-2</v>
      </c>
    </row>
    <row r="19" spans="1:22">
      <c r="A19" s="7" t="s">
        <v>14</v>
      </c>
      <c r="F19" s="9" t="s">
        <v>31</v>
      </c>
      <c r="G19" s="11">
        <f t="shared" ref="G19:G20" si="1">1-(L19/N19)^2-(M19/N19)^2</f>
        <v>0.375</v>
      </c>
      <c r="L19" s="1">
        <f>COUNTIFS($B$5:$B$17,"&lt;0.5",$D$5:$D$17,"1")</f>
        <v>6</v>
      </c>
      <c r="M19" s="1">
        <f>COUNTIFS($B$5:$B$17,"&lt;0.5",$D$5:$D$17,"0")</f>
        <v>2</v>
      </c>
      <c r="N19" s="1">
        <f>COUNTIFS($B$5:$B$17,"&lt;0.5")</f>
        <v>8</v>
      </c>
    </row>
    <row r="20" spans="1:22" ht="12.5">
      <c r="F20" s="9" t="s">
        <v>32</v>
      </c>
      <c r="G20" s="11">
        <f t="shared" si="1"/>
        <v>0.48</v>
      </c>
      <c r="L20" s="1">
        <f>COUNTIFS($B$5:$B$17,"&gt;0.5",$D$5:$D$17,"1")</f>
        <v>2</v>
      </c>
      <c r="M20" s="1">
        <f>COUNTIFS($B$5:$B$17,"&gt;0.5",$D$5:$D$17,"0")</f>
        <v>3</v>
      </c>
      <c r="N20" s="1">
        <f>COUNTIFS($B$5:$B$17,"&gt;0.5")</f>
        <v>5</v>
      </c>
    </row>
    <row r="21" spans="1:22" ht="12.5">
      <c r="A21" s="9" t="s">
        <v>33</v>
      </c>
      <c r="B21" s="12">
        <v>1</v>
      </c>
      <c r="F21" s="9" t="s">
        <v>34</v>
      </c>
      <c r="G21" s="13">
        <f>G8-(8/13)*G19-(5/13)*G20</f>
        <v>5.7988165680473325E-2</v>
      </c>
      <c r="H21" s="1" t="s">
        <v>35</v>
      </c>
    </row>
    <row r="22" spans="1:22" ht="12.5">
      <c r="A22" s="9" t="s">
        <v>36</v>
      </c>
      <c r="B22" s="12">
        <v>0</v>
      </c>
    </row>
    <row r="23" spans="1:22" ht="12.5">
      <c r="F23" s="1" t="s">
        <v>37</v>
      </c>
      <c r="L23" s="14">
        <v>5</v>
      </c>
      <c r="M23" s="14">
        <v>9.5</v>
      </c>
      <c r="N23" s="14">
        <v>15</v>
      </c>
      <c r="O23" s="14">
        <v>21</v>
      </c>
      <c r="P23" s="14">
        <v>27.5</v>
      </c>
      <c r="Q23" s="14">
        <v>33.5</v>
      </c>
      <c r="R23" s="14">
        <v>38.5</v>
      </c>
      <c r="S23" s="14">
        <v>41.5</v>
      </c>
      <c r="T23" s="14">
        <v>43.5</v>
      </c>
      <c r="U23" s="14">
        <v>46</v>
      </c>
    </row>
    <row r="24" spans="1:22" ht="12.5">
      <c r="F24" s="9" t="s">
        <v>38</v>
      </c>
      <c r="G24" s="1">
        <f>L28</f>
        <v>0</v>
      </c>
    </row>
    <row r="25" spans="1:22" ht="12.5">
      <c r="F25" s="9" t="s">
        <v>39</v>
      </c>
      <c r="G25" s="11">
        <f>M28</f>
        <v>0.44444444444444448</v>
      </c>
      <c r="L25" s="15">
        <v>5</v>
      </c>
      <c r="M25" s="16"/>
      <c r="N25" s="17"/>
      <c r="P25" s="15">
        <v>9.5</v>
      </c>
      <c r="Q25" s="16"/>
      <c r="R25" s="17"/>
      <c r="T25" s="15">
        <v>15</v>
      </c>
      <c r="U25" s="16"/>
      <c r="V25" s="17"/>
    </row>
    <row r="26" spans="1:22" ht="12.5">
      <c r="F26" s="9" t="s">
        <v>40</v>
      </c>
      <c r="G26" s="18">
        <f>N28</f>
        <v>6.3116370808678435E-2</v>
      </c>
      <c r="H26" s="1" t="s">
        <v>41</v>
      </c>
      <c r="L26" s="19">
        <f>COUNTIFS($C$5:$C$17,"&lt;5",$D$5:$D$17,"1")</f>
        <v>0</v>
      </c>
      <c r="M26" s="1">
        <f>COUNTIFS($C$5:$C$17,"&lt;5",$D$5:$D$17,"0")</f>
        <v>1</v>
      </c>
      <c r="N26" s="20">
        <f t="shared" ref="N26:N27" si="2">SUM(L26,M26)</f>
        <v>1</v>
      </c>
      <c r="P26" s="19">
        <f>COUNTIFS($C$5:$C$17,"&lt;9.5",$D$5:$D$17,"1")</f>
        <v>1</v>
      </c>
      <c r="Q26" s="1">
        <f>COUNTIFS($C$5:$C$17,"&lt;9.5",$D$5:$D$17,"0")</f>
        <v>1</v>
      </c>
      <c r="R26" s="20">
        <f t="shared" ref="R26:R27" si="3">SUM(P26,Q26)</f>
        <v>2</v>
      </c>
      <c r="T26" s="19">
        <f>COUNTIFS($C$5:$C$17,"&lt;15",$D$5:$D$17,"1")</f>
        <v>1</v>
      </c>
      <c r="U26" s="1">
        <f>COUNTIFS($C$5:$C$17,"&lt;15",$D$5:$D$17,"0")</f>
        <v>2</v>
      </c>
      <c r="V26" s="20">
        <f t="shared" ref="V26:V27" si="4">SUM(T26,U26)</f>
        <v>3</v>
      </c>
    </row>
    <row r="27" spans="1:22" ht="12.5">
      <c r="L27" s="19">
        <f>COUNTIFS($C$5:$C$17,"&gt;5",$D$5:$D$17,"1")</f>
        <v>8</v>
      </c>
      <c r="M27" s="1">
        <f>COUNTIFS($C$5:$C$17,"&gt;5",$D$5:$D$17,"0")</f>
        <v>4</v>
      </c>
      <c r="N27" s="20">
        <f t="shared" si="2"/>
        <v>12</v>
      </c>
      <c r="P27" s="19">
        <f>COUNTIFS($C$5:$C$17,"&gt;9.5",$D$5:$D$17,"1")</f>
        <v>7</v>
      </c>
      <c r="Q27" s="1">
        <f>COUNTIFS($C$5:$C$17,"&gt;9.5",$D$5:$D$17,"0")</f>
        <v>4</v>
      </c>
      <c r="R27" s="20">
        <f t="shared" si="3"/>
        <v>11</v>
      </c>
      <c r="T27" s="19">
        <f>COUNTIFS($C$5:$C$17,"&gt;15",$D$5:$D$17,"1")</f>
        <v>7</v>
      </c>
      <c r="U27" s="1">
        <f>COUNTIFS($C$5:$C$17,"&gt;15",$D$5:$D$17,"0")</f>
        <v>3</v>
      </c>
      <c r="V27" s="20">
        <f t="shared" si="4"/>
        <v>10</v>
      </c>
    </row>
    <row r="28" spans="1:22" ht="12.5">
      <c r="L28" s="21">
        <f>1-(L26/N26)^2-(M26/N26)^2</f>
        <v>0</v>
      </c>
      <c r="M28" s="22">
        <f>1-(L27/N27)^2-(M27/N27)^2</f>
        <v>0.44444444444444448</v>
      </c>
      <c r="N28" s="23">
        <f>G8-(1/13*L28)-(12/13*M28)</f>
        <v>6.3116370808678435E-2</v>
      </c>
      <c r="P28" s="21">
        <f>1-(P26/R26)^2-(Q26/R26)^2</f>
        <v>0.5</v>
      </c>
      <c r="Q28" s="22">
        <f>1-(P27/R27)^2-(Q27/R27)^2</f>
        <v>0.46280991735537191</v>
      </c>
      <c r="R28" s="23">
        <f>$G$8-(2/13*P28)-(11/13*Q28)</f>
        <v>4.8413125336201901E-3</v>
      </c>
      <c r="T28" s="24">
        <f>1-(T26/V26)^2-(U26/V26)^2</f>
        <v>0.44444444444444442</v>
      </c>
      <c r="U28" s="22">
        <f>1-(T27/V27)^2-(U27/V27)^2</f>
        <v>0.42000000000000004</v>
      </c>
      <c r="V28" s="23">
        <f>$G$8-(3/13*T28)-(10/13*U28)</f>
        <v>4.7731755424063049E-2</v>
      </c>
    </row>
    <row r="30" spans="1:22" ht="12.5">
      <c r="L30" s="15">
        <v>21</v>
      </c>
      <c r="M30" s="16"/>
      <c r="N30" s="17"/>
      <c r="P30" s="15">
        <v>27.5</v>
      </c>
      <c r="Q30" s="16"/>
      <c r="R30" s="17"/>
      <c r="T30" s="15">
        <v>33.5</v>
      </c>
      <c r="U30" s="16"/>
      <c r="V30" s="17"/>
    </row>
    <row r="31" spans="1:22" ht="12.5">
      <c r="L31" s="19">
        <f>COUNTIFS($C$5:$C$17,"&lt;21",$D$5:$D$17,"1")</f>
        <v>2</v>
      </c>
      <c r="M31" s="1">
        <f>COUNTIFS($C$5:$C$17,"&lt;21",$D$5:$D$17,"0")</f>
        <v>2</v>
      </c>
      <c r="N31" s="20">
        <f t="shared" ref="N31:N32" si="5">SUM(L31,M31)</f>
        <v>4</v>
      </c>
      <c r="P31" s="19">
        <f>COUNTIFS($C$5:$C$17,"&lt;27.5",$D$5:$D$17,"1")</f>
        <v>3</v>
      </c>
      <c r="Q31" s="1">
        <f>COUNTIFS($C$5:$C$17,"&lt;27.5",$D$5:$D$17,"0")</f>
        <v>2</v>
      </c>
      <c r="R31" s="20">
        <f t="shared" ref="R31:R32" si="6">SUM(P31,Q31)</f>
        <v>5</v>
      </c>
      <c r="T31" s="19">
        <f>COUNTIFS($C$5:$C$17,"&lt;33.5",$D$5:$D$17,"1")</f>
        <v>3</v>
      </c>
      <c r="U31" s="1">
        <f>COUNTIFS($C$5:$C$17,"&lt;33.5",$D$5:$D$17,"0")</f>
        <v>3</v>
      </c>
      <c r="V31" s="20">
        <f t="shared" ref="V31:V32" si="7">SUM(T31,U31)</f>
        <v>6</v>
      </c>
    </row>
    <row r="32" spans="1:22" ht="12.5">
      <c r="L32" s="19">
        <f>COUNTIFS($C$5:$C$17,"&gt;21",$D$5:$D$17,"1")</f>
        <v>6</v>
      </c>
      <c r="M32" s="1">
        <f>COUNTIFS($C$5:$C$17,"&gt;21",$D$5:$D$17,"0")</f>
        <v>3</v>
      </c>
      <c r="N32" s="20">
        <f t="shared" si="5"/>
        <v>9</v>
      </c>
      <c r="P32" s="19">
        <f>COUNTIFS($C$5:$C$17,"&gt;27.5",$D$5:$D$17,"1")</f>
        <v>5</v>
      </c>
      <c r="Q32" s="1">
        <f>COUNTIFS($C$5:$C$17,"&gt;27.5",$D$5:$D$17,"0")</f>
        <v>3</v>
      </c>
      <c r="R32" s="20">
        <f t="shared" si="6"/>
        <v>8</v>
      </c>
      <c r="T32" s="19">
        <f>COUNTIFS($C$5:$C$17,"&gt;33.5",$D$5:$D$17,"1")</f>
        <v>5</v>
      </c>
      <c r="U32" s="1">
        <f>COUNTIFS($C$5:$C$17,"&gt;33.5",$D$5:$D$17,"0")</f>
        <v>2</v>
      </c>
      <c r="V32" s="20">
        <f t="shared" si="7"/>
        <v>7</v>
      </c>
    </row>
    <row r="33" spans="12:26" ht="12.5">
      <c r="L33" s="21">
        <f>1-(L31/N31)^2-(M31/N31)^2</f>
        <v>0.5</v>
      </c>
      <c r="M33" s="22">
        <f>1-(L32/N32)^2-(M32/N32)^2</f>
        <v>0.44444444444444448</v>
      </c>
      <c r="N33" s="23">
        <f>$G$8-(4/13*L33)-(9/13*M33)</f>
        <v>1.1834319526627168E-2</v>
      </c>
      <c r="P33" s="21">
        <f>1-(P31/R31)^2-(Q31/R31)^2</f>
        <v>0.48</v>
      </c>
      <c r="Q33" s="22">
        <f>1-(P32/R32)^2-(Q32/R32)^2</f>
        <v>0.46875</v>
      </c>
      <c r="R33" s="23">
        <f>$G$8-(5/13*P33)-(8/13*Q33)</f>
        <v>2.9585798816561537E-4</v>
      </c>
      <c r="T33" s="21">
        <f>1-(T31/V31)^2-(U31/V31)^2</f>
        <v>0.5</v>
      </c>
      <c r="U33" s="22">
        <f>1-(T32/V32)^2-(U32/V32)^2</f>
        <v>0.40816326530612246</v>
      </c>
      <c r="V33" s="23">
        <f>$G$8-(6/13*T33)-(7/13*U33)</f>
        <v>2.2823330515638174E-2</v>
      </c>
    </row>
    <row r="35" spans="12:26" ht="12.5">
      <c r="L35" s="15">
        <v>38.5</v>
      </c>
      <c r="M35" s="16"/>
      <c r="N35" s="17"/>
      <c r="P35" s="15">
        <v>41.5</v>
      </c>
      <c r="Q35" s="16"/>
      <c r="R35" s="17"/>
      <c r="T35" s="15">
        <v>43.5</v>
      </c>
      <c r="U35" s="16"/>
      <c r="V35" s="17"/>
      <c r="X35" s="15">
        <v>46</v>
      </c>
      <c r="Y35" s="16"/>
      <c r="Z35" s="17"/>
    </row>
    <row r="36" spans="12:26" ht="12.5">
      <c r="L36" s="19">
        <f>COUNTIFS($C$5:$C$17,"&lt;38.5",$D$5:$D$17,"1")</f>
        <v>4</v>
      </c>
      <c r="M36" s="1">
        <f>COUNTIFS($C$5:$C$17,"&lt;38.5",$D$5:$D$17,"0")</f>
        <v>3</v>
      </c>
      <c r="N36" s="20">
        <f t="shared" ref="N36:N37" si="8">SUM(L36,M36)</f>
        <v>7</v>
      </c>
      <c r="P36" s="19">
        <f>COUNTIFS($C$5:$C$17,"&lt;41.5",$D$5:$D$17,"1")</f>
        <v>6</v>
      </c>
      <c r="Q36" s="1">
        <f>COUNTIFS($C$5:$C$17,"&lt;41.5",$D$5:$D$17,"0")</f>
        <v>3</v>
      </c>
      <c r="R36" s="20">
        <f t="shared" ref="R36:R37" si="9">SUM(P36,Q36)</f>
        <v>9</v>
      </c>
      <c r="T36" s="19">
        <f>COUNTIFS($C$5:$C$17,"&lt;43.5",$D$5:$D$17,"1")</f>
        <v>7</v>
      </c>
      <c r="U36" s="1">
        <f>COUNTIFS($C$5:$C$17,"&lt;43.5",$D$5:$D$17,"0")</f>
        <v>3</v>
      </c>
      <c r="V36" s="20">
        <f t="shared" ref="V36:V37" si="10">SUM(T36,U36)</f>
        <v>10</v>
      </c>
      <c r="X36" s="19">
        <f>COUNTIFS($C$5:$C$17,"&lt;46",$D$5:$D$17,"1")</f>
        <v>7</v>
      </c>
      <c r="Y36" s="1">
        <f>COUNTIFS($C$5:$C$17,"&lt;46",$D$5:$D$17,"0")</f>
        <v>4</v>
      </c>
      <c r="Z36" s="20">
        <f t="shared" ref="Z36:Z37" si="11">SUM(X36,Y36)</f>
        <v>11</v>
      </c>
    </row>
    <row r="37" spans="12:26" ht="12.5">
      <c r="L37" s="19">
        <f>COUNTIFS($C$5:$C$17,"&gt;38.5",$D$5:$D$17,"1")</f>
        <v>4</v>
      </c>
      <c r="M37" s="1">
        <f>COUNTIFS($C$5:$C$17,"&gt;38.5",$D$5:$D$17,"0")</f>
        <v>2</v>
      </c>
      <c r="N37" s="20">
        <f t="shared" si="8"/>
        <v>6</v>
      </c>
      <c r="P37" s="19">
        <f>COUNTIFS($C$5:$C$17,"&gt;41.5",$D$5:$D$17,"1")</f>
        <v>2</v>
      </c>
      <c r="Q37" s="1">
        <f>COUNTIFS($C$5:$C$17,"&gt;41.5",$D$5:$D$17,"0")</f>
        <v>2</v>
      </c>
      <c r="R37" s="20">
        <f t="shared" si="9"/>
        <v>4</v>
      </c>
      <c r="T37" s="19">
        <f>COUNTIFS($C$5:$C$17,"&gt;43.5",$D$5:$D$17,"1")</f>
        <v>1</v>
      </c>
      <c r="U37" s="1">
        <f>COUNTIFS($C$5:$C$17,"&gt;43.5",$D$5:$D$17,"0")</f>
        <v>2</v>
      </c>
      <c r="V37" s="20">
        <f t="shared" si="10"/>
        <v>3</v>
      </c>
      <c r="X37" s="19">
        <f>COUNTIFS($C$5:$C$17,"&gt;46",$D$5:$D$17,"1")</f>
        <v>1</v>
      </c>
      <c r="Y37" s="1">
        <f>COUNTIFS($C$5:$C$17,"&gt;46",$D$5:$D$17,"0")</f>
        <v>1</v>
      </c>
      <c r="Z37" s="20">
        <f t="shared" si="11"/>
        <v>2</v>
      </c>
    </row>
    <row r="38" spans="12:26" ht="12.5">
      <c r="L38" s="21">
        <f>1-(L36/N36)^2-(M36/N36)^2</f>
        <v>0.48979591836734704</v>
      </c>
      <c r="M38" s="22">
        <f>1-(L37/N37)^2-(M37/N37)^2</f>
        <v>0.44444444444444448</v>
      </c>
      <c r="N38" s="23">
        <f>$G$8-(7/13*L38)-(6/13*M38)</f>
        <v>4.5083122006197851E-3</v>
      </c>
      <c r="P38" s="21">
        <f>1-(P36/R36)^2-(Q36/R36)^2</f>
        <v>0.44444444444444448</v>
      </c>
      <c r="Q38" s="22">
        <f>1-(P37/R37)^2-(Q37/R37)^2</f>
        <v>0.5</v>
      </c>
      <c r="R38" s="23">
        <f>$G$8-(9/13*P38)-(4/13*Q38)</f>
        <v>1.1834319526627168E-2</v>
      </c>
      <c r="T38" s="21">
        <f>1-(T36/V36)^2-(U36/V36)^2</f>
        <v>0.42000000000000004</v>
      </c>
      <c r="U38" s="22">
        <f>1-(T37/V37)^2-(U37/V37)^2</f>
        <v>0.44444444444444442</v>
      </c>
      <c r="V38" s="23">
        <f>$G$8-(10/13*T38)-(3/13*U38)</f>
        <v>4.7731755424063022E-2</v>
      </c>
      <c r="X38" s="21">
        <f>1-(X36/Z36)^2-(Y36/Z36)^2</f>
        <v>0.46280991735537191</v>
      </c>
      <c r="Y38" s="22">
        <f>1-(X37/Z37)^2-(Y37/Z37)^2</f>
        <v>0.5</v>
      </c>
      <c r="Z38" s="23">
        <f>$G$8-(11/13*X38)-(2/13*Y38)</f>
        <v>4.8413125336201901E-3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E13"/>
  <sheetViews>
    <sheetView showGridLines="0" workbookViewId="0"/>
  </sheetViews>
  <sheetFormatPr defaultColWidth="12.6328125" defaultRowHeight="15.75" customHeight="1"/>
  <cols>
    <col min="1" max="1" width="14.7265625" customWidth="1"/>
  </cols>
  <sheetData>
    <row r="2" spans="1:5" ht="15.75" customHeight="1">
      <c r="A2" s="5" t="s">
        <v>42</v>
      </c>
      <c r="B2" s="5" t="s">
        <v>3</v>
      </c>
      <c r="D2" s="1" t="s">
        <v>43</v>
      </c>
      <c r="E2" s="1">
        <f>COUNT(B3:B13)</f>
        <v>11</v>
      </c>
    </row>
    <row r="3" spans="1:5" ht="15.75" customHeight="1">
      <c r="A3" s="25">
        <v>0.75622471433066607</v>
      </c>
      <c r="B3" s="25">
        <v>2</v>
      </c>
      <c r="D3" s="1" t="s">
        <v>44</v>
      </c>
      <c r="E3" s="1">
        <f>COUNTIF(B3:B13, 1)</f>
        <v>2</v>
      </c>
    </row>
    <row r="4" spans="1:5" ht="15.75" customHeight="1">
      <c r="A4" s="25">
        <v>0.23318041492079666</v>
      </c>
      <c r="B4" s="25">
        <v>1</v>
      </c>
      <c r="D4" s="1" t="s">
        <v>45</v>
      </c>
      <c r="E4" s="1">
        <f>COUNTIF(B3:B13, 2)</f>
        <v>4</v>
      </c>
    </row>
    <row r="5" spans="1:5" ht="15.75" customHeight="1">
      <c r="A5" s="25">
        <v>0.61372725255644389</v>
      </c>
      <c r="B5" s="25">
        <v>2</v>
      </c>
      <c r="D5" s="1" t="s">
        <v>46</v>
      </c>
      <c r="E5" s="1">
        <f>COUNTIF(B3:B13, 3)</f>
        <v>5</v>
      </c>
    </row>
    <row r="6" spans="1:5" ht="15.75" customHeight="1">
      <c r="A6" s="25">
        <v>0.34953877324840832</v>
      </c>
      <c r="B6" s="25">
        <v>2</v>
      </c>
    </row>
    <row r="7" spans="1:5" ht="15.75" customHeight="1">
      <c r="A7" s="25">
        <v>0.42016489284633662</v>
      </c>
      <c r="B7" s="25">
        <v>3</v>
      </c>
      <c r="D7" s="1" t="s">
        <v>47</v>
      </c>
      <c r="E7" s="11">
        <f>1-(E3/E2)^2-(E4/E2)^2-(E5/E2)^2</f>
        <v>0.62809917355371903</v>
      </c>
    </row>
    <row r="8" spans="1:5" ht="15.75" customHeight="1">
      <c r="A8" s="25">
        <v>0.58375747205670259</v>
      </c>
      <c r="B8" s="25">
        <v>3</v>
      </c>
    </row>
    <row r="9" spans="1:5" ht="15.75" customHeight="1">
      <c r="A9" s="25">
        <v>0.75240268808562205</v>
      </c>
      <c r="B9" s="25">
        <v>1</v>
      </c>
    </row>
    <row r="10" spans="1:5" ht="15.75" customHeight="1">
      <c r="A10" s="25">
        <v>0.48943990378314328</v>
      </c>
      <c r="B10" s="25">
        <v>3</v>
      </c>
    </row>
    <row r="11" spans="1:5" ht="15.75" customHeight="1">
      <c r="A11" s="25">
        <v>1.5807091894736391E-2</v>
      </c>
      <c r="B11" s="25">
        <v>3</v>
      </c>
    </row>
    <row r="12" spans="1:5" ht="15.75" customHeight="1">
      <c r="A12" s="25">
        <v>0.15300472378188157</v>
      </c>
      <c r="B12" s="25">
        <v>3</v>
      </c>
    </row>
    <row r="13" spans="1:5" ht="15.75" customHeight="1">
      <c r="A13" s="25">
        <v>4.2650829202496077E-2</v>
      </c>
      <c r="B13" s="2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6"/>
  <sheetViews>
    <sheetView showGridLines="0" workbookViewId="0"/>
  </sheetViews>
  <sheetFormatPr defaultColWidth="12.6328125" defaultRowHeight="15.75" customHeight="1"/>
  <sheetData>
    <row r="1" spans="1:2" ht="15.75" customHeight="1">
      <c r="A1" s="1" t="s">
        <v>48</v>
      </c>
    </row>
    <row r="2" spans="1:2" ht="15.75" customHeight="1">
      <c r="A2" s="8"/>
      <c r="B2" s="8"/>
    </row>
    <row r="3" spans="1:2" ht="15.75" customHeight="1">
      <c r="A3" s="26" t="s">
        <v>49</v>
      </c>
      <c r="B3" s="27" t="s">
        <v>50</v>
      </c>
    </row>
    <row r="4" spans="1:2" ht="15.75" customHeight="1">
      <c r="A4" s="28">
        <v>11</v>
      </c>
      <c r="B4" s="29">
        <v>25.412362178615631</v>
      </c>
    </row>
    <row r="5" spans="1:2" ht="15.75" customHeight="1">
      <c r="A5" s="28">
        <v>4</v>
      </c>
      <c r="B5" s="29">
        <v>11.843096606468366</v>
      </c>
    </row>
    <row r="6" spans="1:2" ht="15.75" customHeight="1">
      <c r="A6" s="28">
        <v>9</v>
      </c>
      <c r="B6" s="29">
        <v>3.1395841642241806</v>
      </c>
    </row>
    <row r="7" spans="1:2" ht="15.75" customHeight="1">
      <c r="A7" s="28">
        <v>9</v>
      </c>
      <c r="B7" s="29">
        <v>1.400356001187858</v>
      </c>
    </row>
    <row r="8" spans="1:2" ht="15.75" customHeight="1">
      <c r="A8" s="28">
        <v>2</v>
      </c>
      <c r="B8" s="29">
        <v>1.9311462438412108</v>
      </c>
    </row>
    <row r="9" spans="1:2" ht="15.75" customHeight="1">
      <c r="A9" s="28">
        <v>20</v>
      </c>
      <c r="B9" s="29">
        <v>6.8809822709962196</v>
      </c>
    </row>
    <row r="10" spans="1:2" ht="15.75" customHeight="1">
      <c r="A10" s="28">
        <v>9</v>
      </c>
      <c r="B10" s="29">
        <v>20.11571247890161</v>
      </c>
    </row>
    <row r="11" spans="1:2" ht="15.75" customHeight="1">
      <c r="A11" s="28">
        <v>14</v>
      </c>
      <c r="B11" s="29">
        <v>25.016189558387424</v>
      </c>
    </row>
    <row r="12" spans="1:2" ht="15.75" customHeight="1">
      <c r="A12" s="28">
        <v>3</v>
      </c>
      <c r="B12" s="29">
        <v>18.834259188592103</v>
      </c>
    </row>
    <row r="13" spans="1:2" ht="15.75" customHeight="1">
      <c r="A13" s="28">
        <v>6</v>
      </c>
      <c r="B13" s="29">
        <v>24.7770931855753</v>
      </c>
    </row>
    <row r="14" spans="1:2" ht="15.75" customHeight="1">
      <c r="A14" s="28">
        <v>2</v>
      </c>
      <c r="B14" s="29">
        <v>24.12375288501454</v>
      </c>
    </row>
    <row r="15" spans="1:2" ht="15.75" customHeight="1">
      <c r="A15" s="28">
        <v>18</v>
      </c>
      <c r="B15" s="29">
        <v>7.6625621492872025</v>
      </c>
    </row>
    <row r="16" spans="1:2" ht="15.75" customHeight="1">
      <c r="A16" s="28">
        <v>15</v>
      </c>
      <c r="B16" s="29">
        <v>8.9904374798810966</v>
      </c>
    </row>
    <row r="17" spans="1:25" ht="15.75" customHeight="1">
      <c r="A17" s="28">
        <v>4</v>
      </c>
      <c r="B17" s="29">
        <v>21.855899494318152</v>
      </c>
    </row>
    <row r="18" spans="1:25" ht="15.75" customHeight="1">
      <c r="A18" s="28">
        <v>2</v>
      </c>
      <c r="B18" s="29">
        <v>29.965009506402271</v>
      </c>
    </row>
    <row r="20" spans="1:25" ht="12.5">
      <c r="A20" s="1" t="s">
        <v>51</v>
      </c>
    </row>
    <row r="21" spans="1:25" ht="12.5">
      <c r="A21" s="5" t="s">
        <v>49</v>
      </c>
      <c r="B21" s="5" t="s">
        <v>50</v>
      </c>
      <c r="K21" s="25">
        <v>11</v>
      </c>
      <c r="L21" s="25">
        <v>4</v>
      </c>
      <c r="M21" s="25">
        <v>9</v>
      </c>
      <c r="N21" s="25">
        <v>9</v>
      </c>
      <c r="O21" s="25">
        <v>2</v>
      </c>
      <c r="P21" s="25">
        <v>20</v>
      </c>
      <c r="Q21" s="25">
        <v>9</v>
      </c>
      <c r="R21" s="25">
        <v>14</v>
      </c>
      <c r="S21" s="25">
        <v>3</v>
      </c>
      <c r="T21" s="25">
        <v>6</v>
      </c>
      <c r="U21" s="25">
        <v>2</v>
      </c>
      <c r="V21" s="25">
        <v>18</v>
      </c>
      <c r="W21" s="25">
        <v>15</v>
      </c>
      <c r="X21" s="25">
        <v>4</v>
      </c>
      <c r="Y21" s="25">
        <v>2</v>
      </c>
    </row>
    <row r="22" spans="1:25" ht="12.5">
      <c r="A22" s="25">
        <v>15</v>
      </c>
      <c r="B22" s="30" t="s">
        <v>10</v>
      </c>
    </row>
    <row r="23" spans="1:25" ht="12.5">
      <c r="K23" s="31">
        <f t="shared" ref="K23:X23" si="0">(K21+L21)/2</f>
        <v>7.5</v>
      </c>
      <c r="L23" s="32">
        <f t="shared" si="0"/>
        <v>6.5</v>
      </c>
      <c r="M23" s="31">
        <f t="shared" si="0"/>
        <v>9</v>
      </c>
      <c r="N23" s="31">
        <f t="shared" si="0"/>
        <v>5.5</v>
      </c>
      <c r="O23" s="31">
        <f t="shared" si="0"/>
        <v>11</v>
      </c>
      <c r="P23" s="31">
        <f t="shared" si="0"/>
        <v>14.5</v>
      </c>
      <c r="Q23" s="31">
        <f t="shared" si="0"/>
        <v>11.5</v>
      </c>
      <c r="R23" s="31">
        <f t="shared" si="0"/>
        <v>8.5</v>
      </c>
      <c r="S23" s="31">
        <f t="shared" si="0"/>
        <v>4.5</v>
      </c>
      <c r="T23" s="31">
        <f t="shared" si="0"/>
        <v>4</v>
      </c>
      <c r="U23" s="31">
        <f t="shared" si="0"/>
        <v>10</v>
      </c>
      <c r="V23" s="31">
        <f t="shared" si="0"/>
        <v>16.5</v>
      </c>
      <c r="W23" s="32">
        <f t="shared" si="0"/>
        <v>9.5</v>
      </c>
      <c r="X23" s="31">
        <f t="shared" si="0"/>
        <v>3</v>
      </c>
      <c r="Y23" s="33"/>
    </row>
    <row r="25" spans="1:25" ht="12.5">
      <c r="K25" s="1" t="s">
        <v>52</v>
      </c>
    </row>
    <row r="27" spans="1:25" ht="12.5">
      <c r="K27" s="1" t="s">
        <v>53</v>
      </c>
      <c r="O27" s="1" t="s">
        <v>54</v>
      </c>
    </row>
    <row r="28" spans="1:25" ht="12.5">
      <c r="K28" s="1" t="s">
        <v>55</v>
      </c>
      <c r="L28" s="8">
        <f>COUNTIF(A4:A18,"&lt;6.5")</f>
        <v>7</v>
      </c>
      <c r="M28" s="34">
        <f>AVERAGEIFS(B4:B18, A4:A18, "&lt;6.5")</f>
        <v>19.047179587173133</v>
      </c>
      <c r="O28" s="1" t="s">
        <v>56</v>
      </c>
      <c r="P28" s="8">
        <f>COUNTIF(A4:A18,"&lt;9.5")</f>
        <v>10</v>
      </c>
      <c r="Q28" s="34">
        <f>AVERAGEIFS($B$4:$B$18, $A$4:$A$18, "&lt;9.5")</f>
        <v>15.79859097545256</v>
      </c>
    </row>
    <row r="29" spans="1:25" ht="12.5">
      <c r="K29" s="1" t="s">
        <v>57</v>
      </c>
      <c r="L29" s="8">
        <f>COUNTIF(A4:A18,"&gt;6.5")</f>
        <v>8</v>
      </c>
      <c r="M29" s="34">
        <f>AVERAGEIFS($B$4:$B$18, $A$4:$A$18, "&gt;6.5")</f>
        <v>12.327273285185152</v>
      </c>
      <c r="O29" s="1" t="s">
        <v>58</v>
      </c>
      <c r="P29" s="8">
        <f>COUNTIF(A4:A18,"&gt;9.5")</f>
        <v>5</v>
      </c>
      <c r="Q29" s="34">
        <f>AVERAGEIFS($B$4:$B$18, $A$4:$A$18, "&gt;9.5")</f>
        <v>14.792506727433514</v>
      </c>
    </row>
    <row r="30" spans="1:25" ht="12.5">
      <c r="P30" s="8"/>
      <c r="Q30" s="8"/>
    </row>
    <row r="31" spans="1:25" ht="12.5">
      <c r="J31" s="1" t="s">
        <v>59</v>
      </c>
      <c r="K31" s="1" t="s">
        <v>60</v>
      </c>
      <c r="L31" s="35">
        <f>(1/L28)*((B5-M28)^2+(B8-M28)^2+(B12-M28)^2+(B13-M28)^2+(B14-M28)^2+(B17-M28)^2+(B18-M28)^2)</f>
        <v>75.799166864940034</v>
      </c>
      <c r="O31" s="1" t="s">
        <v>61</v>
      </c>
      <c r="P31" s="35">
        <f>(1/P28)*((B5-Q28)^2+(B6-Q28)^2+(B7-Q28)^2+(B8-Q28)^2+(B10-Q28)^2+(B12-Q28)^2+(B13-Q28)^2+(B14-Q28)^2+(B17-Q28)^2+(B18-Q28)^2)</f>
        <v>99.066462572839271</v>
      </c>
      <c r="Q31" s="8"/>
    </row>
    <row r="32" spans="1:25" ht="12.5">
      <c r="J32" s="1" t="s">
        <v>62</v>
      </c>
      <c r="K32" s="1" t="s">
        <v>63</v>
      </c>
      <c r="L32" s="35">
        <f>(1/L29)*((B4-M29)^2+(B6-M29)^2+(B7-M29)^2+(B9-M29)^2+(B10-M29)^2+(B11-M29)^2+(B15-M29)^2+(B16-M29)^2)</f>
        <v>82.406896788805213</v>
      </c>
      <c r="O32" s="1" t="s">
        <v>64</v>
      </c>
      <c r="P32" s="35">
        <f>(1/P29)*((B4-Q29)^2+(B9-Q29)^2+(B11-Q29)^2+(B15-Q29)^2+(B16-Q29)^2)</f>
        <v>72.879471379516232</v>
      </c>
      <c r="Q32" s="8"/>
    </row>
    <row r="33" spans="11:17" ht="12.5">
      <c r="P33" s="8"/>
      <c r="Q33" s="8"/>
    </row>
    <row r="34" spans="11:17" ht="12.5">
      <c r="K34" s="1" t="s">
        <v>65</v>
      </c>
      <c r="L34" s="35">
        <f>L31*(L28/15)+L32*(L29/15)</f>
        <v>79.323289491001461</v>
      </c>
      <c r="M34" s="1" t="s">
        <v>66</v>
      </c>
      <c r="O34" s="1" t="s">
        <v>67</v>
      </c>
      <c r="P34" s="35">
        <f>P31*(P28/15)+P32*(P29/15)</f>
        <v>90.337465508398253</v>
      </c>
      <c r="Q34" s="1" t="s">
        <v>66</v>
      </c>
    </row>
    <row r="36" spans="11:17" ht="12.5">
      <c r="K36" s="1" t="s">
        <v>68</v>
      </c>
    </row>
  </sheetData>
  <customSheetViews>
    <customSheetView guid="{1199D117-C578-483D-9440-56A1CC2BFC68}" filter="1" showAutoFilter="1">
      <pageMargins left="0.7" right="0.7" top="0.75" bottom="0.75" header="0.3" footer="0.3"/>
      <autoFilter ref="A3:B18" xr:uid="{867F4F4E-DA87-4E88-9763-173CF16A6D47}">
        <filterColumn colId="0">
          <customFilters>
            <customFilter operator="greaterThan" val="9.5"/>
          </customFilters>
        </filterColumn>
      </autoFilter>
    </customSheetView>
    <customSheetView guid="{05A02C62-3A0B-4BB8-8913-3B7A87C50040}" filter="1" showAutoFilter="1">
      <pageMargins left="0.7" right="0.7" top="0.75" bottom="0.75" header="0.3" footer="0.3"/>
      <autoFilter ref="A3:B18" xr:uid="{715588D1-7E3E-4516-834E-D8DA53CE0B3F}">
        <filterColumn colId="0">
          <customFilters>
            <customFilter operator="lessThan" val="9.5"/>
          </customFilters>
        </filterColumn>
      </autoFilter>
    </customSheetView>
    <customSheetView guid="{CA96E1A3-6999-4FFF-BA9C-647FB49BCDA3}" filter="1" showAutoFilter="1">
      <pageMargins left="0.7" right="0.7" top="0.75" bottom="0.75" header="0.3" footer="0.3"/>
      <autoFilter ref="A3:B18" xr:uid="{56319EC8-EBF0-4BCD-9494-C308C61126A0}">
        <filterColumn colId="0">
          <customFilters>
            <customFilter operator="greaterThan" val="6.5"/>
          </customFilters>
        </filterColumn>
      </autoFilter>
    </customSheetView>
    <customSheetView guid="{FB2EFE71-B75B-4B93-914B-CF4054E51819}" filter="1" showAutoFilter="1">
      <pageMargins left="0.7" right="0.7" top="0.75" bottom="0.75" header="0.3" footer="0.3"/>
      <autoFilter ref="A3:B18" xr:uid="{1C5A3AA6-E282-49BA-B22E-9D5B3CDBA77F}">
        <filterColumn colId="0">
          <customFilters>
            <customFilter operator="lessThan" val="6.5"/>
          </customFilters>
        </filterColumn>
      </autoFilter>
    </customSheetView>
  </customSheetViews>
  <dataValidations count="1">
    <dataValidation type="custom" allowBlank="1" showDropDown="1" sqref="B4:B18" xr:uid="{00000000-0002-0000-0300-000000000000}">
      <formula1>AND(ISNUMBER(B4),(NOT(OR(NOT(ISERROR(DATEVALUE(B4))), AND(ISNUMBER(B4), LEFT(CELL("format", B4))="D")))))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Q49"/>
  <sheetViews>
    <sheetView showGridLines="0" workbookViewId="0"/>
  </sheetViews>
  <sheetFormatPr defaultColWidth="12.6328125" defaultRowHeight="15.75" customHeight="1"/>
  <sheetData>
    <row r="3" spans="1:17" ht="15.75" customHeight="1">
      <c r="B3" s="5" t="s">
        <v>69</v>
      </c>
      <c r="C3" s="5" t="s">
        <v>70</v>
      </c>
      <c r="D3" s="5" t="s">
        <v>71</v>
      </c>
      <c r="E3" s="5" t="s">
        <v>72</v>
      </c>
      <c r="F3" s="5" t="s">
        <v>73</v>
      </c>
      <c r="H3" s="5" t="s">
        <v>74</v>
      </c>
      <c r="I3" s="5" t="s">
        <v>75</v>
      </c>
      <c r="J3" s="5" t="s">
        <v>76</v>
      </c>
      <c r="K3" s="5" t="s">
        <v>77</v>
      </c>
      <c r="L3" s="5" t="s">
        <v>78</v>
      </c>
      <c r="N3" s="1" t="s">
        <v>79</v>
      </c>
    </row>
    <row r="4" spans="1:17" ht="15.75" customHeight="1">
      <c r="A4" s="8" t="s">
        <v>80</v>
      </c>
      <c r="B4" s="5" t="s">
        <v>81</v>
      </c>
      <c r="C4" s="5" t="s">
        <v>81</v>
      </c>
      <c r="D4" s="5" t="s">
        <v>81</v>
      </c>
      <c r="E4" s="5">
        <v>125</v>
      </c>
      <c r="F4" s="5" t="s">
        <v>81</v>
      </c>
      <c r="H4" s="5">
        <v>3</v>
      </c>
      <c r="I4" s="5">
        <v>3</v>
      </c>
      <c r="J4" s="5">
        <v>1</v>
      </c>
      <c r="K4" s="5"/>
      <c r="L4" s="5"/>
      <c r="N4" s="1" t="s">
        <v>82</v>
      </c>
    </row>
    <row r="5" spans="1:17" ht="15.75" customHeight="1">
      <c r="A5" s="8" t="s">
        <v>83</v>
      </c>
      <c r="B5" s="5" t="s">
        <v>84</v>
      </c>
      <c r="C5" s="5" t="s">
        <v>84</v>
      </c>
      <c r="D5" s="5" t="s">
        <v>84</v>
      </c>
      <c r="E5" s="5">
        <v>90</v>
      </c>
      <c r="F5" s="5" t="s">
        <v>84</v>
      </c>
      <c r="H5" s="5">
        <v>0</v>
      </c>
      <c r="I5" s="5">
        <v>0</v>
      </c>
      <c r="J5" s="5">
        <v>0</v>
      </c>
      <c r="K5" s="5"/>
      <c r="L5" s="5"/>
      <c r="N5" s="1" t="s">
        <v>85</v>
      </c>
    </row>
    <row r="6" spans="1:17" ht="15.75" customHeight="1">
      <c r="A6" s="8" t="s">
        <v>86</v>
      </c>
      <c r="B6" s="5" t="s">
        <v>84</v>
      </c>
      <c r="C6" s="5" t="s">
        <v>84</v>
      </c>
      <c r="D6" s="5" t="s">
        <v>81</v>
      </c>
      <c r="E6" s="5">
        <v>150</v>
      </c>
      <c r="F6" s="5" t="s">
        <v>81</v>
      </c>
      <c r="H6" s="5">
        <v>1</v>
      </c>
      <c r="I6" s="5">
        <v>0</v>
      </c>
      <c r="J6" s="5">
        <v>2</v>
      </c>
      <c r="K6" s="5"/>
      <c r="L6" s="5"/>
      <c r="N6" s="1" t="s">
        <v>87</v>
      </c>
    </row>
    <row r="7" spans="1:17" ht="15.75" customHeight="1">
      <c r="A7" s="8" t="s">
        <v>88</v>
      </c>
      <c r="B7" s="5" t="s">
        <v>84</v>
      </c>
      <c r="C7" s="5" t="s">
        <v>84</v>
      </c>
      <c r="D7" s="36" t="s">
        <v>10</v>
      </c>
      <c r="E7" s="36" t="s">
        <v>10</v>
      </c>
      <c r="F7" s="5" t="s">
        <v>81</v>
      </c>
      <c r="H7" s="5">
        <v>1</v>
      </c>
      <c r="I7" s="5">
        <v>0</v>
      </c>
      <c r="J7" s="5">
        <v>2</v>
      </c>
      <c r="K7" s="5"/>
      <c r="L7" s="5"/>
    </row>
    <row r="9" spans="1:17" ht="15.75" customHeight="1">
      <c r="B9" s="1" t="s">
        <v>89</v>
      </c>
    </row>
    <row r="11" spans="1:17" ht="15.75" customHeight="1">
      <c r="B11" s="1" t="s">
        <v>90</v>
      </c>
    </row>
    <row r="12" spans="1:17" ht="15.75" customHeight="1">
      <c r="B12" s="1" t="s">
        <v>91</v>
      </c>
    </row>
    <row r="13" spans="1:17" ht="15.75" customHeight="1">
      <c r="B13" s="1" t="s">
        <v>92</v>
      </c>
    </row>
    <row r="15" spans="1:17" ht="15.75" customHeight="1">
      <c r="B15" s="1" t="s">
        <v>93</v>
      </c>
    </row>
    <row r="16" spans="1:17" ht="15.75" customHeight="1">
      <c r="B16" s="1" t="s">
        <v>94</v>
      </c>
      <c r="M16" s="8" t="s">
        <v>74</v>
      </c>
      <c r="N16" s="5" t="s">
        <v>80</v>
      </c>
      <c r="O16" s="5" t="s">
        <v>83</v>
      </c>
      <c r="P16" s="5" t="s">
        <v>86</v>
      </c>
      <c r="Q16" s="5" t="s">
        <v>88</v>
      </c>
    </row>
    <row r="17" spans="2:17" ht="15.75" customHeight="1">
      <c r="B17" s="1" t="s">
        <v>95</v>
      </c>
      <c r="M17" s="5" t="s">
        <v>80</v>
      </c>
      <c r="N17" s="5"/>
      <c r="O17" s="5"/>
      <c r="P17" s="5"/>
      <c r="Q17" s="5"/>
    </row>
    <row r="18" spans="2:17" ht="15.75" customHeight="1">
      <c r="B18" s="1" t="s">
        <v>96</v>
      </c>
      <c r="M18" s="5" t="s">
        <v>83</v>
      </c>
      <c r="N18" s="5"/>
      <c r="O18" s="5"/>
      <c r="P18" s="5"/>
      <c r="Q18" s="5"/>
    </row>
    <row r="19" spans="2:17" ht="15.75" customHeight="1">
      <c r="B19" s="1" t="s">
        <v>97</v>
      </c>
      <c r="M19" s="5" t="s">
        <v>86</v>
      </c>
      <c r="N19" s="5"/>
      <c r="O19" s="5"/>
      <c r="P19" s="5"/>
      <c r="Q19" s="5">
        <v>1</v>
      </c>
    </row>
    <row r="20" spans="2:17" ht="12.5">
      <c r="B20" s="1" t="s">
        <v>98</v>
      </c>
      <c r="M20" s="5" t="s">
        <v>88</v>
      </c>
      <c r="N20" s="5"/>
      <c r="O20" s="5"/>
      <c r="P20" s="5">
        <v>1</v>
      </c>
      <c r="Q20" s="5"/>
    </row>
    <row r="21" spans="2:17" ht="12.5">
      <c r="B21" s="1" t="s">
        <v>99</v>
      </c>
      <c r="M21" s="8"/>
      <c r="N21" s="8"/>
      <c r="O21" s="8"/>
      <c r="P21" s="8"/>
      <c r="Q21" s="8"/>
    </row>
    <row r="22" spans="2:17" ht="12.5">
      <c r="M22" s="8" t="s">
        <v>75</v>
      </c>
      <c r="N22" s="5" t="s">
        <v>80</v>
      </c>
      <c r="O22" s="5" t="s">
        <v>83</v>
      </c>
      <c r="P22" s="5" t="s">
        <v>86</v>
      </c>
      <c r="Q22" s="5" t="s">
        <v>88</v>
      </c>
    </row>
    <row r="23" spans="2:17" ht="12.5">
      <c r="B23" s="1" t="s">
        <v>100</v>
      </c>
      <c r="M23" s="5" t="s">
        <v>80</v>
      </c>
      <c r="N23" s="5"/>
      <c r="O23" s="5"/>
      <c r="P23" s="5"/>
      <c r="Q23" s="5"/>
    </row>
    <row r="24" spans="2:17" ht="12.5">
      <c r="M24" s="5" t="s">
        <v>83</v>
      </c>
      <c r="N24" s="5"/>
      <c r="O24" s="5"/>
      <c r="P24" s="5">
        <v>1</v>
      </c>
      <c r="Q24" s="5">
        <v>1</v>
      </c>
    </row>
    <row r="25" spans="2:17" ht="12.5">
      <c r="B25" s="1" t="s">
        <v>101</v>
      </c>
      <c r="M25" s="5" t="s">
        <v>86</v>
      </c>
      <c r="N25" s="5"/>
      <c r="O25" s="5">
        <v>1</v>
      </c>
      <c r="P25" s="5"/>
      <c r="Q25" s="5">
        <v>1</v>
      </c>
    </row>
    <row r="26" spans="2:17" ht="12.5">
      <c r="B26" s="1" t="s">
        <v>102</v>
      </c>
      <c r="M26" s="5" t="s">
        <v>88</v>
      </c>
      <c r="N26" s="5"/>
      <c r="O26" s="5">
        <v>1</v>
      </c>
      <c r="P26" s="5">
        <v>1</v>
      </c>
      <c r="Q26" s="5"/>
    </row>
    <row r="27" spans="2:17" ht="12.5">
      <c r="B27" s="1" t="s">
        <v>103</v>
      </c>
      <c r="M27" s="8"/>
      <c r="N27" s="8"/>
      <c r="O27" s="8"/>
      <c r="P27" s="8"/>
      <c r="Q27" s="8"/>
    </row>
    <row r="28" spans="2:17" ht="12.5">
      <c r="M28" s="12" t="s">
        <v>104</v>
      </c>
      <c r="N28" s="8"/>
      <c r="O28" s="8"/>
      <c r="P28" s="8"/>
      <c r="Q28" s="8"/>
    </row>
    <row r="29" spans="2:17" ht="12.5">
      <c r="B29" s="1" t="s">
        <v>105</v>
      </c>
      <c r="E29" s="8">
        <f>125*Q38+E5*Q39+E6*Q40</f>
        <v>141.5</v>
      </c>
      <c r="M29" s="12" t="s">
        <v>106</v>
      </c>
      <c r="N29" s="8"/>
      <c r="O29" s="8"/>
      <c r="P29" s="8"/>
      <c r="Q29" s="8"/>
    </row>
    <row r="30" spans="2:17" ht="12.5">
      <c r="M30" s="8"/>
      <c r="N30" s="8"/>
      <c r="O30" s="8"/>
      <c r="P30" s="8"/>
      <c r="Q30" s="8"/>
    </row>
    <row r="31" spans="2:17" ht="12.5">
      <c r="B31" s="1" t="s">
        <v>107</v>
      </c>
      <c r="M31" s="8" t="s">
        <v>108</v>
      </c>
      <c r="N31" s="5" t="s">
        <v>80</v>
      </c>
      <c r="O31" s="5" t="s">
        <v>83</v>
      </c>
      <c r="P31" s="5" t="s">
        <v>86</v>
      </c>
      <c r="Q31" s="5" t="s">
        <v>88</v>
      </c>
    </row>
    <row r="32" spans="2:17" ht="12.5">
      <c r="B32" s="1" t="s">
        <v>109</v>
      </c>
      <c r="M32" s="5" t="s">
        <v>80</v>
      </c>
      <c r="N32" s="5"/>
      <c r="O32" s="5">
        <v>2</v>
      </c>
      <c r="P32" s="5">
        <v>1</v>
      </c>
      <c r="Q32" s="5">
        <v>1</v>
      </c>
    </row>
    <row r="33" spans="2:17" ht="12.5">
      <c r="M33" s="5" t="s">
        <v>83</v>
      </c>
      <c r="N33" s="5">
        <v>2</v>
      </c>
      <c r="O33" s="5"/>
      <c r="P33" s="5">
        <v>1</v>
      </c>
      <c r="Q33" s="5">
        <v>1</v>
      </c>
    </row>
    <row r="34" spans="2:17" ht="12.5">
      <c r="B34" s="1" t="s">
        <v>110</v>
      </c>
      <c r="M34" s="5" t="s">
        <v>86</v>
      </c>
      <c r="N34" s="5">
        <v>1</v>
      </c>
      <c r="O34" s="5">
        <v>1</v>
      </c>
      <c r="P34" s="5"/>
      <c r="Q34" s="5">
        <v>8</v>
      </c>
    </row>
    <row r="35" spans="2:17" ht="12.5">
      <c r="B35" s="1" t="s">
        <v>111</v>
      </c>
      <c r="M35" s="5" t="s">
        <v>88</v>
      </c>
      <c r="N35" s="5">
        <v>1</v>
      </c>
      <c r="O35" s="5">
        <v>1</v>
      </c>
      <c r="P35" s="5">
        <v>8</v>
      </c>
      <c r="Q35" s="5"/>
    </row>
    <row r="37" spans="2:17" ht="12.5">
      <c r="B37" s="8" t="s">
        <v>112</v>
      </c>
      <c r="C37" s="1" t="s">
        <v>113</v>
      </c>
      <c r="E37" s="35">
        <f>1/3 * (0.1 / 1)</f>
        <v>3.3333333333333333E-2</v>
      </c>
      <c r="M37" s="8" t="s">
        <v>108</v>
      </c>
      <c r="N37" s="5" t="s">
        <v>80</v>
      </c>
      <c r="O37" s="5" t="s">
        <v>83</v>
      </c>
      <c r="P37" s="5" t="s">
        <v>86</v>
      </c>
      <c r="Q37" s="5" t="s">
        <v>88</v>
      </c>
    </row>
    <row r="38" spans="2:17" ht="12.5">
      <c r="B38" s="8" t="s">
        <v>114</v>
      </c>
      <c r="C38" s="1" t="s">
        <v>115</v>
      </c>
      <c r="E38" s="35">
        <f>2/3 * (0.1 + 0.8 / 1)</f>
        <v>0.6</v>
      </c>
      <c r="F38" s="1" t="s">
        <v>116</v>
      </c>
      <c r="M38" s="5" t="s">
        <v>80</v>
      </c>
      <c r="N38" s="5">
        <v>0</v>
      </c>
      <c r="O38" s="5">
        <v>0.5</v>
      </c>
      <c r="P38" s="5">
        <v>0.1</v>
      </c>
      <c r="Q38" s="5">
        <v>0.1</v>
      </c>
    </row>
    <row r="39" spans="2:17" ht="12.5">
      <c r="M39" s="5" t="s">
        <v>83</v>
      </c>
      <c r="N39" s="5">
        <v>0.5</v>
      </c>
      <c r="O39" s="5">
        <v>0</v>
      </c>
      <c r="P39" s="5">
        <v>0.1</v>
      </c>
      <c r="Q39" s="5">
        <v>0.1</v>
      </c>
    </row>
    <row r="40" spans="2:17" ht="12.5">
      <c r="M40" s="5" t="s">
        <v>86</v>
      </c>
      <c r="N40" s="5">
        <v>0.25</v>
      </c>
      <c r="O40" s="5">
        <v>0.25</v>
      </c>
      <c r="P40" s="5">
        <v>0</v>
      </c>
      <c r="Q40" s="5">
        <v>0.8</v>
      </c>
    </row>
    <row r="41" spans="2:17" ht="12.5">
      <c r="M41" s="5" t="s">
        <v>88</v>
      </c>
      <c r="N41" s="5">
        <v>0.25</v>
      </c>
      <c r="O41" s="5">
        <v>0.25</v>
      </c>
      <c r="P41" s="5">
        <v>0.8</v>
      </c>
      <c r="Q41" s="5">
        <v>0</v>
      </c>
    </row>
    <row r="42" spans="2:17" ht="12.5">
      <c r="B42" s="1" t="s">
        <v>117</v>
      </c>
    </row>
    <row r="43" spans="2:17" ht="12.5">
      <c r="B43" s="1" t="s">
        <v>118</v>
      </c>
    </row>
    <row r="44" spans="2:17" ht="12.5">
      <c r="B44" s="1" t="s">
        <v>119</v>
      </c>
    </row>
    <row r="45" spans="2:17" ht="12.5">
      <c r="B45" s="1" t="s">
        <v>120</v>
      </c>
    </row>
    <row r="46" spans="2:17" ht="12.5">
      <c r="B46" s="1" t="s">
        <v>121</v>
      </c>
    </row>
    <row r="48" spans="2:17" ht="12.5">
      <c r="C48" s="5" t="s">
        <v>69</v>
      </c>
      <c r="D48" s="5" t="s">
        <v>70</v>
      </c>
      <c r="E48" s="5" t="s">
        <v>71</v>
      </c>
      <c r="F48" s="5" t="s">
        <v>72</v>
      </c>
      <c r="G48" s="5" t="s">
        <v>73</v>
      </c>
      <c r="J48" s="5" t="s">
        <v>69</v>
      </c>
      <c r="K48" s="5" t="s">
        <v>70</v>
      </c>
      <c r="L48" s="5" t="s">
        <v>71</v>
      </c>
      <c r="M48" s="5" t="s">
        <v>72</v>
      </c>
      <c r="N48" s="5" t="s">
        <v>73</v>
      </c>
    </row>
    <row r="49" spans="2:14" ht="13">
      <c r="B49" s="8" t="s">
        <v>122</v>
      </c>
      <c r="C49" s="5" t="s">
        <v>84</v>
      </c>
      <c r="D49" s="5" t="s">
        <v>84</v>
      </c>
      <c r="E49" s="37" t="s">
        <v>84</v>
      </c>
      <c r="F49" s="5">
        <v>125</v>
      </c>
      <c r="G49" s="38" t="s">
        <v>84</v>
      </c>
      <c r="I49" s="8" t="s">
        <v>123</v>
      </c>
      <c r="J49" s="5" t="s">
        <v>84</v>
      </c>
      <c r="K49" s="5" t="s">
        <v>84</v>
      </c>
      <c r="L49" s="37" t="s">
        <v>81</v>
      </c>
      <c r="M49" s="5">
        <v>125</v>
      </c>
      <c r="N49" s="3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+ OHE</vt:lpstr>
      <vt:lpstr>optimal split point</vt:lpstr>
      <vt:lpstr>multiclass calculation</vt:lpstr>
      <vt:lpstr>regression</vt:lpstr>
      <vt:lpstr>RF - proximity matrix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 yeeshuen</cp:lastModifiedBy>
  <dcterms:modified xsi:type="dcterms:W3CDTF">2024-11-19T13:25:25Z</dcterms:modified>
</cp:coreProperties>
</file>