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CqJryMwhha1nEETEwvitUplNYQg=="/>
    </ext>
  </extLst>
</workbook>
</file>

<file path=xl/sharedStrings.xml><?xml version="1.0" encoding="utf-8"?>
<sst xmlns="http://schemas.openxmlformats.org/spreadsheetml/2006/main" count="901" uniqueCount="892">
  <si>
    <t>content</t>
  </si>
  <si>
    <t>translated_content</t>
  </si>
  <si>
    <t>priority_score</t>
  </si>
  <si>
    <t>problem_domain</t>
  </si>
  <si>
    <t>Sorry, including the expensive price + apk using English for people who don't understand, it will be difficult to book</t>
  </si>
  <si>
    <t>Setelah install terus pas buka aplikasi ngeblank putih</t>
  </si>
  <si>
    <t>After installed, the app stuck with white display</t>
  </si>
  <si>
    <t>gak bisa submit pada saat verifikasi data, padahal koneksi internet cepat &amp; stabil</t>
  </si>
  <si>
    <t>Cannot submit the data verification, even my internet is stable enough</t>
  </si>
  <si>
    <t>Aplilasi restart mulu</t>
  </si>
  <si>
    <t>The app keep restarting</t>
  </si>
  <si>
    <t>udah mahal , makanan ga enak, banyak lalat</t>
  </si>
  <si>
    <t>Overpriced, bad food, too many flies</t>
  </si>
  <si>
    <t>fitur chat dengan host tidak bisa digunakan, padahal itu yg terpenting</t>
  </si>
  <si>
    <t>The chat feature which is important, can't be used</t>
  </si>
  <si>
    <t>Mahal mahal.. kirain LBH murah dari refdorz dan oyo</t>
  </si>
  <si>
    <t>Overpriced, at first I think it's cheaper than refdorz and OYO</t>
  </si>
  <si>
    <t>duh ini berisik amat yg diatas. Pake peredam dong podnya.</t>
  </si>
  <si>
    <t>It's very noisy up there. Please add the sound reducer.</t>
  </si>
  <si>
    <t>ribet pemesanan nya, pelayanan nya juga kurang bagus</t>
  </si>
  <si>
    <t>It's not seamless anyway. The service is bad</t>
  </si>
  <si>
    <t>APA APAAN HARUS UPDATE APP</t>
  </si>
  <si>
    <t>COME ON, I HAVE TO UPDATE THE APP FREQUENTLY</t>
  </si>
  <si>
    <t>Ribet</t>
  </si>
  <si>
    <t>Hassle</t>
  </si>
  <si>
    <t>Tidak ad pertanggung jawaban atas ksalahan aplikasi dengan tgl yg pindah sendiri,playananan kurang ,membuat holiday menjadi bad dengan ad nya seperti ini</t>
  </si>
  <si>
    <t>No responsibility for this app errors that causing the checkin date changed itself, bad service, this made my holiday into bad mood because of this</t>
  </si>
  <si>
    <t>Makin kesini makin kesana harga bobobox, harga paling murahnya 300k yg single. Karuan nginep di hotel benernya sekalian</t>
  </si>
  <si>
    <t>Nowadays the price doesn't make sense, the cheapest price is 300k for the single bed. I think it's worth it to stay at the regular hotel.</t>
  </si>
  <si>
    <t>PELAYANANNYA JELEK BANGET BESTI, FASILITAS YG DI DAPET TIAP KAMAR BEDA2 PADAHAL HARGA SAMA</t>
  </si>
  <si>
    <t>THE SERVICE IS POOR BABY, THE FACILITIES IN EACH ROOM ARE DIFFERENT EVEN IT HAS THE SAME PRICE</t>
  </si>
  <si>
    <t>Stay bobobox bekasi untuk pelayanan resepsionisnya cwek kurang sopan dalam menghandle tamu tolong lebih di training dan di perbaiki lagi untuk pelayanan nya.terimakasih</t>
  </si>
  <si>
    <t>I STAYED AT BOBOBOX BEKASI, THE RECEPTIONIST WAS A WOMAN WHO IS NOT POLITE TO HANDLE THE GUESTS PLEASE ADD SOME TRAINING FOR THEM AND FIX THE SERVICE, THANK YOU</t>
  </si>
  <si>
    <t>Mba² resepsionisnya judes.. untuk cabang bekasi</t>
  </si>
  <si>
    <t>The receiptionist woman is rude.. for the bekasi branch</t>
  </si>
  <si>
    <t>Kenapa tiba² logout dan gk bisa login lagi?</t>
  </si>
  <si>
    <t>Why it suddenly logout and cannot login again?</t>
  </si>
  <si>
    <t>Maaf sebelumnya saya baru pertama kali menginap di bobobox kota tua dan saya sangat kecewa dengan setiap layanan yang diberikan 🙏🏻</t>
  </si>
  <si>
    <t>I'm sorry this is my first time to stayed at bobobox kota tua and I'm very dissapointed with the services🙏</t>
  </si>
  <si>
    <t>Mau registrasi ajaa susah</t>
  </si>
  <si>
    <t>Very hard to do the registration process</t>
  </si>
  <si>
    <t>Entah kenapa harganya naik melulu. Tapi fasilitas dan pelayanan nya makin berkurang</t>
  </si>
  <si>
    <t>The price somehow expensive. But the facility and the service goes bad</t>
  </si>
  <si>
    <t>Kesan pertama udah tidak ramah, trs fasilitas katanya ada Tv ternyata tidak ada, disaat akan cek out air mendadak mati hingga banyak customer kecewa krn tdk bisa mandi, padahal tarif juga gak murah, SANGAT2 TIDAK REKOMEND BANGET NIH HOTEL 👎👎👎</t>
  </si>
  <si>
    <t>My first impression is the host is rude, and the facility consist</t>
  </si>
  <si>
    <t>Rumit</t>
  </si>
  <si>
    <t>Not seamless</t>
  </si>
  <si>
    <t>saran sy untuk bobox juanda sebnr nya tmpt nyaman . Tp tolong di perbaiki bagunan . Jgn pake triplex untuk atap nya.. soalnya pas ada tamu posisi di bawa. Dan di atas cwek cwok semalaman berbuat plus2 . Jd kasian yg di bawah . Gk bs tdr.. lepas itu tiba2 habis berbuat plus2 eh eh mala sholat .😆😆. Bobobox hrga murah sangkin murah nya untuk org prcan gk ada modal hotel di atas 200 rb lebih memilih bobobox . Ntr reputasi nya jadi jelek loch .</t>
  </si>
  <si>
    <t>My recommendation for bobox juanda is actually comfort. But</t>
  </si>
  <si>
    <t>aplikasinya ribet mau liat lokasi sama harga aja harus bikin login atau register dulu gabisa di skip aja ribettt!</t>
  </si>
  <si>
    <t>The app is hard to understand need to create account to see the location and price</t>
  </si>
  <si>
    <t>Niat Nyoba bobox pas liat harga ehh gila harga nya 300 ribuan dapat kamar se liang lahat,,, Mending oyo/reddorz 150.k kamar luar luas kamar mandi dalam ac tv komplit</t>
  </si>
  <si>
    <t>At first want to try Bobox but when saw the price that's crazy 300</t>
  </si>
  <si>
    <t>Bisa ya harganya jadi melonjak naik gitu min</t>
  </si>
  <si>
    <t>Admin, the price is suddenly goes up</t>
  </si>
  <si>
    <t>Sy nenek usia76th sm adik usia 74th sm cu2 13th sm anak 40th sangat kecewa mo nginap 4hr byr tunai g bs srh byr debet bni trpks cr bank bni buat setortunai uda tua bw brngbanyak naik tangga tinggi uda diatas ditolak lg srh pake kartu kredit rasanya mulutnya mo tak tampar aja yg nglayani mamanya ilham dsr sombong gak da rasa2 kasian sm or tua .matanya ilham melek sy pikir piceg sy jauh2 dr balikpapan achirnya sy berempat turun dgn bawaan berat didepan bobobox 2jam kepanasan achirnyasy nginap di</t>
  </si>
  <si>
    <t>My grandmother is 76 years old, my sister is 74 years old, my son is 13 years old, my child is 40 years old, very disappointed, I want to stay for 4 days by cash, I can't do it with BNI debit, BNI bank deposits for cash deposits, I'm old, I've climbed a lot of high stairs, and I've been rejected at the top, I've used a credit card, it feels like my mouth is mo I didn't just slap the one who served my mother. Ilham was arrogant and didn't feel sorry for the old people. His eyes were inspired, I was literate, I thought I was too far from Balikpapan, finally the four of me came down with heavy luggage in front of the bobobox, it was hot for 2 hours, and finally I stayed overnight.</t>
  </si>
  <si>
    <t>Aplikasi nya malah makin bapuk setelah banyak update, gimana ini mau booking nya kalo aplikasi nya sendiri ga bisa di buka ??</t>
  </si>
  <si>
    <t>The application is even getting worse after many updates, how are you going to book if the application itself can't be opened??</t>
  </si>
  <si>
    <t>tempat pasangan mesum untuk satpol pp boleh inii diraziaa</t>
  </si>
  <si>
    <t>This place of perverted couples for Satpol PP may be raided</t>
  </si>
  <si>
    <t>Lebih murah di aplikasi lain</t>
  </si>
  <si>
    <t>The other apps are cheaper</t>
  </si>
  <si>
    <t>kenapa sekarang gabisa bayar pakai Shopee pay ya kak</t>
  </si>
  <si>
    <t>why I cannot pay with Shoppe pay</t>
  </si>
  <si>
    <t>Tidak bisa cek in karna belum vaksin, oke gpp. Tapi uang tidak bisa di refund, kebijakan yang buruk.</t>
  </si>
  <si>
    <t>Can't check in because I haven't been vaccinated yet, okay, that's fine. But money cannot be refunded, bad policy.</t>
  </si>
  <si>
    <t>sblmnya mau tanya, knp setelah booking. akun saya keluar sndiri ya dari aplikasi, giliran saya coba masuk lg malah terblokir. padahal sy blm checkin krna msh 6 hari lg. gimana tu?</t>
  </si>
  <si>
    <t>First of all, I want to ask, why after booking. My account just logged out from the application, when I tried to log in again it was blocked. even though I haven't checked in yet because it's still 6 days away. how's that?</t>
  </si>
  <si>
    <t>tolong lah kenapa ini saya sudah pesan dan bayar tapi tiba tiba logout sendiri, waktu login ulang malah failed mohon penjelasannya</t>
  </si>
  <si>
    <t>Please help, why did I order and pay for this but suddenly logged out myself, when logging in again it failed, please explain</t>
  </si>
  <si>
    <t>Vido</t>
  </si>
  <si>
    <t>Kalo pelayanan memang saya akui sangat ramah, tapi saya Kecewa karna sudah saya boking dan pembayaran sudah dilunasi, saat ingin cek in tidak boleh dari jam sebelum jam 1 siang, katanya (kami bobobox seperti hotel pada umumnya) tapi kenapa saya datang jam 9 pagi tidak bisa cekin, (padahal juga saya dari perjalanan jauh)</t>
  </si>
  <si>
    <t>I admit that the service was very friendly, but I was disappointed because I had already booked and the payment had been paid in full, when I wanted to check in it wasn't allowed before 1pm, he said (we sleep like hotels in general) but why didn't I come at 9am? can check it, (even though I'm also from a long trip)</t>
  </si>
  <si>
    <t>Pelayanan resepsionis bobobox pancoran sangat mengecewakan, padahal cwo tapi judes ngomongnya nyolot. Buat hotel sebagus ini tolong cari karyawan yg ramah yg bisa melayani tamu dengan baik</t>
  </si>
  <si>
    <t>The service at the Bobobox Pancoran receptionist was very disappointing, even though the guy was a bitch, he spoke loudly. For a hotel this good, please look for friendly employees who can serve guests well</t>
  </si>
  <si>
    <t>Aplikasi bobox sangat buruk sudah di cancel ga bisa refund saya bawa permasalahan ini keranah hukum</t>
  </si>
  <si>
    <t>The bobox application is very bad, it has been canceled and there is no refund. I am taking this matter to the legal level</t>
  </si>
  <si>
    <t>emang harus swab dlu</t>
  </si>
  <si>
    <t>Need to did swab test</t>
  </si>
  <si>
    <t>Ribet harus verif KTP dulu</t>
  </si>
  <si>
    <t>Not seamless need to verify the identity card</t>
  </si>
  <si>
    <t>Awas kalo salah pesan tanggal ga bisa d rubah. Duitmu hilang</t>
  </si>
  <si>
    <t>Careful if you make wrong order, it can be refund.</t>
  </si>
  <si>
    <t>Aplikasi selalu eror</t>
  </si>
  <si>
    <t>The app always error</t>
  </si>
  <si>
    <t>PROSES REFUND LAMBAT</t>
  </si>
  <si>
    <t>Slow refund process</t>
  </si>
  <si>
    <t>Saya mau register aja lelet banget :(</t>
  </si>
  <si>
    <t>I want to register but the app is slow</t>
  </si>
  <si>
    <t>Jogja sekarang mahal amat, 300rb tidur di kandang ayam. Mending yg lain lah dapat sarapan, kamar luas.</t>
  </si>
  <si>
    <t>Jogja is very expensive now, 300 thousand to sleep in a chicken coop. It's better if you can have breakfast, the rooms are spacious.</t>
  </si>
  <si>
    <t>Kecewa Dateng jam 12 malam rencana mau cepat buat istirahat mau check in yang jaga resepsionis tdk ada di tempat pada kemana hampir 15 menit menunggu staff nya seharusnya jam malam itu harus benar-benar di perhatikan standby di tempat.. mudah mudahan kedepannya bisa di perbaiki untuk pelayanan nya 24 jam standby terutama jam malam....😉</t>
  </si>
  <si>
    <t>Disappointed that I arrived at 12 at night. The plan was to quickly rest, I wanted to check in. The receptionist was nowhere to be found, almost 15 minutes waiting for the staff. The curfew should have really paid attention to the standby at the place.. Hopefully in the future it can be fixed to improve it. The service is 24 hours standby, especially at night....😉</t>
  </si>
  <si>
    <t>It's quite ridiculous that we have to take selfie along with ID card to be able to check in. This kind of information is super sensitive and people doing it as if it's some normal questionnaire. I personally do not recommend this app. Wasted 200k for nothing. It takes more than just money to check in. Your personal data is also required. How could somebody you barely know guarantee that your personal data will be secured? Even pedulilindungi doesn't bother asking for selfie why would this app?</t>
  </si>
  <si>
    <t>Hotel tempat nya kumpulan anak ABG</t>
  </si>
  <si>
    <t>So many young people here</t>
  </si>
  <si>
    <t>Susah mengaksesnya ....</t>
  </si>
  <si>
    <t>Hard to access</t>
  </si>
  <si>
    <t>Sangat mengecewakan, saya sudah reservasi diawal dan dan tiba2 dibatalkan sepihak infonya karena cabin tidak bisa diempatin karena perbaikan. Setelah di kroscek ditanyatakan kerusakan cabinnya sudah lebih lama dari yg diinfokan bahkan saat itu masih bisa direservasi. Nah pertanyaannya kenapa masih dijual kalau memang sudah tau tidak layak ditempatin? Daan lagi kenapa pemberitahuannya ke pemesan tidak langsung, ini malah udah deket tgl ci.</t>
  </si>
  <si>
    <t>Very disappointing, I had made a reservation in advance and suddenly it was canceled unilaterally because the cabin could not be accommodated due to repairs. After cross-checking, it was found that the damage to the cabin had been going on for longer than what was stated and even then it could still be reserved. So the question is, why is it still being sold if you already know it's not worth living in? And why isn't the notification to the customer straight away? It's already close to the date.</t>
  </si>
  <si>
    <t>BURUK!!!!</t>
  </si>
  <si>
    <t>BAD!!!!</t>
  </si>
  <si>
    <t>Saya stay d pod kota tua. Utk yg dr luar kota lbh baik pilih bobobox lain deh jgn d kota tua. Terutama yg bawa koper dan barang2. Krn hrs naik k tangga manual krn letaknya d lantai atas. Tangga batu gtu creepy bgt. Yg plg pntg kl bawa brg byk dan berat ky koper bakal ngrepotin bgt. Lantai kamar mandi jg licin. Agak geli buat d injek krn kyk jarang d sikat lantainya. Masuk kamar mandi gak boleh pake sendal. Bahaya bs buat kepleset. Utk toilet airnya kecil bgt jd ga nyaman buat basuh habis pee poo</t>
  </si>
  <si>
    <t>I stayed in the old city pod. For those from outside the city, it's better to choose another bobobox, not in the old city. Especially those carrying suitcases and belongings. Because you have to climb the manual stairs because it is located on the top floor. Those stone stairs are really creepy. What's more important is that if you bring a lot of heavy suitcases it will be a real hassle. The bathroom floor is also slippery. It's a bit tricky to inject because it seems like you rarely brush the floor. You are not allowed to enter the bathroom wearing sandals. There's a danger of slipping. For the toilet, the water is very small so it's not comfortable to wash off the pee poo</t>
  </si>
  <si>
    <t>ngetest2 coba booking kagak bisa, yg bikin appsnya perlu dipecat nih..</t>
  </si>
  <si>
    <t>I tried to make a booking but it didn't work, the person who made the app needs to be fired...</t>
  </si>
  <si>
    <t>Gangguan trus skrg app nya JD susah buat booking</t>
  </si>
  <si>
    <t>It's glitched and now the app makes it difficult to book</t>
  </si>
  <si>
    <t>Parah sih udah booking di Kebayoran baru . Sudah vaksin tapi gabisa masukk kecewa banget . Saya akan telusuri dan ajukan laporan ke media konsumen .</t>
  </si>
  <si>
    <t>It's really bad, I already booked at Kebayoran Baru. I've had the vaccine but I can't get in. I'm really disappointed. I will investigate and submit a report to consumer media.</t>
  </si>
  <si>
    <t>Saya beri rating star 1 karna pelayanan kurang menarik, saya salah pesan tempat tidak ada solusi untuk refund atau pemindahan lokasi. Sangat mengecewakan</t>
  </si>
  <si>
    <t>I gave a 1 star rating because the service was less than attractive, I ordered the wrong place, there was no solution for a refund or moving location. Very disappointing</t>
  </si>
  <si>
    <t>Informasi aplikasi kurang lengkap. Tolong dilengkapi lagi terutama foto lokasi dan fasilitasnya. Terutama foto kamar mandinya bersih atau gk.</t>
  </si>
  <si>
    <t>Application information is incomplete. Please provide more details, especially photos of the location and facilities. Especially photos of whether the bathroom is clean or not.</t>
  </si>
  <si>
    <t>Sayangnya Baru Tersedia di Jakarta, di Yogyakarta Belum Tersedia</t>
  </si>
  <si>
    <t>Unfortunately only available in Jakarta, not yet available in Yogyakarta</t>
  </si>
  <si>
    <t>Lokasi jawa doang</t>
  </si>
  <si>
    <t>The location is centralized in Java</t>
  </si>
  <si>
    <t>aplikasi aneh, masa dalam sebulan full tdk ada kabin yg available, apa iya serame itu?😂</t>
  </si>
  <si>
    <t>Strange application, for a whole month there are no cabins available, is that scary?😂</t>
  </si>
  <si>
    <t>Pelayanan sangat buruk di bagian informasin dan komplan tidak di respown masalah komplan hanya di respown kalau mau memesan saja mengecewakan</t>
  </si>
  <si>
    <t>The service is very bad in the information section and the complaint is not responded to. The complaint problem is only responded to if you want to order, it's disappointing</t>
  </si>
  <si>
    <t>Parah cmn gara"gd bukti vaksin duit g kembali mn udh tf 180</t>
  </si>
  <si>
    <t>It's really bad because there's no proof of the vaccine, the money hasn't come back but it's already 180</t>
  </si>
  <si>
    <t>Aplikasi update mulu, heran!</t>
  </si>
  <si>
    <t>Too many updates for the app</t>
  </si>
  <si>
    <t>Ini gmn ya Mao verifikasi ktp ko keluar keluar mulu</t>
  </si>
  <si>
    <t>This is how it is, Mao, how come verifying your ID card comes out all the time</t>
  </si>
  <si>
    <t>Semalem saya menginap saat pagi jam 8 tiba tiba saya checkout sendiri</t>
  </si>
  <si>
    <t>Last night I stayed overnight at 8 o'clock in the morning when the app suddenly checkout itself</t>
  </si>
  <si>
    <t>Aplikasi buruk, pelayanan dibawah standar, terlihat kru bobobox suka melakukan pelecehan seksual apalagi setelah kasus viral di berita. Tolong tingkatkan kualitas, bila tidak Aplikasi bisa ditinggalkan konsumen secara membabi-buta</t>
  </si>
  <si>
    <t>Bad application, substandard service, it seems that the Bobobox crew likes to commit sexual harassment, especially after the case went viral on the news. Please improve the quality, otherwise the application can be abandoned by consumers blindly</t>
  </si>
  <si>
    <t>Pelayanan dibobobox Pancoran gabaik beda sama pelayanan dibobobox Juanda sama kota tua</t>
  </si>
  <si>
    <t>The service at the Pancoran bobobox is not different from the service at the Juanda dibobobox in the old city</t>
  </si>
  <si>
    <t>Aplikasi kampreeet mau regis aja susah TAIII</t>
  </si>
  <si>
    <t>Fuck this app, difficult to regsiter</t>
  </si>
  <si>
    <t>Aplikasi diupgrade tp penuh masalah. Sudah email, wa, ig, sampai ke web tidak ada solusi</t>
  </si>
  <si>
    <t>The application was upgraded but it is full of problems. Already email, WA, IG, all the way to the web there is no solution</t>
  </si>
  <si>
    <t>Ga bisa di buka. Mau daftar ga bisa</t>
  </si>
  <si>
    <t>Can't opent the application. Cannot do the registration</t>
  </si>
  <si>
    <t>habis update ko malah error ya, setiap mau atur tanggal selalu keluar, jd ngga bisa pesan nih-_- kalau sudah benar nnti bintang saya ubah</t>
  </si>
  <si>
    <t>After the update, there's an error, every time I want to set the date it always comes out, so I can't order it -_- If it's correct then I'll change the stars</t>
  </si>
  <si>
    <t>Apk keluar sendiri saat ingin memilih tanggal. Tolong diperbaiki</t>
  </si>
  <si>
    <t>Please fix it, the app suddenly crashed when I wrongly choose the check in date</t>
  </si>
  <si>
    <t>Sayang banget lokasi yg ada bobobox belum tersebar luas</t>
  </si>
  <si>
    <t>It's a shame that the locations where Bobobox is available are not yet widespread</t>
  </si>
  <si>
    <t>Aplikasi ga bisa Register, Bahasanya basa Inggris, Apk apaan ini</t>
  </si>
  <si>
    <t>The application can't register, the language is in English, what is this Apk?</t>
  </si>
  <si>
    <t>Buat registrasi dan bayar aja susah banget</t>
  </si>
  <si>
    <t>Difficult to register and do the payment</t>
  </si>
  <si>
    <t>Bagus untuk property nya dan ada di kawasan strategis jakarta, cuman yg kurang attitude karyawan. Di pancoran kyk ga melambangkan hotel SOP nya kurang di training, mentang mentang capsule. Untuk juanda lumayan lah ramah ramah, walaupun yg ke 2kali kecewa ada yg nyuci ac gada permission sama sekali di depan pintu pula. Ac nya dr luar di utak atik sampai kami yg di dalam ketakutan takut kelihatan ke dalam dan melanggar privacy. Sayang bgt gada fitur untuk rating hotel setelah nginap.</t>
  </si>
  <si>
    <t>Good for the property and in a strategic area of ​​Jakarta, but the employee attitude is lacking. In Pancoran it doesn't seem to indicate that the hotel's SOPs are lacking in training, because they don't have capsules. For Juanda, he was quite friendly, although the second time he was disappointed, there was someone who was washing the AC without any permission at all at the door. The AC was being tinkered with outside so that those of us inside were afraid of looking in and violating our privacy. It's a shame that there is no feature for hotel ratings after staying.</t>
  </si>
  <si>
    <t>Verifikasi kode uda berkali-kali tidak bisa.😠</t>
  </si>
  <si>
    <t>I haven't been able to verify the code many times.😠</t>
  </si>
  <si>
    <t>Dengan senang hati saya uninstal aplikasi ini, saya boking hotel ini yg ternyata sedang tutup tapi order di traveloka berhasil tp gk bisa refun, hari sdh malam dan kondisi lagi hujan saya jalan kaki ke kota tua tanggal 8 februari pas sampe hotel dalam keadaan gelap</t>
  </si>
  <si>
    <t>I was happy to uninstall this application, I booked this hotel which turned out to be closed but the order on Traveloka was successful but I couldn't get a refund. It was already evening and it was raining. I walked to the old city on February 8 when I arrived at the hotel in the dark.</t>
  </si>
  <si>
    <t>forgot password tpi ga ada email masuk buat ngereset passwordnya</t>
  </si>
  <si>
    <t>forgot password but no email came in to reset the password</t>
  </si>
  <si>
    <t>Kalo umr 17 tahun bisa gak min</t>
  </si>
  <si>
    <t>Under 17 cannot use this app</t>
  </si>
  <si>
    <t>KODE GAK SAMPAI ,APK SAMPAH</t>
  </si>
  <si>
    <t>NO VERIFICATION CODE, SHITTY APP</t>
  </si>
  <si>
    <t>Kok gak bisa daftar ya</t>
  </si>
  <si>
    <t>How come I can't register?</t>
  </si>
  <si>
    <t>Bayarnya susah, opsinya masih sedikit. Harusnya liat pengguna di indonesia lebih banyak make pembayaran yg gimana</t>
  </si>
  <si>
    <t>Paying is difficult, the options are still few. You should see more users in Indonesia who use payment methods</t>
  </si>
  <si>
    <t>Kesalahan pure dari sistem bobobox tapi tidak mau me refund uang, Jadi waktu jam 22:11 saya pesan kamar sudah terbayar tapi pesanan kamar tidak ada di aplikasi sudah saya refresh berkali kali tetap tidak muncul, lalu saya pesan kamar lagi malah jadi ada 2 kamar yang saya pesan. Chat customer service pun katanya sesuai SOP tidak bisa refund! Ingat ini kesalahan sistem bukan kesalahan pengguna. Merugikan!</t>
  </si>
  <si>
    <t>Pure error from the bobobox system but it doesn't want to refund the money. So at 22:11 I ordered a room and it was paid for but the room order wasn't in the application. I refreshed it several times but it still didn't appear, then I ordered another room but instead there were 2 rooms available. I order. Chatting with customer service, they said that according to the SOP, there is no refund! Remember, this is a system error, not a user error. Harm!</t>
  </si>
  <si>
    <t>Kenapa setiap mau registasi gabisa2 ya? Katanya yg nmr tidak sesuai lah email tidak sesuai lah. Terus gmna cara bookingnya klo gini?</t>
  </si>
  <si>
    <t>Why can't I register every time I want to? He said that the number that doesn't match is the email that doesn't match. So how do you book like this?</t>
  </si>
  <si>
    <t>tolong yang punya jangan soo. apalagi yang punya bobobox di depan king di bandung sombong oegawai nya tida tau. adab dan menghargai orang 🐶</t>
  </si>
  <si>
    <t>Please those who have it don't be soo. Moreover, those who have a bobobox in front of King in Bandung are so arrogant that their employees don't know. manners and respect for people 🐶</t>
  </si>
  <si>
    <t>cuma tdk bisa di refund</t>
  </si>
  <si>
    <t>Only can't refund</t>
  </si>
  <si>
    <t>Aplikasi nya ngelllaggggggg</t>
  </si>
  <si>
    <t>Laggy app</t>
  </si>
  <si>
    <t>di situ bisa nginep ga berapa hari</t>
  </si>
  <si>
    <t>You can stay there for a few days</t>
  </si>
  <si>
    <t>Nomor yang tertera yang bisa dihubungi gaaktif ya bob?</t>
  </si>
  <si>
    <t>The number listed where you can be contacted is not active, right?</t>
  </si>
  <si>
    <t>Kemarin tanggal 18 saya mau chekin sudah booking .sampai sana katanya sedang maintenance sistem diseluruh cabang.saya himbau untuk refund.saya telpon cs tidak bisa dihubungi saya email belum ada balasan.bagaimana ini ?</t>
  </si>
  <si>
    <t>Yesterday, on the 18th, I wanted to check in. I had already booked. When I got there, they said there was system maintenance in all branches. I asked for a refund. I called CS and couldn't be contacted. I emailed but there was no reply. How is this?</t>
  </si>
  <si>
    <t>Saya baru pertama kali c/in di cabang Juanda Kebersihan good kendala pada saat mau c/in petugas nya tidak ramah</t>
  </si>
  <si>
    <t>This is my first time checking in at the Juanda branch. Cleanliness is good. The problem was that when I wanted to check in, the officers were not friendly</t>
  </si>
  <si>
    <t>Kece iya tempatnya nyaman cozy juga, tapi gabisa menghimbau tamu-tamunya untuk lebih tenang dan tertib Tujuan ke bobobox untuk menginap bukan ke pasar malam, tidur tidak nyenyak dan nyaman karna kamar diatas terlalu berisik dan tidak memikirkan tamu lainnya. Mungkin jika mengatur manusia memang lebih susah dari yang di bayangkan, tapi bisa saja dari pihak bobobox menyediakan ruangan dengan pengedap suara Kara kamar di bawah sangat dirugikan berisik sekali.</t>
  </si>
  <si>
    <t>It's cool, yes, the place is comfortable and cozy too, but you can't encourage your guests to be more calm and orderly. The purpose of going to Bobobox is to stay overnight, not to go to the night market, you don't sleep soundly and comfortably because the room above is too noisy and you don't think about other guests. Maybe managing people is more difficult than you imagine, but it could be that Bobobox provides a room with soundproofing. Because the room below is very noisy.</t>
  </si>
  <si>
    <t>Kode vocer tidak bisa di gunakan saya kecewa</t>
  </si>
  <si>
    <t>I can't use the voucher code, I'm disappointed</t>
  </si>
  <si>
    <t>Aplikasinya berat bgt.mau login lama, mau cek harga lama. Pdhl sy pake wifi dan youtube an lancar jaya.</t>
  </si>
  <si>
    <t>The application is really heavy. It takes a long time to log in, it takes a long time to check prices. Even though I use WiFi and YouTube, it runs smoothly.</t>
  </si>
  <si>
    <t>Mahal woiiiiiiii, mending sekalian hotel bintang</t>
  </si>
  <si>
    <t>Wow, it's expensive, it's better to have a star hotel</t>
  </si>
  <si>
    <t>Ini apk aneh dan super cacat nih,,,, Niat / sdh siap belum sih buat nambah costm ?? Atau cuma mau cari untung dari hasil download aja nih ?? Sudah buat akun ok, terus mau masuk malah ga bisa2 di bilang nya invalid kan cacat ini apk Padahal pakai no hp nya otp,,, Hadeh2 baru mau coba sdh seperti ini</t>
  </si>
  <si>
    <t>This is a strange and super flawed apk... Do you intend/are you ready to add costm yet?? Or do you just want to make a profit from the download results? I've created an account, it's ok, then I want to log in but I can't even say it's invalid, this apk is defective, even though I use my cellphone number, OTP... Hadeh2, I just wanted to try it and it's like this</t>
  </si>
  <si>
    <t>pelayanan buruk, baru pertama mau pesen bertele, bilang bisa tapi pas mau bayar bilang kamar rusak.</t>
  </si>
  <si>
    <t>Bad service, the first time I wanted to order, I was long-winded, I said yes, but when I wanted to pay, I said the room was damaged.</t>
  </si>
  <si>
    <t>Kode otpnya ga keterima terus.</t>
  </si>
  <si>
    <t>The OTP code keeps not being received.</t>
  </si>
  <si>
    <t>Gabisa register karena password nya padahal sudah mengikuti ketentuan yang ada ,mohon dibantu 🙏</t>
  </si>
  <si>
    <t>Can't register because of the password even though I have followed the existing provisions, please help 🙏</t>
  </si>
  <si>
    <t>Kenapa setiap buka account profile nya malah keluar dari aplikasi ya?</t>
  </si>
  <si>
    <t>Why does every time you open your account profile you exit the application?</t>
  </si>
  <si>
    <t>Buka aplikasinya kok force close sih hehe</t>
  </si>
  <si>
    <t>When you open the application, it forces close, hehe</t>
  </si>
  <si>
    <t>Slow repon, kurang fasilitas !</t>
  </si>
  <si>
    <t>Slow response, lack of facilities!</t>
  </si>
  <si>
    <t>Verifikasi terlalu ribet pending terus, udah nyoba pake KTP, SIM juga tetep aja pending, tolong perbaiki lagi</t>
  </si>
  <si>
    <t>Verification is too complicated, it's still pending, I've tried using KTP, SIM and it's still pending, please fix it again</t>
  </si>
  <si>
    <t>Saya baru daftar, knapa kelempar kluar aplikasi terus ya ?!?</t>
  </si>
  <si>
    <t>I just registered, why does the application keep throwing out?!?</t>
  </si>
  <si>
    <t>gabisa di cancel.</t>
  </si>
  <si>
    <t>Can't be cancelled</t>
  </si>
  <si>
    <t>tidak ada mushola dan resto, fasilitas berkumpul hanya spot api unggun yang kalo hujan maka nda ada... penerangan kurang, saat hujan rawan terpeleset karena jalan yang licin.... tidak ada fasilitas relocate jadi agak kaku dan kalo berhalangan akan hangus.... menurut cs nya ada sop, tapi pemesan biasanya tidak mengetahui... jadi pastikan betul rencananya</t>
  </si>
  <si>
    <t>there are no prayer rooms or restaurants, the only gathering facilities are campfire spots which if it rains then there aren't any... lighting is lacking, when it rains it's prone to slipping because the roads are slippery.... there are no relocation facilities so it's a bit stiff and if you're not there it will burn out... .. according to the CS, there is soup, but the orderer usually doesn't know... so make sure you really plan</t>
  </si>
  <si>
    <t>Bahasa nya pke indo dong</t>
  </si>
  <si>
    <t>Please use Bahasa Indonesia</t>
  </si>
  <si>
    <t>-utk dpt kamar dgn view bagus harus komplain dulu, padahal pembeli pertama, dgn harga segitu pasti semua org ekspektasinya ya pgn dpt view nya - self servis yg menurut qt sih tdk cocok dgn konsep penginapan apalagi jarak cabin dan fasilitas umumnya -Kamar mandi dalem tp tnp ventilasi jd ya bs dibayangin ya klo pup baunya sekamar gmn -Kamar jg jgn harap bs bersih trs, entah drmn itu kotoran peranting2an kuecil kecil bs masuk ke kasur - itu kan cabin ya jd so pasti sempit</t>
  </si>
  <si>
    <t>-To get a room with a good view, you have to complain first, even though it's a first time buyer, at that price everyone's expectation is that you want to get the view -Self service which according to QT doesn't match the concept of the accommodation, let alone the distance between the cabin and the general facilities -The bathroom is inside but but there's no ventilation, so you can imagine what it would be like if the poop smelled in the same room - don't expect the room to be clean, either way, small pieces of equipment or dirt can get into the mattress - it's a cabin, so it's definitely cramped</t>
  </si>
  <si>
    <t>Bobocabin gunung mas wajib di review lagi utk kebersihan, karna kamar kotor seperti ngasal bersihkannya, dikasur dan pinggirannya byk rambut, sekeliling dinding kasur berdebu, hujan masuk lewat celah pintu jd masuk ke teras kamar mana ngga ada keset lantai dipintu masuk, hujan deras air masuk lewat celah jendela, AC kamar mestinya yg 2pk, krn mulai jam 9 keatas panas dikamar, ga ada TV or sandal bukan masalah, staff juga ramah dan helpfull.</t>
  </si>
  <si>
    <t>Bobocabin Gunung Mas needs to be reviewed again for cleanliness, because the room is dirty, like you can't clean it, there's a lot of hair on the mattress and edges, the walls around the mattress are dusty, the rain comes in through the crack in the door so you enter the terrace of the room where there's no floor mat at the entrance, heavy rain water comes in through the window gap, the room AC should be 2pk, because from 9 o'clock onwards it's hot in the room, there's no TV or slippers, it's not a problem, the staff is also friendly and helpful.</t>
  </si>
  <si>
    <t>Mb saya udh klik pembayaran 2x dan pembayaran berhasil tp kenapa di bilangnya pembayaran kadaluarsa saya udh bayar 1,8 jt 2x transaksi ini pertanggungjawaban nya gmn ya???? Saya ada yg cek in tgl 30 juli dan 31 juli</t>
  </si>
  <si>
    <t>Sis, I've clicked payment twice and the payment was successful but why does it say the payment has expired? I've paid 1.8 million twice for this transaction. What's the accountability? I checked in on July 30 and July 31</t>
  </si>
  <si>
    <t>kenapa tiap kode otp yg d kasih ketika registrasi selalu salah</t>
  </si>
  <si>
    <t>Why is every OTP code given during registration always wrong?</t>
  </si>
  <si>
    <t>Jaringan error,setiap buka aplikasi logout terus...pas mau login gak bisa</t>
  </si>
  <si>
    <t>Network error, every time you open the application you log out... when you want to log in you can't</t>
  </si>
  <si>
    <t>Ini kenapa ya ko saya mau booking ga ada keterangan nya ya , bingung bbgt dah</t>
  </si>
  <si>
    <t>This is why I want to book without any information, I'm really confused</t>
  </si>
  <si>
    <t>Ini kenapa ga bisa payment nya ya? Ga bisa kebuka ke bagian shopeepay nya</t>
  </si>
  <si>
    <t>Why can't you make payment? Can't open the shopeepay section</t>
  </si>
  <si>
    <t>APLIKASI LAGI ERROR YAA?</t>
  </si>
  <si>
    <t>THE APPLICATION IS AGAIN ERROR, OK?</t>
  </si>
  <si>
    <t>Overall bagus, room bersih, pelayanan di lokasi bagus Tapi sayang kekurangan sistem REFUND/PEMBATALAN tidak ada sama sekali, tolong kedepan nya di adakan fitur nya, agar org jika salah memilih tipe ga harus BOOKING 2x dg TIPE kamar BERBEDA Permudah lah customer dalam lakukan transaksi Semoga di dengar tim boboboxid</t>
  </si>
  <si>
    <t>Overall good, room clean, service in good location But unfortunately there is no REFUND/CANCELLATION system at all, please provide a feature in the future, so that if people choose the wrong type they don't have to BOOKING TWICE with DIFFERENT TYPES of rooms. Make it easier for customers to make transactions Hopefully the boboboxid team will listen</t>
  </si>
  <si>
    <t>Lol . P p</t>
  </si>
  <si>
    <t>Bobobox solo jalan Slamet Riyadi kamr bagus bersih nyaman wangi tapi untuk bau kamar mandi ny persiis kaya toilet terminal bauu parah peesing ga d bersihin</t>
  </si>
  <si>
    <t>Bobobox Solo Jalan Slamet Riyadi, nice room, clean, comfortable, fragrant, but the bathroom smells exactly like a terminal toilet, it smells really bad, can't clean it</t>
  </si>
  <si>
    <t>Kenapa saya tidak bisa daftar aplikasi ini</t>
  </si>
  <si>
    <t>Why can't I register this application</t>
  </si>
  <si>
    <t>Setelah di update aplikasi nya malah jadi gabisa pesan tanggal. Selalu ke force stop keluar sendiri</t>
  </si>
  <si>
    <t>After updating the application, I couldn't even order a date. Always force stop to exit on your own</t>
  </si>
  <si>
    <t>Ini gimana mau register kok gabisa ?</t>
  </si>
  <si>
    <t>How come I want to register, how come I can't?</t>
  </si>
  <si>
    <t>Pelayannya tolong lebih ditingkatkan yaa</t>
  </si>
  <si>
    <t>Please improve the service</t>
  </si>
  <si>
    <t>Tolong untuk verifikasinya jangan lama" ya tolong di perbaikin. Saya udh ngulang 2 kali blm dpt nomer verifikasi</t>
  </si>
  <si>
    <t>Please don't take too long to verify, please fix it. I've done it twice and haven't gotten the verification number.</t>
  </si>
  <si>
    <t>setelah ada update app malah jd susah pesen, ga bisa log in, sekalinya bisa log in ga bisa booking</t>
  </si>
  <si>
    <t>After there was an app update, it became difficult to order, I couldn't log in, once I was able to log in I couldn't book</t>
  </si>
  <si>
    <t>untuk register ke appnya kenapa terlalu lambat kode vertivikasinya udh masuk tapi dii app belum masuk ke kode vertivikasi padahal jaringan internet sudah kuat</t>
  </si>
  <si>
    <t>to register with the app, why is it too slow, the verification code has been entered but the app has not entered the verification code even though the internet network is strong</t>
  </si>
  <si>
    <t>12.12 diskon ❌ 12.12 Seever Down ✅</t>
  </si>
  <si>
    <t>12.12 discount ❌ 12.12 Seever Down ✅</t>
  </si>
  <si>
    <t>Balikin kuota w mau daftar aja lemot susah ribet ga kaya oyo</t>
  </si>
  <si>
    <t>Returning the quota, I just want to register, it's slow, it's difficult, it's not complicated, it's not like Oyo</t>
  </si>
  <si>
    <t>Tidak bisa log in ya??</t>
  </si>
  <si>
    <t>Can't log in huh??</t>
  </si>
  <si>
    <t>Buka aplikasi, account profile langsung ketutup aplikasinya, code voucher dr Shopee jg ga bisa dipakai</t>
  </si>
  <si>
    <t>Open the application, the profile account immediately closes the application, the voucher code from Shopee also cannot be used</t>
  </si>
  <si>
    <t>Ga bisa masuk apk ?</t>
  </si>
  <si>
    <t>Can't enter the APK?</t>
  </si>
  <si>
    <t>kenapa apk boboboxx saya stuck di loading screen ya?</t>
  </si>
  <si>
    <t>why is my boboboxx apk stuck on the loading screen?</t>
  </si>
  <si>
    <t>tadinya ku mau kasih bintang 5, tp karna tidak air panas saat mandi lgsg ku agak kecewa</t>
  </si>
  <si>
    <t>Kalo bisa ada tv nya, seperti shakti capsul hotel</t>
  </si>
  <si>
    <t>If possible there is a TV, like the Shakti capsule hotel</t>
  </si>
  <si>
    <t>Baru download nih. Bgmn ya koq ngeBug setiap klik kembali ke menu awal terus. Bgmn dunkz jadinya mau transaksi wkwkwk</t>
  </si>
  <si>
    <t>Just downloaded it. How come the bug keeps going back to the start menu every time you click? How do you want to make a transaction hahaha</t>
  </si>
  <si>
    <t>Tolong dong di perbaiki ini ga bisa login susah masuk sekalinya bisa login ga bisa serc lokasi</t>
  </si>
  <si>
    <t>Please fix this, I can't log in. It's hard to log in. Once I can log in, I can't check the location</t>
  </si>
  <si>
    <t>Harga ekonomis, ngent0d pun praktis</t>
  </si>
  <si>
    <t>Economical prices, ngent0d is also practical</t>
  </si>
  <si>
    <t>Mohon maaf kok di update terbaru tiba2 nomor telpon saya di unverified, padahal sebelumnya ga gitu.. Mohon diperbaiki 😕</t>
  </si>
  <si>
    <t>I'm sorry, but in the latest update suddenly my telephone number was unverified, even though it wasn't like that before... Please fix it 😕</t>
  </si>
  <si>
    <t>Tolong ditambah fitur pilih pods sendiri, jangan random.</t>
  </si>
  <si>
    <t>Please add a feature to choose your own pods, not random.</t>
  </si>
  <si>
    <t>aku gak bisa donlot aplikasinya kenapa ya? padahal kemaren bisa. trus aku uninstall. skrg gak bisa. stuck di 95% trusss :(</t>
  </si>
  <si>
    <t>I can't download the application, why? even though yesterday I could. then I uninstalled it. now I can't. stuck at 95% truss :(</t>
  </si>
  <si>
    <t>Tolong di perbaiki masa g kedap suara bobobox dago</t>
  </si>
  <si>
    <t>Please fix the soundproofing of Bobobox Dago</t>
  </si>
  <si>
    <t>Kita sudah login akun tapi knp kalo tiap dibuka harus login lagi sering terjadi mohon diperbaiki</t>
  </si>
  <si>
    <t>We have logged in to our account but why does it happen that every time we open it we have to log in again? Please fix it</t>
  </si>
  <si>
    <t>Kemarin di bobobox kotalama semarang. Ribet soal musti pake sandal khusus, sepatu/sandal bawaan masuk locker yg ada di bangunan resepsionis,sy dapetnya cabin diluar resepsionis. Jadilah kalo mau masuk/keluar cabin musti tuker sendal dg keluar masuk itu, kalo pas ada barang ketinggalan dicabin dg posisi udah ganti sepatu/sandal musti ganti2 lagi? RIBET. DAN claimnya tercanggih, tpi ac nya manual musti muter atap, dan ribet klo cuma mau ke KM musti bawa hp buat buka room krn otomatis kekunci.</t>
  </si>
  <si>
    <t>Yesterday at Bobobox Kotalama Semarang. It's complicated about having to wear special sandals, the shoes/sandals you brought went into the locker in the reception building, I got a cabin outside the reception. So, if you want to go in/out of the cabin, you have to change your sandals to get in and out, if you leave something behind in the cabin and you have already changed shoes/sandals, you have to change again? COMPLICATED. AND it claims to be the most sophisticated, but the AC is manual and has to be rotated by the roof, and it's complicated. If you just want to go to the KM, you have to bring your cellphone to open the room because it automatically locks.</t>
  </si>
  <si>
    <t>please update tapi di playstore ga ada tombol updatenya</t>
  </si>
  <si>
    <t>Please update but there is no update button in Playstore</t>
  </si>
  <si>
    <t>Entah kenapa tiap kali habis ada update promo diskonnya jadi makin dikit. Jika dihitung harganya mirip atau selisih dikit dengan hotel-hotel sebelah, jadinya pikir-pikir lagi deh. Semoga segera di tambah promonya, biar pelanggan makin betah nginep di BoBoBoX. Tks.</t>
  </si>
  <si>
    <t>I don't know why every time there's an update, the discount promo gets smaller. If you calculate that the price is similar or slightly different from the hotels next door, then think again. Hopefully the promotion will be added soon, so that customers will feel more comfortable staying at BoBoBoX. Thanks.</t>
  </si>
  <si>
    <t>UX nya ga asyik</t>
  </si>
  <si>
    <t>The UX is not fun</t>
  </si>
  <si>
    <t>Ingin registrasi kenapa gagal* terus ya?</t>
  </si>
  <si>
    <t>Why do you want to register and it keeps failing*?</t>
  </si>
  <si>
    <t>Setelah aplikasi di-update jadi sering close sendiri diredmi 5 plus.mohon diperbaiki</t>
  </si>
  <si>
    <t>After the application is updated, it often closes on the Redmi 5 Plus. Please fix it</t>
  </si>
  <si>
    <t>Kenapa sering bgt update 2hr lalu baru update skrg disuruh update lg 😴😴😴😴</t>
  </si>
  <si>
    <t>Why do you update so often for 2 days then update now and then you're told to update again 😴😴😴😴</t>
  </si>
  <si>
    <t>Gimana ya cara booking 2 room dalam 1 kali booking di aplikasi??</t>
  </si>
  <si>
    <t>How do you book 2 rooms in one booking on the application??</t>
  </si>
  <si>
    <t>Toilet seperti race area tol , parkir no free , selimut putih dan sprei putih mudah kotor ,udh itu aja</t>
  </si>
  <si>
    <t>The toilet is like a toll road race area, parking is not free, white blankets and white sheets get dirty easily, that's all</t>
  </si>
  <si>
    <t>bikin akun baru kok lama pas nunggu code buat verify account nya sih, semoga diperbaiki ya kakak</t>
  </si>
  <si>
    <t>When I create a new account, it takes a long time to wait for the code to verify the account, I hope it's fixed, bro</t>
  </si>
  <si>
    <t>Hotel Bagus... Pelayanan juga ok... Cumah kamar mandi nya lengket dilantai dan bau di toilet nya... Sedangkan kami harus buka sendal... Tapi kurang kebersihan nya.... PODS KOTA TUA tolong di benahi...</t>
  </si>
  <si>
    <t>Good Hotel... Service is also ok... Only the bathroom has sticky floors and smells in the toilet... Meanwhile we have to take off our sandals... But the cleanliness is lacking... OLD CITY PODS please fix it...</t>
  </si>
  <si>
    <t>promo nya kurang menarik :) harus di kembangkan lagi oke</t>
  </si>
  <si>
    <t>the promo is not interesting :) it has to be developed again okay</t>
  </si>
  <si>
    <t>Untuk sementara 3 dulu karena maybe ok lah ,, tapi di surabaya masih belum ada</t>
  </si>
  <si>
    <t>For the time being, there are 3 because maybe it's ok, but there are still none in Surabaya</t>
  </si>
  <si>
    <t>Kasih bahasa Indonesia nya ya min</t>
  </si>
  <si>
    <t>Please give the feature in Bahasa Indonesia</t>
  </si>
  <si>
    <t>3 dulu aja soalnya mode pembayarannya gk bisa cash. Harus download ini itu. Bagi yg gk punya kartu Bikin pusing aja</t>
  </si>
  <si>
    <t>Just 3 first because the payment mode cannot be cash. Must download this and that. For those who don't have a card, it's just a headache</t>
  </si>
  <si>
    <t>Halo, apakah bisa untuk honeymoon bob?</t>
  </si>
  <si>
    <t>Hello, is it possible for Bob's honeymoon?</t>
  </si>
  <si>
    <t>Sayang sekali cabangnya masih sedikit:( Padahal aku mau coba stay disini Perbanyak cabangnya donk 🙂.......</t>
  </si>
  <si>
    <t>It's a shame that there are still few branches :( Even though I want to try staying here, please increase the number of branches 🙂.......</t>
  </si>
  <si>
    <t>Hallo min apa ke bobobox bisa membawa makanan dari luar?</t>
  </si>
  <si>
    <t>Hello, can you bring food from outside to Bobobox?</t>
  </si>
  <si>
    <t>Tiga ajja dlu yah</t>
  </si>
  <si>
    <t>Just three first, okay?</t>
  </si>
  <si>
    <t>Pilihan msih relatif sedikit.. Semoga kedepannya lebih baik</t>
  </si>
  <si>
    <t>There are still relatively few choices... Hopefully the future will be better</t>
  </si>
  <si>
    <t>Ga bisaa login apps nya oiii, yang bener lahhh</t>
  </si>
  <si>
    <t>I can't log in to the apps, that's true</t>
  </si>
  <si>
    <t>Ok</t>
  </si>
  <si>
    <t>Knapa stelah update yg ke versi baru jadi gabisa masuk terus</t>
  </si>
  <si>
    <t>Why is it that after updating to the new version I can't keep logging in?</t>
  </si>
  <si>
    <t>Dewasa</t>
  </si>
  <si>
    <t>Adult</t>
  </si>
  <si>
    <t>Coba untuk waktu check in ga dibatesin biar ga susah klo butuh diearly, dan di itung pake jam aja juga gpp. Mohon jangan Kya hotel biasa waktu cek in nya...dijamin lebih rame</t>
  </si>
  <si>
    <t>Try not to limit the check-in time so it's not difficult if you need an early check-in, and that's fine if you just use a clock. Please don't go to a regular hotel when you check in... it's guaranteed to be busier</t>
  </si>
  <si>
    <t>Mau nanya nih, udah pesen dari aplikasi lain apakah ada jaminan pasti mendapatkan kamar?</t>
  </si>
  <si>
    <t>I want to ask, have you ordered from another application, is there a guarantee that you will definitely get a room?</t>
  </si>
  <si>
    <t>knp ga bisa masuk min, saya baru mau regis</t>
  </si>
  <si>
    <t>Why can't I log in, bro, I just wanted to register</t>
  </si>
  <si>
    <t>lokasi nya hanya ada di Bandung, kota lain belum</t>
  </si>
  <si>
    <t>The location is only in Bandung, not other cities yet</t>
  </si>
  <si>
    <t>apakah bisa untuk 4 orang dewasa?</t>
  </si>
  <si>
    <t>is it possible for 4 adults?</t>
  </si>
  <si>
    <t>min, apakah diperbolehkan membawa lawan jenis ? biar 1 kamar bisa 2 orang supaya irit budget ehehe, saya gaada niat buat ngelakuin hal2 yg dilarang agama🙏Fast respon min</t>
  </si>
  <si>
    <t>Min, is it allowed to bring someone of the opposite sex? so that 1 room can accommodate 2 people to save on budget ehehe, I have no intention of doing things that are prohibited by religion🙏Fast response min</t>
  </si>
  <si>
    <t>belum di pake, eh udh 0 aja gift certificate nya hahahahahahah makasih loh</t>
  </si>
  <si>
    <t>Haven't used it yet, but there's already 0 gift certificate hahahahahahah, thanks</t>
  </si>
  <si>
    <t>Hi Bobobox, Ada kasur single seat tidak yaa?? Hanya untuk satu orang.</t>
  </si>
  <si>
    <t>Hi Bobobox, is there a single seat mattress? Only for one person.</t>
  </si>
  <si>
    <t>Kok ga bisa pilih destinasinya???</t>
  </si>
  <si>
    <t>How come you can't choose the destination???</t>
  </si>
  <si>
    <t>Kebersihan kamar cukup baik, tetapi beberapa alat shower kamar mandi kurang optimal berfungsi.</t>
  </si>
  <si>
    <t>Room cleanliness is quite good, but some of the bathroom shower equipment is not functioning optimally.</t>
  </si>
  <si>
    <t>Sangat nyaman tidur di bobobox. Fasilitas dan layanannya sangat memuaskan. Cocok sebagai tempat yang ditujukan untuk beristirahat saja. Kemanannya juga baik.</t>
  </si>
  <si>
    <t>Very comfortable sleeping in the bobobox. The facilities and services are very satisfying. Suitable as a place intended for resting only. The security is also good.</t>
  </si>
  <si>
    <t>saya menggunakan aplikasi bobobox untuk membooking kamar yang berukuran 2 orang. sebagai orang yang pertama kali menginap di hotel kapsul, impresi pertama saya adalah saya langsung merasa nyaman dengan kamar yang bersih dan AC yang cukup dingin. terdapat juga musik dan lampu yang dapat diubah2 sesuai dengan mood saya saat itu. untuk saran saya rasa perlu penambahan pengharum ruangan. selain itu, sudah cukup bagus. saya mungkin akan memesan lagi kedepannya.</t>
  </si>
  <si>
    <t>I used the bobobox application to book a room for 2 people. As someone who stayed at a capsule hotel for the first time, my first impression was that I immediately felt comfortable with the room being clean and the AC being quite cold. There is also music and lights that can be changed according to my mood at that time. for suggestions, I think it is necessary to add air freshener. other than that, it's pretty good. I will probably order again in the future.</t>
  </si>
  <si>
    <t>Saya belum pernah menginap sejauh ini jadi belum bisa memberikan pengalaman saya.</t>
  </si>
  <si>
    <t>I haven't stayed here so far so can't give my experience.</t>
  </si>
  <si>
    <t>Pertama kali mencoba menginap di bobobox, pesan kamar tipe sky double untuk satu malam, rasanya puas dan senang suasananya nyaman, kamarnya juga kereeen bener-bener bisa untuk istirahat, fasilitasnya juga bagus, kamar mandinya bersih banget, pelayanannya juga bagus, karyawannya ramah-ramah, untuk yg di pods paskal deket sama stasiun klo malem juga nyari makannya gampang, pokonya TOP!</t>
  </si>
  <si>
    <t>First time trying to stay at Bobobox, ordered a Sky Double room for one night, I was satisfied and happy, the atmosphere was comfortable, the room was really cool, really good for resting, the facilities were also good, the bathroom was really clean, the service was also good, the employees were friendly , for those in Paskal pods close to the station at night it's also easy to find food, basically TOP!</t>
  </si>
  <si>
    <t>Untuk saat ini saya belum pernah mencoba hitel kapsul. Namun, nama Bobobox sangat menarik untuk dicoba.</t>
  </si>
  <si>
    <t>To date, I have never tried hitel capsules. However, the name Bobobox is very interesting to try.</t>
  </si>
  <si>
    <t>Checkin checkout terkesan seemless karena semua lewat aplikasi, bahkan bertanya tentang problem seperti mengecilkan ac pun lewat aplikasi. Booking memang lebih disarankan dari aplikasinya langsung, bukan dari 3rd party, karena lebih gampang buat integrasinya.</t>
  </si>
  <si>
    <t>Checkin checkout seems seemless because everything goes through the application, even asking about problems such as turning down the AC through the application. It is recommended to book directly from the application, not from a 3rd party, because it is easier to integrate.</t>
  </si>
  <si>
    <t>bag storage utk backpack danpack sejenisnya yg tidak tersedia, kerono yg menginap rerata bawaan ada dalm pack jenis ttersebut serta curtain yg terasa kurang secure.</t>
  </si>
  <si>
    <t>Storage bags for backpacks and similar packs are not available, the kerono that stays overnight usually comes in this type of pack and the curtains don't feel secure.</t>
  </si>
  <si>
    <t>Bagus dan nyaman aja sih sebenernya. Tapi maaf ya lupa namanya apa, dulu di Singapur di darrah deket2 clarke quay. Bersih, kamar mandinya bersih, dingin juga acnya.</t>
  </si>
  <si>
    <t>It's actually good and comfortable. But sorry, I forgot what it was called, it used to be in Singapore at Darrah near Clarke Quay. Clean, the bathroom is clean, the air conditioner is cold too.</t>
  </si>
  <si>
    <t>Awal masuk checkin ok sih tinggal bawa ktp aja, trus tuker sepatu jd sendal, diarahin sesuai nomor kapsul, pas masuk kapsul tgl scan, jd pastiin hp selalu nyala tiap mau keluar masuk. Ada pantry umum dan toilet umum jg untungnya cewe cowo dipisah. Sayangnya pegawai jarang yg stay di beranda kapsul atau di pantry/toilet. Palingan hrs kirim pesan di aplikasi jika ada pertanyaan atah keluhan.</t>
  </si>
  <si>
    <t>When you first enter, check in is ok, just bring your ID card, then change your shoes for sandals, be directed according to the capsule number, when you enter the capsule, scan it, so make sure your cell phone is always on every time you go in and out. There is a public pantry and public toilets, fortunately they are separated for boys and girls. Unfortunately, employees rarely stay on the capsule veranda or in the pantry/toilet. At the very least, you have to send a message in the application if you have questions or complaints.</t>
  </si>
  <si>
    <t>Saya dapat memberikan bintang 5 untuk keramahan staff, mereka standby bahkan sampai subuh dan sigap membantu untuk para tamu yang menginap. Fasilitas hotel saya rasa cukup, dan boleh saya apresiasi untuk kebersihan dan toilet yang bersih. Satu keluhan saya ialah capsule tidak kedap suara sehingga cukup mengganggu ketika ada tamu lainnya yang sedang mendengkur.
 Pengalaman booking saya sangat menyenangkan. Mudah, cepat, dan anti ribet untuk agent Traveloka.</t>
  </si>
  <si>
    <t>I can give 5 stars for the friendliness of the staff, they are on standby even until dawn and are ready to help the guests staying. I think the hotel facilities are adequate, and I can appreciate the cleanliness and clean toilets. One complaint I have is that the capsule is not soundproof so quite annoying when there are other guests who are snoring.
 My booking experience was very pleasant. Easy, fast and hassle-free for Traveloka agents.</t>
  </si>
  <si>
    <t>Pelayanan operasional sangat bagus dan staf sangat ramah. Amenities juga lengkap. Sayangnya, waktu itu tempat hotel kapsul saya menginap ada beberapa orang yang mabuk. Hal ini membuat saya dan orang lain tidak bisa beristirahat sampai jam 4-5 pagi. Walaupun seluruh tempat terasa perfect, tapi dengan adanya orang2 yang mabuk ini membuat seluruh experience di hotel kapsul menjadi 0/5. Kejadian ini berulang terjadi di Singapore, tetapi mungkin tidak relevan untuk Indonesia.</t>
  </si>
  <si>
    <t>Operational service is very good and the staff is very friendly. Amenities are also complete. Unfortunately, at that time the capsule hotel I was staying at had several drunk people. This makes me and other people unable to rest until 4-5 in the morning. Even though the whole place feels perfect, the presence of these drunk people makes the whole experience at the capsule hotel a 0/5. This incident occurs repeatedly in Singapore, but may not be relevant for Indonesia.</t>
  </si>
  <si>
    <t>Tidak pernah memesan langsung via web hotel. Pengalaman baik, namun sulit dalam menentukan pilihan yang ideal untuk capsule hotel. Ketika sudah tiba di hotel, banyak hal yang tidak sesuai dengan ekspektasi seperti biaya tambahan, aturan hotel yang ketat, dsb.</t>
  </si>
  <si>
    <t>Never book directly via the hotel website. Good experience, but difficult to determine the ideal choice for a capsule hotel. When we arrived at the hotel, many things did not meet expectations, such as additional fees, strict hotel rules, etc.</t>
  </si>
  <si>
    <t>Belum pernah menginap, tapi sepertinya pilihan liburan di bobocabin cukup menarik.
 Untuk menginap pun, sepertinya hotel capsule menyediakan fitur yang pas (tidak terlalu banyak, tapi cukup)</t>
  </si>
  <si>
    <t>I've never stayed overnight, but it looks like the holiday option at Bobocabin is quite interesting.
 Even for overnight stays, it seems like capsule hotels provide the right features (not too many, but enough)</t>
  </si>
  <si>
    <t>Sejujurnya, saya merasa puas dengan pelayanan Bobobox.Terlebih menggunakan aplikasi Bobobox langsung. Kalau secara desainnya sangat suka meskipun minimalis. Kalau menurut saya, ada beberapa kekurangan dalam aplikasi dan service itu sendiri.
 - Kurang banyaknya promo di aplikasi.
 - Pemilihan lokasi kurang disertakan dengan foto lokasi. Untuk saya, ini cukup penting sih, supaya bisa tahu visual lokasi yang akan dikunjungi.
 - Sebaiknya ada pilihan connect to google account ketika sudah buat akun (misalnya, ketika mau login akun tapi lupa email yang utama, email backup di akun tersebut bisa login. Atau misalnya connect to Facebook. Jadi sebagai bahan pertimbangan untuk backup login.
 - Sebaiknya pakai 2nd Authenticator, baik SMS maupun lewat aplikasi. Meskipun fungsinya cuma untuk keperluan booking, tapi saya rasa ada pentingnya untuk kehadiran 2nd Authenticator, penting sih.
 - Untuk forget password sudah mantap, tapi ada kalanya untuk "Dear [email]" sebaiknya diganti dengan "Dear [nama orang]" (Kalau forget password, biasanya dikirim ke email.
 Kalau masih mau tanya - tanya, silahkan ke IG/Twitter: @walvenardo.
 Terima Kasih
 Walvenardo</t>
  </si>
  <si>
    <t>Honestly, I am satisfied with Bobobox's service. Especially using the Bobobox application directly. In terms of design, I really like it even though it is minimalist. In my opinion, there are several shortcomings in the application and service itself.
 - Not many promos in the application.
 - Location selection is not included with location photos. For me, this is quite important, so I can get a visual idea of ​​the location I will visit.
 - It would be better if there is an option to connect to a Google account when you have created an account (for example, if you want to log in to your account but forget your main email, you can log in with the backup email on that account. Or, for example, connect to Facebook. So this is something to consider when backing up your login.
 - We recommend using a 2nd Authenticator, either SMS or via application. Even though its function is only for booking purposes, I think the presence of a 2nd Authenticator is important, it's important.
 - For forgetting the password, it's good, but there are times when Dear [email]" should be replaced with "Dear [person's name]" (If you forget the password, it's usually sent to email.</t>
  </si>
  <si>
    <t>pilihan terbaik utk traveler,anak muda, single atau br nikah</t>
  </si>
  <si>
    <t>The best choice for travelers, young people, singles or married people</t>
  </si>
  <si>
    <t>Kamarnya bersih dan nyaman, toilet dan dapurnya bersih walaupun digunakan bersama-sama</t>
  </si>
  <si>
    <t>The rooms are clean and comfortable, the toilet and kitchen are clean even though they are shared</t>
  </si>
  <si>
    <t>Pelayanannya bagus,baik dari satpam,customer service ramah,tempatnya bersih.</t>
  </si>
  <si>
    <t>The service is good, good from the security guard, friendly customer service, the place is clean.</t>
  </si>
  <si>
    <t>Tempat nya simple tapi nyaman</t>
  </si>
  <si>
    <t>The place is simple but comfortable</t>
  </si>
  <si>
    <t>praktis untuk saya yang saat itu pertama kali solo traveling. Murah dan compact.
 Pros: 
 - murah, compact, cocok utk yg solo travel
 Cons: 
 - tdk cocok utk group travel, atau ngajak family , kadang amenitiesnya kurang layak. Tp balik lg kalo Capsule Hotel yg agak Fancy biasanya lbh lengkap</t>
  </si>
  <si>
    <t>Practical for me, who was traveling solo for the first time. Cheap and compact.
 Pros:
 - cheap, compact, suitable for solo travel
 Cons:
 - not suitable for group travel, or bringing the family, sometimes the amenities are not adequate. But then again, Capsule Hotels which are a bit fancier are usually more complete.</t>
  </si>
  <si>
    <t>Berisik ga kedap suara</t>
  </si>
  <si>
    <t>Noisy, not soundproof</t>
  </si>
  <si>
    <t>Kebersihan kamar dan fasilitas serta perlengkapan yang relatif masih baru membuat pengalaman menginap menjadi menyenangkan. Booking dilakukan dengan menghubungi langsung pihak hotel</t>
  </si>
  <si>
    <t>The cleanliness of the rooms and the relatively new facilities and equipment make your stay a pleasant experience. Bookings are made by contacting the hotel directly</t>
  </si>
  <si>
    <t>Interior ruangan capsule hotel cukup futuristik, dingin, tetapi cukup sempit. Terdapat juga loker yang tersedia untuk para pengunjung untuk menyimpan barang-barang mereka. Area kamar mandi hanya 1 dan di dalamnya terdapat 4 shower dan wastafel. 
 Setiap kapsul terdapat kartu yang dapat ditempel untuk membuka ruangan kasurnya. Terdapat lampu, kipas untuk membawa dingin ke dalam ruangan kamar, dan televisi untuk hiburan. Tidak perlu menyalakan kipas juga sudah dingin. Kasur bersih tetapi lumayan tipis. Selimut sangat tipis sehingga tidak cukup menghangatkan badan. Kapsul juga tidak kedap suara, sehingga jika ada orang yang menelfon pada kapsul lain, orang di dalam sekitar kapsul juga dapat mendengar suaranya.</t>
  </si>
  <si>
    <t>Saya menginap di hostel Tokyo W-Inn pada trip saya ke Jepang di Oktober 2018. Saat itu saya menggunakan hostelworld.com untuk booking. Saat trip ke luar negeri sendiri atau as a couple, saya lebih sering menggunakan hostelworld karena lebih sering menginap di hostel, kemudian pilihannya pun lebih banyak dan disertai review dari traveller lain. 
 Pengalaman saya saat booking cukup baik. Booking lancar, respon cepat, dan setelah itu langsung dapat email konfirmasi dan keterangan2 yang dibutuhkan soal lokasi hostelnya via email.
 Pelayanan yang diberikan hostel sangat baik. Bentuknya antara dorm hostel dan hotel kapsul. Tidak berbentuk bunk bed tradisional, tetapi lebih ke bed dengan dinding kayu yang terbuka di satu sisi dimana pada sisi yg terbuka separuhnya tertutup kayu, separuhnya gordyn. Dibanding hotel kapsul yg berbentuk pod dan hanya terbuka di satu sisi di kaki, saya lebih suka ini karena masih terasa cukup luas dan tidak dalam peti. 
 Fasilitas lainnya juga cukup lengkap. Toilet di setiap lantai yang super bersih. Kamar mandi umum yg bersih dan ada bath tub mini. Pantry dan ruang bersantai dengan view Tokyo Tower. Lokasi juga terbilang dekat dengan stasiun dan tourist spot Asakusa. Pelayanan sangat ramah dan profesional.</t>
  </si>
  <si>
    <t>Saya pernah menginap di Bobobox Tanah Abang. Proses booking sangat mudah dan cepat menggunakan aplikasi mobile Android. Reservation juga bisa di share, sehingga memudahkan kami untuk share akses masuk ke kamar. Saat pertama kali datang, saya sempat bingung hotelnya ada di sebelah mana, bahkan sampai keluar parkiran dulu karena dikira salah parkir. Signnya kurang jelas untuk menunjukkan lokasi pintu masuk hotel. Setelah masuk ke hotelnya, hostnya ramah dan jelas dalam memberikan informasi. Ramahnya bukan ramah yang dipaksa karena SOP tapi terlihat memang ramah. Tempat tidur bersih, kamar mandi bersih, ruang bersama juga bersih. Akan tetapi saya tempat bingung ketika ingin ke kamar mandi karena pintunya dihalangi rak sepatu tanpa ada tulisan apapun. Ternyata sedang rusak dan harus pindah ke kamar mandi yang lain. Ketika ada yang mau buka pintu, suaranya kencang sekali, jadi mengganggu kalau sudah tidur. Overall dengan harga waktu itu worth it untuk dijadikan tempat singgah kalau perlu menginap sebentar.</t>
  </si>
  <si>
    <t>Ga jadi nginap hotel karena tdk bs reschedule tgl .. pelayanannya juga buruk .. receptionist nya kurang sopan !</t>
  </si>
  <si>
    <t>awalnya pelayanannya cukup oke. tapi pas masuk kapsulnya panas. pintu sempat gabisa dibuka. headphone untuk tv juga gaada. minta deposito 50ribu tapi pas sheet nya kotor kena charge nya 100 ribu. tolong diperhatikan lagi.</t>
  </si>
  <si>
    <t>Standart dgn harga segitu, toilet agak kotor karena saya checkin malam dan sampe checkout siang besoknya belum ada yg bersihin. Tissue juga ga ada yg perhatikan untuk diisi lagi.. Semoga manajemen lebih memperhatikan lagi kebersihan dan perawatannya, jangan sampe jadi usang. Jangan lupa bawa tumbler yg mau isi ulang airnya.</t>
  </si>
  <si>
    <t>Pesen Compact Room yang dapat kamar mandi di dalem, eh ternyata malah rembes airnya ke lantai kamar. Rembesnya tuh bukan rembes biasa, malah sampe keluar banyak. Sempat komplain, solusinya cuma diperbaiki seadanya. Oke lah, kami mengalah. Eh besoknya pas habis mandi pagi, malah makin parah rembesnya sampe ditutupin pakai anduk bekas mandi. Oh ya, air panas di shower pun gak berfungsi sama sekali. Impresi pertama yang kacau buat hotel ini. Sebagai pelengkap, sang owner pun ketus parah dan gak kasih solusi yang konkrit semisal ganti kamar (ini yg gue harapkan sebenernya). Tapi ya sudah, mungkin buat mereka bukan pelanggan prioritasnya, tapi cuan. Hehehe. Maaf gue harus kasih review jujur begini karena kecewa dengan pelayanannya. So, silahkan pertimbangkan lagi kalau mau nginep di sini, kecuali manajemen hotelnya mau PERBAIKI DIRI.</t>
  </si>
  <si>
    <t>Awalnya iseng krn konsep unik, tapi kapokkk bangeettt dan gak bakal nginep di sini lagi. Cabin tdk kedap udara, suara dr lobby / pintu geser / orang ngorok di sebelah terdengar jd gak bs tidur. Sdh minta pindah cabin, tp proses lama dan batal pindah. Akhirnya pasrah tidur hanya 2 jam. kamar mandi rada kotor, dinding bagian bawah coklat", pagi" ada cacing, tdk ada sandal jepit utk di kamar mandi. Udara di cabin pengap, di cabin tdk ada pendingin udara krn hanya mengandalkan AC dr lorong.</t>
  </si>
  <si>
    <t>ada 2 area tpi di jdikan 1 campur cew-cow padahal ada 2 kamar mandi ,,,knp tidak dipisah,,trus kebetulan bareng tamu yg berisikkkkk bangett!!!</t>
  </si>
  <si>
    <t>Pelayanan nya ramah. Check in di jam setengah 11 malam, baru ngeh kalo di 1 lorong ternyata di campur (cowok dan cewek). Setelah dikonfirmasi ternyata ada box yg ga available jd terpaksa harus dicampur.</t>
  </si>
  <si>
    <t>tempatnya enak bersih, tetapi ga bisa ngangkat telp karna suaranya kedengeran banget.</t>
  </si>
  <si>
    <t>kamar mandi cuma 1, ga ada mushola</t>
  </si>
  <si>
    <t>Sangat mengecewakan. Selayaknya akomodasi ini disebut motel, bukan hotel. Lokasi memang cukup dekat dengan malioboro, tapi tempat parkir tidak memadai, di basement gedung, hanya muat 3 mobil. Itupun akses keluar masuknya sempit, sehingga untuk kendaraan yang datang belakangan, siap-siap kunci mobil dititip ke satpam supaya sewaktu-waktu bisa dipindah agar mobil yang di dalam bisa keluar. Kondisi kamar sangat sempit, cenderung pengap. Kamar mandi sangat sempit, untuk menggunakan WC saja kita harus bermanuver dulu saking sempitnya. Wastafel jorok, sepertinya sudah lama tidak dibersihkan. Lantai juga kotor. AC sempat tidak bisa dinyalakan, tapi 20 menit setelah lapor, petugas datang untuk memperbaiki. Pelayanan juga kurang baik. Saat saya datang, hanya ada seorang satpam. Petugas check-jn entah kemana. Setelah beberapa menit baru datang. Hotel ini juga sepertinya tidak melarang tamu membawa durian. Di kamar dekar lift, tamu hotel makan durian, jadi setiap kali menggunakan lift, tercium bau durian yang sangat menyengat. Tidak akan pernah kembali ke hotel ini.</t>
  </si>
  <si>
    <t>Hotelnya agak jauh dari jl malioboro, resto baru buka jam 9 pagi dan close order jam 7 malam tidak tersedia sarapan, kamar mandin dan toilet sempit dan peilnya lbh tinggi sekitar 30 cm dari peil kamar. keset yang tersedia hy 1.</t>
  </si>
  <si>
    <t>Hotelnya baru buka, AC tdk dingin, tdk ada tissue, kamar mininalis, lokasinya lumayan dari malioboro kalo jalan kaki.. staff hotel ramah banget... menurut saya harganya agak mahal dg tipe kmr dqn no breakfast</t>
  </si>
  <si>
    <t>Jorok banget di dalam kamar ada lalat dan ruangan bau, bahkan staf hotel masuk ke kamar menggunakan sepatu saat kami minta extra bed</t>
  </si>
  <si>
    <t>Yg tanpa window sempit bgt krn kan unk 4 org dlm kamar susah gerak shalat aja susah, salah ambil 2 days🙏🏻</t>
  </si>
  <si>
    <t>sempat mati airnya dan menunggu cukup lama padahal lagi buru" karna sudah mau di jemput dan harus check out pagi :(</t>
  </si>
  <si>
    <t>Kamar nya sempit apalagi kamar mandi nya terlalu sempit dan kurang bersih</t>
  </si>
  <si>
    <t>Dari segi tempat sangat strategis deket banget ke malioboro bisa jalan kaki. Saya suka detail colokan untuk charge, setiap orang dapat tempatnya masing2 totalnya kami ber4. Jadi tidak perlu gantian. Untuk ac nya aman, dingin banget. Tapi pembatas antar kamar bukan dinding kayanya, jadi suara pengunjung sebelah masih terdengar.</t>
  </si>
  <si>
    <t>lokasi bagus dekat kemana2, kamar &amp; kamar mandi kecil, harga agak over price</t>
  </si>
  <si>
    <t>Oke lah dekat dengan malioboro ... kamar mandi agak bau &amp; kamar banyak sawang</t>
  </si>
  <si>
    <t>Overall puas sama pelayanan nya, tapi mohon maaf untik kebersihan mohon lebih d perhatikan, krn ada kecoa yg masuk ke kamar sampai 2 kali</t>
  </si>
  <si>
    <t>sebenarnya overall oke oke aja ya. tapi buat yang bawaan banyak atau koper gede, rada sempit aja sih.</t>
  </si>
  <si>
    <t>Hotelnya lumayan bagus, muat ber 4, tetapi ruangan agak kecil. Keran shower sudah mau rusak, tercium bau tidak sedap dari wc dan kamar mandi padahal kamar mandi cukup bersih. Mungkin pembuangannya langsung mengalir ke comberan. Jd kurang enak baunya</t>
  </si>
  <si>
    <t>okelah, cuman agak kotor buat spreinya gitugitu dan ada tamu lain yg ramenya gatau waktu deh kayaknya</t>
  </si>
  <si>
    <t>Untuk desain interior nya bagus, instagramable, kasur nya berkualitas nyaman untuk istirahat, cuma sayang banget untuk kebersihan alas kasur nya kurang banget, kemaren pas nginap di Tab hotel, kasur nya berdebu, ada jaring laba-laba di alas kasurnya. Untuk kamar mandi dan toilet cukup bersih dan unik. Semoga untuk kebersihannya lebih bisa ditingkat kan lagi.</t>
  </si>
  <si>
    <t>Sayangnya masih ada renov sama masih baru bgt jadi bau cat sama pedih di mata, next time mungkin sudah lebih nyaman lagi</t>
  </si>
  <si>
    <t>Lemari penyimpanan rusak. Fitur di dalam kapsul juga gak berfungsi seperti televisi</t>
  </si>
  <si>
    <t>Kamar mandinya gk ada kesetnya tuh aja minus nya dari hotel ini, trus pelayananya tidak cepat contoh mnta pass wifi dijawab 1 hari besoknya. kamar yg mau ditempatin blom ready masih harus nggu(membosankan) perlu perbaikan semuanya</t>
  </si>
  <si>
    <t>tidak ada pelayan yg standby di receptionist, menunggu lama. receptionist tidak memandu, mengarahkan atau menjelaskan cara akses kamar, lokasi kamar mandi, loker, dll. air galon di lantai hanya ada 1 dan kosong. kamar mandi hanya ada 1 di lantai, sabun kosong dan tidak ada alat mandi lainnya yg disediakan. loker yg kotor dan bau. pintu capsule tetangga yg rusak dan terus berbunyi, menganggu ketenangan.</t>
  </si>
  <si>
    <t>Tempat kecil cuman bisa posisi duduk ,tdk bisa berdiri sangat disayangkan.Lumayan bersih tp lampu kamar terlalu gelap</t>
  </si>
  <si>
    <t>ruang kamar mandi sangat bau dan kebersihannya kurang</t>
  </si>
  <si>
    <t>Banyak sih kekurangannya, semoga lebih di tingkatkan lagi</t>
  </si>
  <si>
    <t>Ketiga kalinya menginap di hotel ini tapi service nya makin buruk. Tv nggak bisa, kamar mandi kurang bersih, sabun di kamar mandi habis</t>
  </si>
  <si>
    <t>gada Snack selamat datang nya (air mineral minimal) dankasurnya lumayan tipis🥲</t>
  </si>
  <si>
    <t>Tempatnya lumayan bersih dan wangi, fasilitas cukup, tapi stafnya nggak terlatih dgn baik.</t>
  </si>
  <si>
    <t>ribet untuk check innya, pas masuk loby bahkan masnya kaget liat yg mau check in bukannya menyambut dengan ramah. Harus lakukan proses check in sendiri untuk bisa dapat kartu kamar, masnya pun kurang membantu untuk klik2nya dan kurang menjelaskan juga, makanya terasa ribet. Saya nginep 2 hari 1 malam, padahal di hari kedua saya samperin cleaning service untuk minta tolong jangan dibersihkan kamar saya, karna saya pergi buru2 sehingga barang2 penting bergeletakan seperti laptop dll dan beliau sudah mengiyakan. Tapi ketika kembali ke hotel kamar saya ternyata dirapihkan. Selebihnya oke2 aja</t>
  </si>
  <si>
    <t>Kebersihan kamar mandinya kurang, handuk yang disediakan juga jelek banget udah bolong-bolong, sudah tidak layak pakai. Fasilitasnya cukup lengkap tapi gabisa digunakan, tempat charge nya gabisa digunakan, di charge ga masuk. lokasi okee deket stasiun gubeng, harga okee sih. pas baru masuk ke dalam kamarnya panasss, butuh waktu aga lama biar dingin, loker nya susah dibuka, tapi kamarnya cukup nyaman ko untuk istirahat, kamarnya ngga terlalu sempit juga, kalo malam dingin selimutnya kurang berasa</t>
  </si>
  <si>
    <t>cas pada daerah kamar tertentu kosleting dan membuat bagian cas konektor hpku rusak dan saya tidak pernah mengalaminya sama sekali peristiwa ini.</t>
  </si>
  <si>
    <t>okay sih, dekat dengan Stasiun Gubeng, tapi waktu datang ada area yang sangat kotor sampah dimana2, Toilet tidak ada tempat meletakkan peralatan mandi, dan ac kapsulnya tidak nyala, alhasil pindah kapsulz untung tidak ada orang, kalau ada orang gimana..</t>
  </si>
  <si>
    <t>Semua oke. Belum bisa kasih yg best, karena belum ada staff ceweknya sama sekali, jujur kaget. Plus aku kira yg bisa masuk ke kamar khusus Female cmn cewek aja. Saran utk yg berkerudung klu mau keluar capsule pun usahin tetep pakai ya walau kamar mandinya didalem. Kadang staff cowoknya pas mau bersihin kamar atau dimintai bantu dari customer lain ya tinggal masuk aja gitu.</t>
  </si>
  <si>
    <t>Untuk kartu tab kamarnya kadang susah ...</t>
  </si>
  <si>
    <t>Fasilitas dikamar khususnya yg capsule double bed terkesan alakadarnya, amenities juga gak ada sama sekali. Kondisi kamar tidak seperti diwebsite, compartmen banyak yang tidak lengkap. Ada fasilitas tv tapi tidak bisa dinyalakan, wi-fi juga tidak ada koneksi internet.</t>
  </si>
  <si>
    <t>Fasilitas oke.Hanya pegawainya perlu ditraining lebih ramah lagi ya</t>
  </si>
  <si>
    <t>pintu sering macet.</t>
  </si>
  <si>
    <t>AC kurang dingin,pintu kamar mandi rusak jadi bocor</t>
  </si>
  <si>
    <t>oke, tp staffnya krg well trained</t>
  </si>
  <si>
    <t>Lumayan lah dengan harga segitu.. Tolong fotonya nya diperbarui.. Agar yang datang tidak kecewa</t>
  </si>
  <si>
    <t>lokasi dekat stasiun gubeng, dekat delta plaza, ada deposit 50 rb, tidak ada keset kamar mandi jd lantai licin dan basah. tidak ada sikat gigi dan tisu. tidak ada air mineral botol hanya air galon diluar kamar. tidak ada gelas. handuk kusam. kamarnya unik dan lucu. meja rusak jadi susah kalau mau makan.pelayanannya ramah. kalau malam rame untuk karaoke bapak2 jd tidak nyaman kalau mau keluar</t>
  </si>
  <si>
    <t>Petugas yg jaga breakfast tidak fair,saya tanya breakfastnya apa hanya disuruh ambil roti dan selai,ada menu seperti sosis dan telur yg sdh siap di hidangkan tetapi seperti di simpan,beberapa tamu cuma dpt roti saja termasuk saya..ada beberapa keluarga dtg mreka dpt..lalu saya bertanya di receptionis apa mgkn breakfast di bedakan untuk setiap kmr karna saya tidur di kmr single..mreka bilang semua sama..lalu saya bilang knp saya tdk di kasi untuk sosis dan telur nya..mreka jwb oo lgsg di minta saja pak,masa breakfas perlu di minta dl..harusnya ya setiap tamu breakfast lgsg di beri tanpa harus meminta..</t>
  </si>
  <si>
    <t>pelayanan nya kurang banget ada masalah sama pod tempatku, katanya mau dibenerin tapi aku kudu turun dulu laporan ke bawah baru dibenerin udah gitu benerinnya harus banget pas aku masih di room? at least pindahin aku ke room lain kalo emang mau dibenerin pod nya, jadi ga nyaman pokoknya pelayanannya kurang banget</t>
  </si>
  <si>
    <t>Saya tidak merokok namun dibilang kamar saya bau rokok, pada saat saya check in dan baru masuk ke kamar tersebut itu sudah bau rokok, dan saya di kenakan denda 500.000 pada saat check out.</t>
  </si>
  <si>
    <t>Harusnya menjadi tempat yang aman dan nyaman, tapi nyatanya mengecewakan, sampai 5 kali tiba-tiba pintu kapsulnya terbuka sendiri, lalu ketika minta pindah dari staf menjawab tidak bisa, tapi tiba-tiba jam 10 malam ada staf laki-laki datang dan langsung mengetuk depan pintu kapsul dengan alasan mau menawarkan saya pindah (harusnya itu area female yang private) kalau mau masuk sebaiknya bisa komunikasi via WA atau ketuk dari pintu kamar bukan pintu kapsulnya terlebih dahulu. Maaf ini pengalaman pertama dan terakhir menginap di sana. Point plus nya areanya bersih dan ada beberapa petugas yang ramah, tidak semua tapi.</t>
  </si>
  <si>
    <t>Kebersihan sangat kurang kamar mandi bau dan banyak sabun bekas pakai seharusnya disediakan saja sabun cair, tetangga hotel kamp*ngan teriak malam-malam seharusnya ada petunjuk tidak boleh berisik di area kapsul.</t>
  </si>
  <si>
    <t>Bunyi pintu dari pod lain bikin berisik gabisa tidur semalaman.</t>
  </si>
  <si>
    <t>Kamarnya ngga kedap suara jadi agak berisik.</t>
  </si>
  <si>
    <t>Pelayanan harus di tingkatkan, waktu cek in front office nya kurang ramah. Di lobby ada teman front office nya duduk duduk ngomong ngomong dan ketawa ketawa. Tidak professional. Kebersihan dan sarapan perlu di tingkatin.</t>
  </si>
  <si>
    <t>Karena voucher gak bisa dibatalin. Sia-sia tiketnya karena mendadak ada keperluan yang sangat tidak bisa ditinggalkan.</t>
  </si>
  <si>
    <t>Naik lift harus minta kartu master teros, tidak ada alat mandi.</t>
  </si>
  <si>
    <t>Ini tempat sayang sekali tidak dirawat. Kita dapat kamar 101 untuk double bed dan lampu capsul tidak mau nyala dan kasurnya kempot seperti tidur di spons murahan. Lantai juga jorok banyak rambut aneh-aneh dari tamu sebelumnya. Akirnya kita dipindah ke lantai 301 dan ada bercak. Lantai juga tidak pernah disapu kayaknya banyak rambut aneh-aneh. Di lorong juga jorok banget banyak debu dan rambut tamu lain. Kondisi kapsul pegangan untuk masuk kapsul sudah hampir copot. di bawah seprei jorok banyak kotoran. Tolong pake penghisap debu untuk bersihin kamar setelah ganti seprei. Overall parah sekali, seperti tidak punya house cleaning service.</t>
  </si>
  <si>
    <t>Di tempat tidur AC nya kurang berasa, tidak ada keset tiap dari kamar mandi jadi basah lantai dan berbahaya, apa lagi posisi tempat tidur di atas dan ada tangga.</t>
  </si>
  <si>
    <t>Kapsul hotel sangat terisolasi, tidak ada udara mengalir, tidak ada sinar matahari yang masuk sehingga menjadi sangat tidak higienis. Ditambah lagi dengan kasur dan bantal yang bau sangat apek akumulasi dari keringat, bau badan dan liur tamu hotel sebelumnya. Tolong diperbaiki sanitasi dan hygienic terutama untuk mencegah penularan selama pandemi Covid 19.</t>
  </si>
  <si>
    <t>Reservasi yang tipe compact, tapi kata resepsionisnya travel agent telat email ke hotel jadi type kamar yang dipesan full. Sebagai ganti kita dikasih kamar single 1 room full. Minta yang double juga full. Ampun dah, mengecewakan banget sumpah.</t>
  </si>
  <si>
    <t>stafnya sangat lama proses check in nya.. terus dapat kamar bekas orang belum dibersihkan.. tapi dipinda tempat baru.. terus kalau niat go green nggak ngasih air minum kemasan dikasih solusi dikasih gelas.. namanya juga ndadak nggak kepikiran bawah tumbler.. kalau niat go green jangan stengah2 masak kita minum lewat dispenser langsung g pake gelas.. dan anehnya lift-nya g bisa deteck kartu kamar.. jadi harus panggil FO..</t>
  </si>
  <si>
    <t>Awalnya saya excited karena pengalaman baru ke hotel tipe begini. But : 1. Capsul saya tidak dibersihkan sebelum saya masuk, handuk basah, selimut tidak bersih, handuk dan selimut tidak tertata dengan baik, air minum tidak ada. 2. Alarm di capsul saya berbunyi padahal tidak ada asap dsb. 3. Tidak ada lines telefon di lantai 1, info dari receptionist ada. sehingga untuk complain ke receptionist menggunakan pulsa pribadi. Saran : 1. Karyawan hotel lebih disiplin 2. Untuk OB female room sebaiknya juga wanita, karena kadang2 suka masuk untuk membersihkan kamar tanpa dibukain pintu. Thanks.</t>
  </si>
  <si>
    <t>Saat proses check-in di receptionis saya simpan GoPro Hero 5 dengan dompet, saat saya sedang isi data lalu diajak melihat kamar oleh karyawannya, saat kembali GoPro saya sudah hilang, saya langsung lapor namun sampai dengan saya mau check-out tidak ada respon sama sekali, saat saya minta rekaman CCTV kata manajernya mbak Vita katanya CCTVnya tidak bisa di playback dan terima kasih Tab Capsule sampai dengan hari ini tidak ada permohonan maaf sama sekali. Semoga berkah ya GoPronya.</t>
  </si>
  <si>
    <t>Karena pesen tipe compact tidak tersedia, minta diganti tipe double juga tidak ada. Jadi diganti tipe single tapi 1 room full. Tetep tidak memuaskan, tidak sesuai pesanan. Kecewa sih.</t>
  </si>
  <si>
    <t>Cukup tahu dan tidak akan kembali. Kecewa dengan manajemen yang kaku. You guys mau nyari unik, silahkan aja, but berhubung ini pendapat pribadi, saya ❌.</t>
  </si>
  <si>
    <t>Lumayan menarik, tidak terlalu sempat tapi di bawah tempat tidur ada kotoran yang aneh, jadi jorok.</t>
  </si>
  <si>
    <t>Tissue dan sabun di toilet habis bahkan sepertinya sengaja tidak diisi.</t>
  </si>
  <si>
    <t>Mesti dapet kamar itu itu aja airnya tembuh ke lantai bawah, pegangan kamar mandi juga tiba tiba lepas, air kamar mandi pancur atas juga nyalanya kecil, tapi pelayanannya baik dan pak satpamnya juga baik banget ramah. Tolong kekurangannya diperbaiki.</t>
  </si>
  <si>
    <t>Sempit dan kaya kandang burung dara.</t>
  </si>
  <si>
    <t>Ga ada tempat untuk sholat. Kamar mandi juga bareng-bareng jadi ga privacy.</t>
  </si>
  <si>
    <t>Hotelnya bersih, air panas lancar, receptionist ramah. Sayangnya saya kebagian springbed yang sudah kempes, jadi per nya berasa banget di punggung, tidak nyaman (box no. 17). Kata mbaknya, memang sudah rusak, sudah dibeliin kasur baru tp belum sempat diganti. Pintu sorongnya berat dan seret. Jadi suaranya agak menganggu buat tetangga. Kena harga tahun baru, jadi berasa mahal.</t>
  </si>
  <si>
    <t>Kapsul hotel yang sangat futuristik. Pelayanan cukup ramah, kamar kapsul cukup luas, ada cafe di bawah hotel jadi gampang cari makanan. Untuk ciwi-ciwi, jangan khawatir karena kamar mandi aman dan 1 lantai dikhususkan untuk perempuan. Namun, ada beberapa yang perlu dibenahi. Ketika saya pesan kamar, saya menulis keterangan untuk mendapatkan kapsul atas. Namun pada saat sampai di hotel, diberikan kapsul bawah. Sudah komplain, namun tetap tidak ada solusi alias ga bisa pindah dan hotel akhirnya hanya minta maaf, agak kecewa tapi yasudah. Lalu untuk mushola nya berada di basement. Jika dari kamar menuju mushola, akan mudah menggunakan lift menuju basement. Namun jika dari mushola menuju kamar, harus melewati depan hotel atau front desk baru masuk melalui pintu kartu. Dan itu memakan waktu yang cukup lama untuk menuju ke kamar dari mushola. Saran dari saya, tangga yang ada di basement, tidak hanya untuk staff tetapi juga untuk tamu dengan disediakan tap kartu. Lalu jika bisa, setiap lantai mempunyai mushola nya sendiri-sendiri. Dan satu lagi, untuk karyawan, tolong jangan disuruh untuk naik turun tangga karena saya liat pegawai naik turun tangga untuk maintance tiap lantai, kasian kecapean, tolong lebih memanusiakan manusia ya. Terima kash untuk pengalamannya.</t>
  </si>
  <si>
    <t>Selimutnya tipis banget. tolong di rubah untuk fasilitas selimutnya yang tebal karena AC dingin banget dan selimut tidak membuat hangat.</t>
  </si>
  <si>
    <t>Tidak bisa early check in, its ok sih kalau memang peraturannya. But honestly masih not prepare well banget, banyak kekurangannya. Dari mulai minim penjelasan penggunaan fitur kamar, headphone patah, pass wifi tidak otomatis diberikan, sendal hotel harus diminta, sampai bantal yang tidak nyaman dipakai.</t>
  </si>
  <si>
    <t>Dari aplikasi menyediakan opsi online check-in dengan upload ID card, namun pada saat tiba di hotel tetap harus memperlihatkan ID card dan bahkan harus difotokopi. Menginap di kamar yang double bed, pintu tidak bisa dikunci manual. Sudah panggil staf hotel, tapi hanya diyakinkan bahwa pintu pasti sudah terkunci. AC tidak dingin. Kasur sepertinya sudah lama karena ada pegas yang keluar dari sisi kasur. Pros: stafnya ramah, disediakan air isi ulang, harga yang cukup murah.</t>
  </si>
  <si>
    <t>Waktu kesini pertama kali pesen yang capsule, kemarin pas coba yang compact lampunya seperti konslet. Suka mati dan hidup sendiri, ac juga baru dingin sekitar jam 5 sore-an. Selebihnya bagus ko 👍.</t>
  </si>
  <si>
    <t>Tempatnya enak sih pelayanan nya ramah, cuman kamar mandi bersama nya kurang bersih, keliatan itu gak dibersihkan dalam waktu berhari-hari, sayang kayaknya gak ada orang buat kebersihan sehari-hari khususnya buat kamar mandi.</t>
  </si>
  <si>
    <t>Saya suka tempat dan cabin nya nyaman tapi sangat di sayang kan tv di dalam cabin error nggak bisa di tonton, overall puas pelayanan nya.</t>
  </si>
  <si>
    <t>Pelayanan staf oke semua termasuk satpam, tapi saran saya selimut dan bantal di ganti karena ga ngebuat tidur jadi nyaman. Bantal bikin kepala sakit, selimut terlalu tipis jadi tetap kedinginan walau udah di kecilin</t>
  </si>
  <si>
    <t>Service nya tidak ada, tidak sopan, sudah pesen, tidak bisa cancel, tidak bisa di pakai lagi, gila karyawan nya, tidak bisa nyervice tamu.</t>
  </si>
  <si>
    <t>Kamarnya oke, tapi sprei nya kotor, pasta gigi nya susah banget dibuka sampe akhirnya ga kepake, sikatnya juga baru pake udah jelek, dan gak ada makanan nasi nasian yang instan gitu padahal ada microwave. Lokasinya juga masuk dari kantor pos terus naik tangga, udah capek terus bikin ga nyaman karena gak ada inovasi untuk dibikin menarik. Dan yang paling krusial adalah request untuk check in pagi ga di accept, jadi harus nunggu lama. Selebihnya oke, tapi gatau bakal jadi hotel pilihan untuk nginep lagi atau engga.</t>
  </si>
  <si>
    <t>Sabun, shampoo, tissue di toilet habis. Sampah tissue di toilet berantakan. Air isi ulang habis, wifi ga connect.</t>
  </si>
  <si>
    <t>Awal menginap di bobobox itu good, bersih, amenities tersedia, kedua dan ketiga kali menginap di sini loh kok jadi agak jorok toiletnya, shampoo sabun tidak di refil dari malam sampai pagi masih kosong. Toilet bau pesing juga. Untuk pods nya so far so good. Hanya problem toilet aja yang kotor dan tidak ada sabun shampoo 😥.</t>
  </si>
  <si>
    <t>Fasilitas nya sekarang menurun toilet kotor tisu ga di refil.</t>
  </si>
  <si>
    <t>Akses keluar masuk hotel susah dan untuk membawa kendaraan tidak di sarankan karena tidak ada parkiran yang dekat kalau untuk room saya mengakui sangat.</t>
  </si>
  <si>
    <t>Linen kotor banget dan banyak bercak noda. Speaker audio di kamar tidak bisa connect dengan bluetooth hp sama sekali. Sudah minta perbaikan ke staff tapi tidak ada yang datang dan tidak diperbaiki sampe check out. Sangat kecewa.</t>
  </si>
  <si>
    <t>Toilet kotor, bau gak ada pewangi, receptionis tidak ramah, dispenser di dkt mushollah tidak pakai listrik, gak bisa ambil ait panas, mushollah juga kotor, saya dapet room di pojok padahal masih ada yang di tengah yang ksoong 😭 bilangnya penuh semua 😫. Kamarnya sih NYAMAN, lokasi oke.</t>
  </si>
  <si>
    <t>Suara musik jedag-jedug entah dari mana kenceng banget sampe jam 4 pagi</t>
  </si>
  <si>
    <t>Kalau bisa sebelah tangga dikasih kyak space buat geret koper, karena jujur aja itu lantai 2 dan hanya ada tangga. Orang yang kebetulan mau nginap dan bawa barang berat terpaksa harus naik ke atas, lain kali kalau bisa kasih lift atau sebwlah tangga kasih space buat nyeret koper.</t>
  </si>
  <si>
    <t>Banyak sekali noda di kasurnya.</t>
  </si>
  <si>
    <t>Suara speakernya kurang bagus. Untuk tempat tidurnya ok. Kurang tv aja.</t>
  </si>
  <si>
    <t>Ribet sih harus download aplikasi bobobox dulu, ubah aja pake kartu biar kaya hotel capsule ga ribet harus download aplikasi. Kamar mandinya kalau udah malem kotor, bau pesing.</t>
  </si>
  <si>
    <t>Bagus, lampunya cocok buat bikin tik tok, cuma kekurangannya kasurnya berdebu kurang bersih. Terima kasih bobobox💕</t>
  </si>
  <si>
    <t>Resepsionis tidak cepat memberi informasi apabila bisa upgrade kamar, sehingga saya dua kali payment room.</t>
  </si>
  <si>
    <t>Gabisa masuk karena Dibawah 18. Buang” uang.</t>
  </si>
  <si>
    <t>Tetangga pod telponan sepanjang malam, menganggu sekali padahal ada aturan quite hours jam 9-7 malam. Sudah complain tapi dari host hanya membiarkan saja. Sangat tidak profesional.</t>
  </si>
  <si>
    <t>Hotel bersih, handuk wangi, ruangan wangi, cuma bantal terlalu tipis perlu di ganti.</t>
  </si>
  <si>
    <t>Receptionist tidak sopan! tidak punya attitude yang baik. Bau toilet masuk ke dalam pods, selimut banyak noda kuning.</t>
  </si>
  <si>
    <t>Seprei banyak noda. Toilet kurang bersih dan beberapa klosetnya bau</t>
  </si>
  <si>
    <t>Untuk halaman taman perlu pembersihan,masih terdapat sampah dan rumput tinggi</t>
  </si>
  <si>
    <t>Nice for adult. But for child must be alert. Anak2 gak bisa diem</t>
  </si>
  <si>
    <t>Panas</t>
  </si>
  <si>
    <t>Kamarnya sempit bgt dan susah buat dijangkau misal mau berdiri atau naik ke kasur atas harus hati hati bgt (saya pesan sky) tp servicenya keren</t>
  </si>
  <si>
    <t>Aduhhhhh belii alat utk bunuh lalat sangat mengganggu tdr siang  dilalerinn ke kuping other than smuanya oke</t>
  </si>
  <si>
    <t>Kebersihan toilet sangat perlu ditingkatkan
Pastikan tamu/staff tidak boleh merokok di toilet
Saat saya menginap, 30 jun - 2 jul toilet lantai 3 sangat kau rokok
Tidak nyaman!</t>
  </si>
  <si>
    <t>Saya lupa tentang kebijakan loker sesuai dengan nomor kamar, di sini emang enggak dijelasin lebih saat saya checkin. Alhasil membuat saya asal ambil dan saya ambil loker kunci nomor 15. Oke deh saya salah, tapi gw minta maaf kok sama Masnya. But, mas2nya enggak minta maaf karena enggak jelasin diawal. Tapi saya sudah tidak tidur di sini satu tahun lebih saya lupa, bad service. Checkin 04/07/23.</t>
  </si>
  <si>
    <t xml:space="preserve">AC aku mati dan sempet nunggu lama untuk dibenerin, lampu kamar mandi gabisa mati, pesan apapun lama datang even its an instan coffee, overall semua masi bisa dimaklumi, next cb diperbaiki lagi, dan bisa pilih cabin, berapapun akan kubayar kalau mmang bisa pindah </t>
  </si>
  <si>
    <t>+ great ambience
+ nice view
+ nature vibes
+ humble, polite, helpfull staffs
+ accessable
- toilet still dirty
- there's still trash in the trashbin
- the floor was sticky
- the terrace was very dirty, so many dry leaves, twigs and dead insects. 
- the outside chairs and tables are very dusty
- the Bpads not working properly.</t>
  </si>
  <si>
    <t>Akses keluar masuk kamar agak sulit, krn hrs pakai aplikasi. Better kartu, sesuai jumlah penghuni kamar. Kebersihan kurang, banyak tercium bau tak sedap. Terutama toilet dekat resepsionis. Tidak ada parkiran (ini PR banget, mungkin lbh cocok untuk traveler tanpa kendaraan). Kaku, mau checkout jam 11 dan titip barang sebentar untuk mkn siang, ditolak. Beda dgn penginapan sebelah yg setipe (cap**le)</t>
  </si>
  <si>
    <t xml:space="preserve">keBersihan toilet harus di tingkatkan
</t>
  </si>
  <si>
    <t>Semua cabin harusnya dibuat sama, tp ini ada cabin yg ada balkon dan ada yg ga ada balkon, malah menghadap ke semak2. Kecewa banget</t>
  </si>
  <si>
    <t>Tambah lemari</t>
  </si>
  <si>
    <t>Liftnya kurang penerangan dan bau</t>
  </si>
  <si>
    <t>AC nya nggak bisa ditutup dan berisik.</t>
  </si>
  <si>
    <t>Toilet sedikit kotor,
Disaat tidur banyak gempa dari org yg naik turun kasur</t>
  </si>
  <si>
    <t xml:space="preserve">Hallo kak, aku mau kasih saran sedikit ajaa. Untuk sprei dan kasur yang di sediakan di bobobox. Sudah cukup baik namun dr segi kebersihan dan kenyamanan yang aga sedikit terganggu. Lebih diperhatikan lagi ya, terimakasih. Semangat kak!! </t>
  </si>
  <si>
    <t>Kotor dan kurang sekali, toliet hanya satu, lansia ga bisa tahan ke toliet harus sering ke toliet, jadi ga nyaman di sini</t>
  </si>
  <si>
    <t>Respon staf mesti ditingkatkan</t>
  </si>
  <si>
    <t>padahal mau balik lagi, malah di checkoutin, gimana dehh</t>
  </si>
  <si>
    <t xml:space="preserve">The toilet was clogged a lot of the times. </t>
  </si>
  <si>
    <t>Waktu nginep di branch alun alun bandung bed sheets sama selimut dan handuk nya ga wangi, biasanya nginep di branch lain wangi bgt kayak abis di laundry.</t>
  </si>
  <si>
    <t>Sebaiknya include sarapan</t>
  </si>
  <si>
    <t>The blanket was too small for 3 adult sleeping on king size.</t>
  </si>
  <si>
    <t>Host service woman unfriendly</t>
  </si>
  <si>
    <t>Tidak bisa ngecas hp di pod</t>
  </si>
  <si>
    <t>Saat saya menaruh face wash di kamar mandi hilang. Ini juga termasuk kesalahan saya karna menaruh face wash dibelakang kaca wastafel tetapi sebagai housekeeping seharusnya barang guest tidak dibuang dengan seenaknya karna bisa disimpan terlebih dahulu sebelum saya mencari barang saya.</t>
  </si>
  <si>
    <t>Sedikit terganggu Krn ada suara dari luar apalagi ada anak kecil berlari di koridor. Mungkin diberi tulisan pengingat di koridor juga supaya tetap tenang selain pengingat otomatis dlm pod.</t>
  </si>
  <si>
    <t>Batalnya bikin sakit tipis banget, air panasnya mati, proyektor segitu banyak cabin cuma ada 1 dan rate kayu bakar gak sesuai sama list nya, terimakasih</t>
  </si>
  <si>
    <t>Internet low</t>
  </si>
  <si>
    <t>2nd floor, shower was broken</t>
  </si>
  <si>
    <t>Kasur lebih empuk</t>
  </si>
  <si>
    <t>Need towel</t>
  </si>
  <si>
    <t>Good</t>
  </si>
  <si>
    <t>Tidak ada shuttle dri parkiran ke lobi</t>
  </si>
  <si>
    <t>Please fix the hairdryer, it says that can be used for 3 until 5 minutes but it was off even before 2 minutes, thank you</t>
  </si>
  <si>
    <t>Tidak bagus cuma ada noda coklat bekas anak sedikit denda 100rb</t>
  </si>
  <si>
    <t>Ga sopan</t>
  </si>
  <si>
    <t>The place was wonderful, opportunity for improvement are guest need help for bringing their luggages to the cabin and there are many snails in the cabin</t>
  </si>
  <si>
    <t>Room blinking several times, QR code not working even though they tried to fix it</t>
  </si>
  <si>
    <t xml:space="preserve">Kebersihan kamar harus lebih di perhatikan lagi, fasilitas harus lebih di maintain dengan baik. </t>
  </si>
  <si>
    <t xml:space="preserve">A bit dirty, need to clean up daily. Overall ok </t>
  </si>
  <si>
    <t>Sistem lampu tdk bs dimatikan</t>
  </si>
  <si>
    <t>Tdk ad lift ato eskalator tdk cocok untuk org tua</t>
  </si>
  <si>
    <t>Tidak ad lift ato ekslator, tdk untuk org tua</t>
  </si>
  <si>
    <t>Kamar nya banyak lalat n kutu kasur</t>
  </si>
  <si>
    <t>I talked with the receptionist during the morning shift, I asked him "can I entrust my bags i-" even though I'm not done saying the sentence, he replied with "no, you can't"..
Actually i want to extend my night there, but i need to go somewhere first and entrust my bags there, so I can come back and check-in, but i changed my mind when he replied to me like that.. the hospitality is not friendly</t>
  </si>
  <si>
    <t>AC nya terlalu dingin walaupun sudah dimatikan, kamar sempat tidak bisa terkunci</t>
  </si>
  <si>
    <t>Lampu toilet terlalu gelap</t>
  </si>
  <si>
    <t>Punya pengalaman buruk, tidak bisa tidur karena dibawah kamar ada bapa" sedang asik mengobrol sampai jam 2 pagi. Sudah saya ketok untuk mengingatkan mereka tapi masi belum peka untuk berhenti ngobroll. Padahal kami besoknya ada project yg harus diselesaikan.</t>
  </si>
  <si>
    <t>Nice experience, buat tiny place.</t>
  </si>
  <si>
    <t>Harus lebih bersih lagi toiletnya</t>
  </si>
  <si>
    <t>Air conditioner and toilet could be much better</t>
  </si>
  <si>
    <t>Still got a lot of noises in quite hours</t>
  </si>
  <si>
    <t>Kamarnya untuk ukuran singel terlalu sempit dan ngmbil room earth kejedot pala saya ketika bangun, tolong di tingkatkan lg kwalitas, fasilitas, dan pelayanannya.</t>
  </si>
  <si>
    <t>Kamar mandinya jorok karena buat tirainya sudah lama ngak diganti..trus buat toilet juga kurang bersih..sarung bantal sedikit kotor..untuk pelayanan ok</t>
  </si>
  <si>
    <t>nginep 2 hari tapi handuk g lngsg dikasih. pas minta handuk 1 (krn adek mau mandi duluan) malah lama bgt ngambilnya dan banyak nanya. pas saya minta 1 lg malah bolakbalik nny handuk yg sblmnya udh ditaro di pod blm, emg lama bgt ngambilnya.pas ke alfa ketemu org yg sptnya karyawan bbx, malah songong bgt ngmng kl sendalnya gaboleh dipake pdhl sy pake krn emg g bawa sendal dan diganti pas msk bbx</t>
  </si>
  <si>
    <t xml:space="preserve">Tolong saluran air joke share bathroom </t>
  </si>
  <si>
    <t xml:space="preserve">Maybe a little bit upgrade for the WiFi service  could be better </t>
  </si>
  <si>
    <t>Service tidak excelent, kalau ditanya hanya jawab seperlunya, arah pods juga tidak diberitahu , peper glass dan tooth pastebrush juga tidak diarahkan untuk ambil, rules menginap juga tidak dijelaskan beda dengan bobobox lain yg sering saya menginap, mohon pelayanan di bobobox bekasi diperbaiki , tq</t>
  </si>
  <si>
    <t>Mungkin perlu di tambahkan kolam air panas</t>
  </si>
  <si>
    <t>Tolong air panas showernya bisa diperbaiki lg, karena ketika saya stay disini dan ingin mandi pagi airnya tidak hangat</t>
  </si>
  <si>
    <t>Pods 38 AC nya mati, terus disruh nunggu karena kemungkinan emang lama nyala. tapibudh berjam jam masih ga ada rasa dingin hehehe. Terus tuh pintu pod emang ga bisa dikunci ya ? aku keluar ga bawa HP tapi bisa kebuka pintunyaa</t>
  </si>
  <si>
    <t>Aksesnya tolong diperbaiki. Dan karena susah keluar unt cari makan. Pilihan menu nya diperbanyak dan dipermurah sedikit agar tamu bs staycation seharian</t>
  </si>
  <si>
    <t>Dapet kamar lantai 3 agak PR naek nya</t>
  </si>
  <si>
    <t>Toiletnya rusak, kamar mandinya mampet salurannya</t>
  </si>
  <si>
    <t>Noe enough space to calm and smoking</t>
  </si>
  <si>
    <t>Pod nomor 10 mohon dibenahi ACnya karena menetes</t>
  </si>
  <si>
    <t>Listriknya mati :(</t>
  </si>
  <si>
    <t>minus satu doang. sprei nya kurang bersih. ada noda dan agak bikin gatel.</t>
  </si>
  <si>
    <t>memang lebih besar, tapi kondisi banyak yg masih kotor, trus tidak ada tempat parkir kendaraan</t>
  </si>
  <si>
    <t>Not wort it to staycation, and bad room !</t>
  </si>
  <si>
    <t>Ac mati</t>
  </si>
  <si>
    <t>Kurang bersih sprai nya...ada noda bercak darah</t>
  </si>
  <si>
    <t>Parkirannya jauh</t>
  </si>
  <si>
    <t>Good, comfort, suitable for travelers</t>
  </si>
  <si>
    <t>Air panas di deluxe cabin sebentar sekali, makanan diluar makanan cepat saji hanya dapat dipesan sebelum jam 5 sore alangkah lebih baiknya close order di jam 7 malam, walaupun begitu awalnya disampaikan di jam 7 malam namun praktis lapangannya hanya jam 5 sore</t>
  </si>
  <si>
    <t>WC jauhhh banget dr cabin dan bahkan malam2 lampunya di matiin. WC tolong bgt ditambah.
Harga cabinnya tergolong mahal dan harga makanan dan minuman jg mahal. Kadang jg dalam kamar berasa agak panas.
Lalu di dalam kamar gk terlalu bersih. Ada sarang laba2 di atas. Plus, toilet jg gk terlalu bersih. Kurang wangi. Tlg sediakan hand sanitizer dan tissue utk lap toilet. Sediakan sendal lagi. Thx</t>
  </si>
  <si>
    <t xml:space="preserve">Terlalu berisik untuk jam 12an </t>
  </si>
  <si>
    <t>Tidak bersih tidak nyaman selimut kotor</t>
  </si>
  <si>
    <t>Pas cek in trs liat di area kasur masih ada rambut, di bantal jg ada rambut padahal aku belum tiduran dan blm ngapa ngapain</t>
  </si>
  <si>
    <t>toilet kotor, wc nya dikit</t>
  </si>
  <si>
    <t xml:space="preserve">Water heaternya selalu lama buat bikin airnya panas </t>
  </si>
  <si>
    <t>Rusak</t>
  </si>
  <si>
    <t>Room neighbour</t>
  </si>
  <si>
    <t>Akses menuju tempat sangat sempit, untuk tempat sangat bagus</t>
  </si>
  <si>
    <t>Pijakan tangga yg single pods nya terlalu riskan untuk di pijak, yg mengakibatkan saya terjatuh di dlm ruangan dan semoat mengalami lecet lumayan lebar di bagian lengan</t>
  </si>
  <si>
    <t>Reception lesshelful</t>
  </si>
  <si>
    <t>Makanan dingin</t>
  </si>
  <si>
    <t>Lama dan mahal</t>
  </si>
  <si>
    <t>Sediakan alkohol spray di setiap toilet biar bisa dibersihkan dulu sebelum diapakai.</t>
  </si>
  <si>
    <t>pod 67 banyak errornya</t>
  </si>
  <si>
    <t>1. Untuk room facility tidak konsisten, saya sudah ke tiga kalinya ke sini. Dulu ada sekotak isi tisu basah dan sebagainya sekarang sudah tdk ada. Apa memang sop baru seeprti itu
2. Pesan makanan chat room dibalas sejam setelahnya</t>
  </si>
  <si>
    <t>Ac kurang dingin</t>
  </si>
  <si>
    <t>Perlu banyak di perbaiki, dan kurang nyaman</t>
  </si>
  <si>
    <t>Main stair to front office ... are not safe : to elevated and high</t>
  </si>
  <si>
    <t>No light in the room, difficult communication in English</t>
  </si>
  <si>
    <t>lantai kamar mandi licin klou pas kena air, truss lantai di bagian closet kering tapi kotor di lap pake tisu keliatan kotor nya, selebih baguss.</t>
  </si>
  <si>
    <t>salah satu wastafel tidak berfungsi dan ada bagian yang bocor sehingga ada air tergenang membuat lantai licin dan resiko tergelincir. hair dryer rusak.</t>
  </si>
  <si>
    <t>Bisa lebih ada paket aktivitas menarik lain nya buat anak2 dan family main. Lalu makanan hrg jgn terlalu mahal. Thanx</t>
  </si>
  <si>
    <t>Oke</t>
  </si>
  <si>
    <t>QR code does not appear for the 2nd person</t>
  </si>
  <si>
    <t>Udara di dalem dan luar area pod sumpek, bikin flu</t>
  </si>
  <si>
    <t xml:space="preserve">Kebersihan kaca cabin bs diperbaiki. Air panas kurang. </t>
  </si>
  <si>
    <t>Kotor banget, berisik</t>
  </si>
  <si>
    <t>bed sheet is dirty</t>
  </si>
  <si>
    <t xml:space="preserve">There are a lot of trash in everywhere, tissue, mask, plastic, etc. Cleaning service boys did not care to take it. Less professional and skill front desk staff. They input wrongly, so it took long to get door access, etc. </t>
  </si>
  <si>
    <t>I've been using bobobox for my travel needs since pandemic. It was great experience. The room was clean and the whole facilities was in top condition. 
Unfortunately the standard has gone downhill since. Now, the bed sheet doesn't feel clean (stains are visible), the shower head not well functioned, and lack of hot water.
Hope u guys can improve like before</t>
  </si>
  <si>
    <t>Barang saya hilang di loker sepatu, host juga berbohong bilang kalau bukan shift dia yang merapihkan barang. Sampai saat ini saya belum nerima rekaman cctv.</t>
  </si>
  <si>
    <t>not bad but fiturnya kurang dan suaranya kurang keras</t>
  </si>
  <si>
    <t>Tell before you need the app if you are new to bobobox.
The speaker inside the box made some noise even though it was off.
The smoke detector made a "beep" noise once every other minute. Maybe change/check the batteries more often. 
Still was a great stay.</t>
  </si>
  <si>
    <t>AKSES JALAN KELUAR MASUJ MOBIL MOHON DIUOGRADE PAVING ATAU YG LAIN</t>
  </si>
  <si>
    <t>Agak lumayan kecewa sih saat di kamar soket untuk listriknya seperti susah untuk disambung mati nyala, selain itu suara speaker nya sangat kecil bahkan tidak terdengar, saat menginap tidak bisa menggunakan wifi karena katanya memiliki gangguan, selain itu juga saat mengatur suhu ruangan sepertinya memilki kendala juga, untuk toilet sih ok cuma mesti sharing dengan yang lain</t>
  </si>
  <si>
    <t>Sudut2 kamar mandi mohon disikat dibersihkan.</t>
  </si>
  <si>
    <t>The noise at 6 in the morning on the sunday was quite annoying.</t>
  </si>
  <si>
    <t>1. wastafel bocor sehingga air kmn2
2. makanan yg saya pesan, ada semut di sambal nya</t>
  </si>
  <si>
    <t>Air panas cepat habis</t>
  </si>
  <si>
    <t>masih dalam perbaikan</t>
  </si>
  <si>
    <t>Jorok ga aebersih di kuningan</t>
  </si>
  <si>
    <t>Parking is annoying.. dateng2 langsung ditagih 10ribu, habis itu diinfo harus mindahin mobil sblm jam 5 karena CFD.. tp diinfonya setelah sampai di hotel, not before booking</t>
  </si>
  <si>
    <t>penutup ac lepas, ac tdk dingin</t>
  </si>
  <si>
    <t>Tingkatkan kualitas produk</t>
  </si>
  <si>
    <t>Tidsk tersedia payung</t>
  </si>
  <si>
    <t>Nyaman bersih rapi</t>
  </si>
  <si>
    <t>there a lot of stain on bedsheet</t>
  </si>
  <si>
    <t xml:space="preserve">Messed up lighting system, cant off properly. Door lock not working properly. Not worth the price </t>
  </si>
  <si>
    <t>Bau</t>
  </si>
  <si>
    <t>Tolong ya toilet lakilaki nya diperbaiki. Masa cmn 1 yang bisa dipake :(</t>
  </si>
  <si>
    <t>disuruh bayar charge padahal nodanya bukan kesalahan saya</t>
  </si>
  <si>
    <t>Dicek fungsi fasilitas ruangan, kamar mandi tidak mengunci</t>
  </si>
  <si>
    <t>lebih banyak kamar mandi/toilet</t>
  </si>
  <si>
    <t>Toilet banyak yg gabisa dikunci sad</t>
  </si>
  <si>
    <t>Muncul beberapa kecoa</t>
  </si>
  <si>
    <t>I wasted two hours of my time because the air conditioning unit was out of order</t>
  </si>
  <si>
    <t xml:space="preserve">Saya dapat selimut dan bantal kotor masih ada bercak darah , kualitas kasur sangat tidak nyaman terlalu keras </t>
  </si>
  <si>
    <t>tembok capsulenya agak retak, pintunya juga sedikit bermasalah, AC-nya tidak dingin seperti biasanya, toiletnya rusak. semoga kedepannya bisa lebih diperbaiki lagi dan bisa nyaman seperti dulu :)</t>
  </si>
  <si>
    <t>Water system was broken during my stay. Not all bathroom functioning. The AC in my pod too cold at first. Then its not working at all</t>
  </si>
  <si>
    <t>LIFT MATI</t>
  </si>
  <si>
    <t>LIFT NYA MATI.
KASIAN BUAT PEREMPUAN , BUAT NAIK TURUN LWT TANGGA .. 
APA LG KALO YG LAGI HAMIL!</t>
  </si>
  <si>
    <t>Tolilet bau pesing, di kasur banyak rambut</t>
  </si>
  <si>
    <t>Seprai dan bedding nya agak bau apek, mungkin perlu ada dehumidifier biar gk lembab</t>
  </si>
  <si>
    <t>water heater didnt work. bad wifi connection</t>
  </si>
  <si>
    <t>Wifi LAGGING, Sprei kasur dan bantal warnannya udah broken white, tegangan semprotan toilet naik turun</t>
  </si>
  <si>
    <t>Air conditioner is not cool enough.</t>
  </si>
  <si>
    <t>Connection wifi</t>
  </si>
  <si>
    <t>Good enough</t>
  </si>
  <si>
    <t>lebih baik untuk kamar mandi sharing shower nya yang bisa di gerakan karna agak sulit bawa anak kecil untuk bilas bab/bak nya... semoga kedepan toilet nya ada shower di wc dan di tempat mandi nya</t>
  </si>
  <si>
    <t>Please have a smoking area</t>
  </si>
  <si>
    <t>nothing smoking room</t>
  </si>
  <si>
    <t xml:space="preserve">Stayed at POD 72 (3rd floor), AC not cold enough even already fully opened, there are some ants inside pod, bed cover was not really clean and makes skin itchy. </t>
  </si>
  <si>
    <t>Agak kecewa pada saat mau cek in aja sih pesen 2 kamar dari jauh² hari malah baru ready 1 kamar, dan harus nunggu pula 1 jam. selebihnya aman fasilitas enak tempat tidurnya nyaman.</t>
  </si>
  <si>
    <t>Privasi</t>
  </si>
  <si>
    <t>The price went up almost double in a year..</t>
  </si>
  <si>
    <t>Semua okay.
Yang perlu diperbaiki, tirai tidak bisa tertutup rapat dan lampu ada yang masih menyala walau sudah tekan tombol OFF, di Pod 70.
Terima kasih.</t>
  </si>
  <si>
    <t>Mohon infonya apakah ada pods headset wireless di kamar 01 ketinggalan? Merek vivo</t>
  </si>
  <si>
    <t>perlu ada tindakan tegas untuk beberapa customer yang agaknya cukup mengabaikan ketentuan sebagaimana yang sudah dijelaskan pada saat check in. 
untuk pelayanan petugas so far pretty well. keep improving.
thanks</t>
  </si>
  <si>
    <t xml:space="preserve">Sprei dan bantal berdebu. Toilet bau, wc bagian pojok banyak hewan seperti nyamuk sepertinya toilet pojok jarang disikat/dibersihkan. </t>
  </si>
  <si>
    <t>The toilet smells very very bad .. Bau pesing toilet lt 1 pintu kamar mandi pojok gabisa dikunci rusak yg bikin kalo mandi harus antre</t>
  </si>
  <si>
    <t>Lantai toiletnya lengket, tapi kalo basah jadi licin
Ketika bebersih room yang sudah selesai terlalu kedubrak kedubruk. Saya di earth room keganggu pas di sky (atas saya) lagi diberesin
Lalu kurang nya sign untuk setiap lantai, khususnya musholla</t>
  </si>
  <si>
    <t>Not good</t>
  </si>
  <si>
    <t>Pelayanan Host nya kurang ramah, Toiletnya jember banyak genangan air sampai keluar luar, dan minusnya lagi ga bisa checkout jam 1 siang! Tdk seperti bobobox yg lain yg bisa checkout jam 1 siang.</t>
  </si>
  <si>
    <t>Fasilitas tidak sesuai harga</t>
  </si>
  <si>
    <t>Kebersihan kasur kurang</t>
  </si>
  <si>
    <t>Good tapi air minum kurang</t>
  </si>
  <si>
    <t>The overall experience 4/5
But, you could add ceiling fan, cause it gets hotter during the day.</t>
  </si>
  <si>
    <t>Kamar mandi lantai 2 dan 1 mampet closetnya, handuk kotor</t>
  </si>
  <si>
    <t>The service was good, and I really like the location. But the bedsheet was very very dirty, the rooftop was slippery and the floor was not soundproof so even in its quiet hours, we still get disturbed by the sound step. But overall, it's all good.</t>
  </si>
  <si>
    <t>Tiba tiba buka kamar jam 7 pagi tanpa pemberitahuan terlebih dahulu!, lain kali attitude host nya benerin dulu</t>
  </si>
  <si>
    <t>Air dingin nya tidak ada, masa cebok pake air panas, jorok asa kecoa kecil mati, ac panas seperti lagi sauna, bantal dan kasur keras, tempat sabun rusak dan tidak bisa dikeluarkan</t>
  </si>
  <si>
    <t>Semuanya ok kecuali staff yg jawab tlfon untuk saya minta konfirmasi early check in. Saya tlfon sekitar pukul 11:35 untuk minta early check in pukul 13:00 staff tersebut mengkonfirmasi bisa dan silahkan datang pukul 13:00 katanya. Namun ketika datang, ternyata tidak bisa dan disuruh nunggu untuk check in normal. Tidak bisa dipegang omongannya.</t>
  </si>
  <si>
    <t>Tolong lebih dibersihkan utk bagian closetnya</t>
  </si>
  <si>
    <t>kamarnya tumben bgt kotor, tidur smpe ganyama krn gatel, pdhl biasanya engga loh</t>
  </si>
  <si>
    <t>Kfc tutup nya cepet bgt gatau laper apa</t>
  </si>
  <si>
    <t>pelayanan buruk</t>
  </si>
  <si>
    <t>I love Staying in bobobox..i twice stay hetw and love it..</t>
  </si>
  <si>
    <t>cant reschedule</t>
  </si>
  <si>
    <t>Stop kontak longgar, jadi gak mau masuk chargernya</t>
  </si>
  <si>
    <t>Toiletnya kurang bersih</t>
  </si>
  <si>
    <t>Host Services Kurang Ramah,Toilet juga kurang bersih dan bau.Meskipun sharing tp saya pernah menginap dihotel dengan konsep seperti ini jauh lebih baik</t>
  </si>
  <si>
    <t>Toilet kurang banyak</t>
  </si>
  <si>
    <t>Mungkin admin nya bisa lebih responsif lagi ketika di chat via live chat di aplikasi</t>
  </si>
  <si>
    <t>pnas</t>
  </si>
  <si>
    <t>Kamar mandinya cenderung kotor (bisa dibilang branch bobobox terkotor yang pernah aku inepin). Air di WCnya kuning dan bau pesing (awal ngira ada yang belum nyiram, ternyata memang warna airnya kuning). Lantainya juga terkesan tidak bersih. Coba toilet di lantai lainnya juga ternyata kondisinya nggak jauh beda. Ruang makan di lantai dasar juga cenderung kotor. Selain itu, masih bisa ditolerir</t>
  </si>
  <si>
    <t>Pegawi tidak ramah</t>
  </si>
  <si>
    <t>It was not bad</t>
  </si>
  <si>
    <t>pelayanan nya tidak ramah buat kaka yg cewe parkiran nya juga ga bebas bentar bentar di gembok yg jaga nya di loby terus ribed harus manggil dlu</t>
  </si>
  <si>
    <t>Bobobox terburuk sejauh ini. Manajemen berantakan. Pod dgn AC ga berfungsi tapi malah dijual. Yakali tidur pengap2an di pod sekecil itu gak pakai AC. Disuruh nunggu kejelasan petugas front office dari pertama kali komplen (sekitar jam 16.30) sampai jam 22.00, tetap tidak ada solusi. Akhirnya memutuskan untuk pindah hotel. Apes bgt. 
Baca review Google Maps banyak komplen yg serupa. Gak heran sih.</t>
  </si>
  <si>
    <t>maaf tp tidur agak keganggu karena gedebak gedebuk sebelah yg lg diberesin</t>
  </si>
  <si>
    <t>Toilet yg sharing mohon diperbanyak</t>
  </si>
  <si>
    <t>Tidak bisa titip barang sebentar. Padahal cuma mau keluar sebentar.</t>
  </si>
  <si>
    <t>Toilet bau banget mandi gak nyaman dan kotor, bau pesing air berantakan kemana2. Kamar tidur bau banget pas pertama datang bau ketek abang2 jadi gak nyaman</t>
  </si>
  <si>
    <t xml:space="preserve">There is no strict role where people can not talk so loudly. Our last experience, we got two neighbors, front and back cabin who talked so loud. The back one, talked until 1.30 pm. </t>
  </si>
  <si>
    <t>Kamar sebaiknya lebih bersih, sprei di ganti jika sudah kotor</t>
  </si>
  <si>
    <t>Kasur keras banget, kurang kedap suara dan ga ada pengaturan AC. Kalo itu udh diperbaiki nilai 1000/100</t>
  </si>
  <si>
    <t>Lantai kamar mandi licin dan bau pesing</t>
  </si>
  <si>
    <t>No activity. Surrounding sounds too loud</t>
  </si>
  <si>
    <t>Pada aplikasi tidak tertera harga, setelah ditelp, datang aja ke lokasi,nanti akan dibantu,setelah dilokasi tidak sesuai dengan apa yang dikatakan, terpaksa kami book kamar yang harga tidak masuk akal, kami tidak mungkin kembali, karena jalan menuju lokasi ini sangat extrim, sangta tidak recomended, harga tidak  masuk akal dengan fasilitas yang ada, sangat mengecewakan!</t>
  </si>
  <si>
    <t>Tbh, I don't like the morning-night shift receptionist. The way to explain it is impatient, rushed, and gives the impression of condescending to people who are trying the experience of staying here for the first time. I like the night-morning staff, friendly and cute❣️</t>
  </si>
  <si>
    <t>Kamar atas jedak jeduk</t>
  </si>
  <si>
    <t>Banyak debu di sela2 dalam kamar</t>
  </si>
  <si>
    <t>Kebetulan posisi deket sm dispenser, jd banyak yg lewat. Pas ada yg lewat pasti berasa bgt tuh agak goyang. Selain itu, ada info cemilan di atas dispenser, tp ga diinfo gmn cara pesen nya</t>
  </si>
  <si>
    <t>staff disana kurang ramah, kamar mandi jg engap banget.. ga kayak kebayoran. sisanya aman sih</t>
  </si>
  <si>
    <t xml:space="preserve">Noise pollution from the street 
</t>
  </si>
  <si>
    <t>Buang air kecil susah cebok pake air</t>
  </si>
  <si>
    <t>Pod 6 worst ever, udh berisik sebelah air, minta dibetulin speaker sampe sebulan ga dikerjain juga. Mau pindah pod ga bisa. Padahal sebelum sebelumnya di pod lain nyaman aja</t>
  </si>
  <si>
    <t>tolong pihak manajemen, untuk parkir mobilnya bisa dipikirkan lagi ya.</t>
  </si>
  <si>
    <t>SAYANGNYA GAK BISA DI RESCHEDULE DAN DI REFUND DANANYA JIKA CANCEL ATAU GAK BISA HADIR, PARAH!</t>
  </si>
  <si>
    <t>The bed was too hard.</t>
  </si>
  <si>
    <t>Area parkir motor bisa dibuat lebih dekat aksesnya. Bisa lewat lift atau yg lain. Kalau jauh, pengunjung sudah capek ingin istirahat masih repot jalan dari area parkir ke hotel. Sama untuk ketersediaan barang yg dijual di hotel bisa dibuat lebih beragam. Hotel jauh dari akses belanja seperti indomart jadi nilai jual kalau mau jual barang atau kebutuhan. Misal pembalut wanita, sabun, dll</t>
  </si>
  <si>
    <t>Jauh bgt akses parkir mobilnya huhu</t>
  </si>
  <si>
    <t>Makanan lebi di tingkatkan :)</t>
  </si>
  <si>
    <t>Jalanya jauh. Sisanya 100, pelayanan sangat ramah dan excelent</t>
  </si>
  <si>
    <t>Bobobox cipaganti gak ada air anget nya :(</t>
  </si>
  <si>
    <t xml:space="preserve">Fasilitas harus selalu ada pemeliharaan </t>
  </si>
  <si>
    <t>Akses ke  bobobox kota lama sangat sulit karena banyak penutupan jalan dan area parkir mobil sangat terbatas. Selain itu koridor luar kamar sebaiknya dibuat redup ketika malam sehingga kami bisa tidur lebih nyenyak di kanar. Karena cahaya dari luar masih terang dan masuk ke jendela kamar.</t>
  </si>
  <si>
    <t xml:space="preserve">Dapat ruangan pas jam 1 malem dan dibantu sama receptionist nya yg ramah dan sopan. Kamar nyaman cuma akses ke toiletnya jauh dari lantai 3 harus turun ke lantai 1 karena ada perbaikan. </t>
  </si>
  <si>
    <t>Kasurnya agak keras</t>
  </si>
  <si>
    <t>Mati lampu di lantai saya cukup lama</t>
  </si>
  <si>
    <t>Banyak yg gabisa dipakai dan yang sekalinya bisa airnya kenapa kecil banget</t>
  </si>
  <si>
    <t xml:space="preserve">air panas di kamar mandi perempuan tidak panas sama sekali, kamar berbau tidak enak dan kamar no 9 bau binatang. 
</t>
  </si>
  <si>
    <t>Pengelaman saya nginep di hotel bobobox alun-alun Bandung, tempatnya cozy dan cocok bnget buat yang pergi atau tidur sendiri. Tapi tolong sprei dan selimutnya pas di cuci dikasih pewangi supaya tidak bau apek saat di gunakan. Dan yang lebih penting tolong maintenance toilet dan kamar mandi karena air nya kurang bersih, dan mengalir nya sangat kecil bahkan sampe ga keluar sama sekali.</t>
  </si>
  <si>
    <t xml:space="preserve">Wifinya krg kenceng. Sma kasur nya bau :( yg d sisi dkt jendela.  Cb kasih sound owl buat mlm hri kyny ok. Yg pilihan ny cm river sma forest jadi siang trus suasananya hahaha ventilasinya krg. Kamar mandi better ad exhaust buat sedot udara. Krn kalau ad bau jd ssh ilang. Buat family room, kapasitas air panasnya krg bgt. Dan nggu air panasnya lama bgt. </t>
  </si>
  <si>
    <t>WIFI SUPER BURUK GA STABIL DIKIT2 PUTUS. SAYA COBA 3 DEVICE SAMA AJA.</t>
  </si>
  <si>
    <t>Toilet kotor harus rajin dibersihkan</t>
  </si>
  <si>
    <t>airnya kotor bgt plis</t>
  </si>
  <si>
    <t>Pls fix the wifi</t>
  </si>
  <si>
    <t>Air nya abis</t>
  </si>
  <si>
    <t>Toilet sangat jauh. Karena harus naik ke Lt 2 . Kasihan yang udh kebelet mau buang air. Tolong di tingkatkan lagi yaaa . Overall udah nyaman bgt di BOBOBOX</t>
  </si>
  <si>
    <t>The internet very slowwwww</t>
  </si>
  <si>
    <t>Perlu dibikin lebih kedap suara karena aktivitas orang di luar kamar kedengeran banget, terutama di kamar yang nempel sama kamar saya.</t>
  </si>
  <si>
    <t>Toilet banjir dan banyak rambut di lantai toilet saat br check in. Di kaca bagian atap banyak sarang laba2. Lantai kotor, terutama siku2 antara lantai dan kasur.</t>
  </si>
  <si>
    <t>Ac panas  ga dingin sama sekali..</t>
  </si>
  <si>
    <t>Ac ny kurang dingin kamar nomer 3.</t>
  </si>
  <si>
    <t>Dinding shower nya hitam dan air dari shower nya kecil banget</t>
  </si>
  <si>
    <t>Kenyamanan tidur ditingkatkan dikualitas bantal, aroma lift bau</t>
  </si>
  <si>
    <t>1. Ac kurang dingin
2. Tidak ada breakfast</t>
  </si>
  <si>
    <t>resepsionis cowok yg ngehandle pada saat saya check in kurang ramah</t>
  </si>
  <si>
    <t>Toilet sharing kurang bersih, hairdyer mati, daaaaaan paling parah gak ada air! Tolong perbaiki</t>
  </si>
  <si>
    <t>Stop kontak pods 22 ga nyala</t>
  </si>
  <si>
    <t>Expensive Parking Charge !</t>
  </si>
  <si>
    <t>Mungkin lebih baik kalau di setiap kamar dikasih tong sampah dan toiletnya dalam satu lantai ada di bagian kanan dan kiri</t>
  </si>
  <si>
    <t>Suasana tenang dan nyaman. Akses jalan depan kurang bagus, kasur agak keras, akses mau makan lumayan susah, mugkin bisa ditambahkan caffe atau tempat makan di tengah2 yang mudah di akses</t>
  </si>
  <si>
    <t>Dulu murah sekarang mahal bgt bob:(</t>
  </si>
  <si>
    <t>Kamarnya kotor</t>
  </si>
  <si>
    <t>udah sering nginep di bobobox, tapi baru kali ga ada air mau di kamar mandi atau wastafel , kalaupun ada itu kecil banget dan itu lama banget air nya ga ada, sampe nge cek ke lantai bawah bolak balik karena pengen mandi, mandipun lama karena airnya ga selalu keluar udah mah kecil ya :(((</t>
  </si>
  <si>
    <t>Dikasur Ada Rambut wanita beberapa helai sementara saya masuk sendiri???</t>
  </si>
  <si>
    <t>Air untuk mandi dan toilet sulit</t>
  </si>
  <si>
    <t>Cleaning service asal masuk kamar aja di wakyu jam check out bukan nya di ketok dulu padabal saya juga mau perpanjang waktu chek in</t>
  </si>
  <si>
    <t>Pod di atas pod saya sedang melakukan hubungan intim hingga terdengar ke pod saya.</t>
  </si>
  <si>
    <t>Ada kecoa di kamar, please lebih aware sama kebersihan kamar. SANGAT KECEWA DI POIN INI. Lalu, tempat pemanas airnya kotor karena ada bekas mie dari pengunjung sebelumnya. AC juga sulit untuk diputar sehingga sukar untuk mengatur suhu di dalam pod. Padahal mau nyoba karena penasaran, tapi berujung dikecewakan sama hal2 fundamental. Selain dari itu experience yg didapet seru dan menyenangkan.</t>
  </si>
  <si>
    <t>bau2 fasilitas baru bikin pengap, mungkin perlu pemasangan exhaust</t>
  </si>
  <si>
    <t>Cleaning service parah bgt langsung masuk aja gada di ketuk dikitpun pintunya padahal saya udah tau juga jadwal check outnya kapan dan saya juga pas itu mau check in ulang lagi buat perpanjang pnginapan bsa di sebut pelecehan seksual gasih klo saya lagi keadaan nya telanjng bgtu di kmr</t>
  </si>
  <si>
    <t>air panas gak berfungsi</t>
  </si>
  <si>
    <t>Buruk bgt service nyaa udah mo deket waktu co ngasih taunya bukan di ketok dulu kamarnya malah langsung di bukak mana lagi ganti baju lagi termasuk pelecahan seksual gaa sih?pdahal saya jga udh tau waktu check out di hotel gimana tapikan saya mo nambah semalam lagii parah bgt cleaning service nya</t>
  </si>
  <si>
    <t>Tidak bisa nyenyak tidur, terdengar suara pintu dan jejak langkah. Menurut saya mending memakai peredam suara</t>
  </si>
  <si>
    <t>Toilet basement rusak</t>
  </si>
  <si>
    <t>parkirnya jauh banget</t>
  </si>
  <si>
    <t>Di lantai 3 wifi nya jelek</t>
  </si>
  <si>
    <t>Tumben handuknya bau apek 😕</t>
  </si>
  <si>
    <t>Toilet trllu jauh dr kmar 06 ksana, klo bisa d toilet tempat bab dan bak disediakan sabun. Hehe
Kalo kamar enak bersih, kasur nyaman, wangi. Thankyou..</t>
  </si>
  <si>
    <t>Pengalaman cukup baik, namun ada beberapa fasilitas yang kurang salahsatunya seperti wifi yang tidak stabil. Ditambah seharusnya ada televisi</t>
  </si>
  <si>
    <t>Toilet rusak, pindah kamar karna lampu eror</t>
  </si>
  <si>
    <t>untuk pengguna di Indonesia dan Malaysia ini pak mumung nya pak mumung nya pak Harto yang di kandang a didengungkan oleh oleh nya a mbro and sour lambung naik ke a downloadtas nya pindahan pakan yang kemarin jam berapa mobil yang memiliki nilai jual yang di kandang sendiri dan tidak menggunakan kaporit karna menggunakan metode ini adalah beberapa foto nya mas yang muat tadi aku juga tidak bisa di</t>
  </si>
  <si>
    <t>Galon sering kosong.
air kamar mandi mati.
wifii connect- re-connect.
utk parkir motor jauh, kurang nyaman.</t>
  </si>
  <si>
    <t>ac tidak berfungsi dengan baik</t>
  </si>
  <si>
    <t>Dikamar banyak rambut, dan semut padahal saya gabawa makanan ke kamar</t>
  </si>
  <si>
    <t>Shower room is a bit too dark for woman</t>
  </si>
  <si>
    <t>Kebersihan kamar hrs lbh diperhatikan</t>
  </si>
  <si>
    <t>bantal lebih tebal</t>
  </si>
  <si>
    <t>Remainder konfirmasi kedatangan tengah malem :-(</t>
  </si>
  <si>
    <t>Speaker rusak</t>
  </si>
  <si>
    <t>Pintu pod agak susah ketika didorong, mau ganti pod tapi ga dibolehin sama hostnya, alasan udh full padahal saya liat banyak pod yg kosong 🤦‍♂️</t>
  </si>
  <si>
    <t>Sudah bbrp kali ke bobobox Juanda.
Dan baru kali ini kecewa utk Pod16 earth.
Karna suara orang diatasnya cm berdehem aja kedengeran dan bagian atapnya berdecit kencang bikin tidur tidak nyenyak.</t>
  </si>
  <si>
    <t>tidak lengkap dan lama</t>
  </si>
  <si>
    <t>Bantalnya lembek banget sama sarung bantalnya juga kotor gak kayak bobobox dago</t>
  </si>
  <si>
    <t>tidak menyediakan sendok di bbx malioboro,sudah tanya resepsionis mereka bilang tidak menyedikan, sprey kasur kotor, akses masuk bisa siapa saja masuk, pernah ada kejadian org yg tidak nginap di bbx masuk ke rooftop bikin was was</t>
  </si>
  <si>
    <t>Bisa diperhatikan untuk kebersihan bantal, kalau memang lembab bisa dibuka bantalnya apakah bersih atau tidak, kemarin saya dapat kotor sekali bantalnya selain itu lampu di kamar juga bisa djbenahi jd lebih baik, terimakasih</t>
  </si>
  <si>
    <t>Bantal terlalu tipis, lift nya beraroma tidak nyaman.</t>
  </si>
  <si>
    <t>Saya harap kamar mandi dan toilet bisa lebih sering dibersihkan. Dan semoga kasurnya bisa lebih empuk.</t>
  </si>
  <si>
    <t>darah dri luka terkena meja menjadi denda 200</t>
  </si>
  <si>
    <t>QR scan pintu ke area pod tidak berfungsi.
Fasilitas parkiran kalau memang tidak ada lahan tolong dihilangkan dari daftar fasilitas.
Kami yang membawa kendaraan menjadi kesulitan mencari parkir dan biaya parkir di sekitar area bobobox malioboro cukup mahal.</t>
  </si>
  <si>
    <t xml:space="preserve">Ac pod mati. Chat resepsionis cuma di READ AJA. Gaada respon atau pun solusi. Kebayang ga semaleman di dalem pod pengapnya kaya apa?! Kecewa bgt. </t>
  </si>
  <si>
    <t>Sandalnya mungkin bisa diganti dengan yang bentuk jepit atau yg lebih mudah dipakai karena kalau kaki agak basah susah banget makenya. Bidet di toilet lebih baik yg bentuk shower agar lebih bersih. Agak ga praktis masuk kmn2 pake barcode karena sampai ke toilet aja harus bawa hp biar bisa masuk ke dalam kamar. Lebih baik access card aja.</t>
  </si>
  <si>
    <t>Seharusnya noda dibantal tidak perlu biaya sampai 50.000 bahkan 20.000 sudah lebih dari cukup, dari awal saya sudah terbuka tapi tidak ada kebijakan. Terkecuali noda yang suaah dibersihkan atau warna kontras terlihat</t>
  </si>
  <si>
    <t>tempat parkir selalu penuh karena di jadikan satu dengan alun alun, nasi padang dan kantor pos
Terlalu bising untuk malam hari karena saya mendapatkan kamar di jalan utama, terlalu banyak orang berjalan di atas jam 1 malam</t>
  </si>
  <si>
    <t>kemarin dapat host service yg tidak mengenakkan pelayanan nya kurang, saya mau request kamar tidak bisa,sebelumnya bisa bisa saja</t>
  </si>
  <si>
    <t>Wifi eror seharian</t>
  </si>
  <si>
    <t xml:space="preserve">Banyak yang harus diperbaiki dan ditingkatkan kembali. Sejauh ini sangat kurang memuaskan </t>
  </si>
  <si>
    <t>Akses masuk harus dibawah jam 10. Terkadang kalo mau keluar malem buat kebutuhan yg lain jadinya terbatas</t>
  </si>
  <si>
    <t>Dirty washroom</t>
  </si>
  <si>
    <t>Airnya mati kalau banyak orang yang menggunakan</t>
  </si>
  <si>
    <t xml:space="preserve">pegawai ramah cuma rekanan makanan local bad bgt, ditambah sabun di dlm kamar mandi encer dicampur air </t>
  </si>
  <si>
    <t>Gak kedap suara, dapat tetangga yang teleponan berjam², dan setel musik semalam gak bisa tisur tenang.</t>
  </si>
  <si>
    <t>Kotor dan bau, toilet wanita hanya sedikit</t>
  </si>
  <si>
    <t>Seprai bernoda, kebersihan toilet perlu lebih diperhatikan.</t>
  </si>
  <si>
    <t>the server is down at night and i have no electricity at box/pod</t>
  </si>
  <si>
    <t>Bluetooth speaker tidak bisa konek + untuk yg double pods colokan stop kontaknya cmn 1</t>
  </si>
  <si>
    <t>Nginap 2 malam sprai ga diganti. 
toilet kurang bersih. 
ac mantap.</t>
  </si>
  <si>
    <t>2 dari 3 toilet shower rusak, mushola dan komunal jauh, nuansa nya gelap bgt.</t>
  </si>
  <si>
    <t>Cukup nyaman, parkiranya aga sulit</t>
  </si>
  <si>
    <t>1. Wastafel mampet semua
2. Kamar mandi genangan air gak langsung turun ke pembuangan air. Risiko terpeleset.
3. WC dibersihkan hanya 1x sehari?
4. Dudukan WC suka ada bekas orang buang air kecil.</t>
  </si>
  <si>
    <t>Barangku ada yang hilang di kamar mandi shampoo harganya 300rb sama facial wash. Klo ngepasin sampo murah sih ikhlas ini masi baru buka segel anjir. Kesel banget</t>
  </si>
  <si>
    <t>Lampu kamarnya ada yg ngebug</t>
  </si>
  <si>
    <t>Kamar mandinya disikat lagi ditoilet Wanita itu licin banget ubinnya, di area westafel saya sampe kepleset. &amp; Kmr mandi, BAB. Yg abang" bersih"in sampah yg gendut itu agak judes ya ditegor diem aja gjawab. Resepsionis cwe baik ramah.
Agak kesel sih pas udh dateng jam 10 suruh tunggu diluar dulu sm resepsionis laki kulit hitam muka Jawa kek diusir gue. Tega ga tega ttp suruh tunggu diluar. Parahsih</t>
  </si>
  <si>
    <t>Tidak kedap suara dari luar dan ruang sebelah
Sering kebangun kalo sebelah buka pintu</t>
  </si>
  <si>
    <t>Bed tipis bantal bau apek . Could be better</t>
  </si>
  <si>
    <t>Kamar nya bau apek. Sehingga harus dibeesihkan lagi</t>
  </si>
  <si>
    <t>Seprei bantal kotor, ada bercak2.
Toilet ga ada sabun, ada nya toilet paper, kalo marketnya org indo harus ada sabun dongg.
Pod ga kedap suara, ada org bawa bayi nangis mulu</t>
  </si>
  <si>
    <t>Air panas tidak dicek berfungsi atau tidak, disuruh menunggu 3 jam setelah tahu tetep tidak bisa baru disuruh pindah kamar sebelah. Kenapa seharusnya tidak sedari awal ? Kenapa disuruh menunggu ? Keputusan manajemen lambat</t>
  </si>
  <si>
    <t>Semuanya oke kecuali toiletnya. Lantai shower room licin</t>
  </si>
  <si>
    <t>Berisik bgt org org aku mau tidur tp pada berisik, apalgi yg skyroom berisik bgttttt tengah malem🥲</t>
  </si>
  <si>
    <t>I paid for the expensive hotel but I didn't get free morning breakfast facilities. so last night I immediately pulled out of the hotel. No recommendation, please fix the management.</t>
  </si>
  <si>
    <t>Air Hangatnya di toilet tidak nyala</t>
  </si>
  <si>
    <t>Airya ga lancar  dan keruh :(</t>
  </si>
  <si>
    <t xml:space="preserve">Everything was great, except there was a lot of noise the whole night </t>
  </si>
  <si>
    <t xml:space="preserve">Tengah malem masih banyak yang berisik , walaupun sudah diingatkan </t>
  </si>
  <si>
    <t>Ranjang kamar kotor dan bau</t>
  </si>
  <si>
    <t xml:space="preserve">Aksesnya sulit dan buruk. 
Banyak lalat
Amenities di kamar sangat minim, hanya sikat gigi dan odol itupun kotor berdebu.. 
food choice very limited and less unavailable..
The view was great </t>
  </si>
  <si>
    <t>Air panasnya tidak berfungsi</t>
  </si>
  <si>
    <t xml:space="preserve">lampunya ga bisa nutup dan ga bisa ganti warna </t>
  </si>
  <si>
    <t>Kamarnya tidak kedap. Berisik sekali bahkan hanya saat ada org lewat. Dapat posisi tepat depan lorong kamar mandi. Hampir tidak bisa tidur.</t>
  </si>
  <si>
    <t>Kasur keras</t>
  </si>
  <si>
    <t>Terlalu mahal, tolong harga bisa lbh reasonable</t>
  </si>
  <si>
    <t>Staff nya ramah, cuma pengunjungnya berisik jd ada yg ketawa2 heboh di jam2 tenang dan staff nya ga negur, pernah nginep di bobobox solo itu staf nya ada negur kl ada yg berisik. AC nya kurang dingin buat yg di earth padahal udah di fullin</t>
  </si>
  <si>
    <t>AC untuk Pod 27, kurang dingin walaupun sudah di putar terus knop nya, lalu untuk Sharing QR tidak berhasil karena akun yang 1 lagi belum verified.</t>
  </si>
  <si>
    <t>Sayangnya sendok garpu gak ada, trus kran buat basuh abis kencing gak ada, adanya shower
Overall,,, recomended di sini,</t>
  </si>
  <si>
    <t>Aku pilih earth jdi diatas aku ada org, brisiknya gk ngenakin banget🤣</t>
  </si>
  <si>
    <t>Toilet kurang banyak jadi harus antri, kamar ada sarang laba" nya, kebersihan area baik kabin dan toilet di check kembali</t>
  </si>
  <si>
    <t>Sprei dan selimut agak kotor</t>
  </si>
  <si>
    <t>No free parking</t>
  </si>
  <si>
    <t>Lingkungan nyaman, toilet bersih. Kamar jugaaa bersih, cumaa mungkin buat next nyaa untuk pods yang jarang ditempati bisa diperhatikan lagi. Soalnya kondisi kasur berdebu. Jadi agak kurang nyaman saat tidur.</t>
  </si>
  <si>
    <t>SANGAT GAK SOPAN !! Selama stay di bobobox aman2 . ini servicenya jelek. seakan2 kayak di usir . saya lagi sibuk ngerjain yg lain . mnta kuncinya berasa kayak saya bawa pergi . JELEK BNGET . pdahal udah nyaman di bobobox</t>
  </si>
  <si>
    <t>baru kali ini dapet room yang ada bercak noda di sprei kasur dan jendela. cabin 40 bobobox alun alun malang. semoga diperbaiki. overall good</t>
  </si>
  <si>
    <t>TV tidak ada</t>
  </si>
  <si>
    <t xml:space="preserve">Di jam quite pada berisik semua. Cara jalan peserta yg menginap selalu menyeret sendalnya. Dan suka sekali bersuara. Saya berkali2x terbangun </t>
  </si>
  <si>
    <t>Tempat buat mandinya bau pesing dan banyak sampah sikat gigi. OB sudah tidak seperti dulu lagi sigap dalam membersihkan wc.</t>
  </si>
  <si>
    <t>AC kurang dingin, overall good pod</t>
  </si>
  <si>
    <t>Kurang bersih dan tempat tdur keras</t>
  </si>
  <si>
    <t xml:space="preserve">Servicenya parahh... </t>
  </si>
  <si>
    <t>Wifii nya lelet</t>
  </si>
  <si>
    <t>Pada saat saya menginap di Bobobox Malioboro kali ini, kondisi podnya kurang sekali. Pod yang saya tempati AC nya bocor, dan juga banyak bangkai serangga. Kemudian, kondisi kamar mandinya sangat kurang bersih, bahkan saya menemukan banyak bercak darah di dinding toilet, selain itu kebetulan sedang ada renovasi di dekat pod saya.
Semoga kedepannya bisa lebih diperbaiki kebersihannya.</t>
  </si>
  <si>
    <t>Toilet dan area resepsionis tolong beri pewangi, terima kasih</t>
  </si>
  <si>
    <t>Tidak ada tissue</t>
  </si>
  <si>
    <t>Sampah tissue meluap, paginya ada yg buang pempers bayi bau banget woi :( mending segera di buang sampahnya nextnya</t>
  </si>
  <si>
    <t>Toilet pria lt 2 sedang perbaikan harus ke lt 3 lalu di lt 3 hairdrayernya pelan dan suka mati</t>
  </si>
  <si>
    <t>Toilet terlalu jauh, kualitas sendal tidak memenuhi standar keamanan dan kenyamanan untuk berjalan ke toilet dan tempat lain nya. Tidak ada parkir</t>
  </si>
  <si>
    <t>Jauh lebih mahal dibandingkan harga hotel kapsul lain. Whiz capsule saja, hanya 130rb per malam</t>
  </si>
  <si>
    <t>No smoking area even you can provide by the balcon build8ng it will be great ( nice view open air and smoking area is available)</t>
  </si>
  <si>
    <t xml:space="preserve">No slipper must buy, sprei tdk d ganti kotor,tea cup ga ada tea spoon nya.. </t>
  </si>
  <si>
    <t>Need microwave</t>
  </si>
  <si>
    <t>masi bau rokok di area umum</t>
  </si>
  <si>
    <t>Socket listrik baiknya di atas meja , dan untuk pengaturan ac pakai digital</t>
  </si>
  <si>
    <t>Bathroomnya diperbanyak. Karna yg sharing orangnya banyak. Terutama wcnya</t>
  </si>
  <si>
    <t xml:space="preserve">pelayanannya ramah dan baik, namun fasilitas kamar seperti selimut dan bed bisa diperbaiki lagi dari segi kualitas agar tidur menjadi lebih nyaman </t>
  </si>
  <si>
    <t>Masalah utama cabang yang ini di lokasinya, kurang kelihatan pintu masuknya dan security area kota tua kurang koordinasi dalam memberikan arahan, belum lagi bercandaan yang agak kelewat batas.
Selain itu dari Boboboxnya sendiri cukup ok</t>
  </si>
  <si>
    <t>overall oke sih. Bersih, mudah kemanamanaTp syg,, Kemarin mbak nya malah nyalahin sy soalnya br dtg sktr jam 7pagi pdhl stay 2malam. Kan mereka punya database, masa tdk tahu kl nama sy dsana stay 2malam? Malah merasa kl sy itu early check in</t>
  </si>
  <si>
    <t>Tamunya terlalu berisik</t>
  </si>
  <si>
    <t>Host servicenya baik, yang perlu ditingkatkan:
- kebersihan toilet perempuan dan laki2. Lantai shower tolong rajin disikat supaya tidak berlumut
- sudut2 dalam kamar tolong lebih dibersihkan supaya tidak banyak debu</t>
  </si>
  <si>
    <t>Tempat ok, Toilet kurang bnyk</t>
  </si>
  <si>
    <t>Kurang kedap suara, berisik dari box lainnya cukup mengganggu</t>
  </si>
  <si>
    <t>Service saat cak in dan cek out sangat jelek 👎</t>
  </si>
  <si>
    <t>Berisik</t>
  </si>
  <si>
    <t>Menu makanan habis, lebih variatif lagi menu makanannya</t>
  </si>
  <si>
    <t>acnya kurang sejuk</t>
  </si>
  <si>
    <t>Di lantai dua, toilet wanita salah satu biliknya tidak ada kuncinya</t>
  </si>
  <si>
    <t>Lift kotor</t>
  </si>
  <si>
    <t>Kebersihan</t>
  </si>
  <si>
    <t>Karena mungkin ada perbaikan jadi keganggu pas tidur, sama fungsi pintu ga optimal/ ga bisa kekunci ternyata, beda sama yang di Alun² Malang,, tapi selebihnya oke, sama sistem kunci loker nya bisa diubah pakai QR juga seperti di Malang ,, makasih selebihnya oke banget</t>
  </si>
  <si>
    <t>AC dan stop kontak sempat gk berfungsi. AC nya kecil banget bikin tidur ga nyaman, kepanasan udh chat host cuman di benerin stop kontak aja AC tetep ga berfungsi. Satpam parkirnya jga judes ditanya bisa parkir atau enggak jawabnya enggak akhirnya parkir di tmpt lain.</t>
  </si>
  <si>
    <t>AC panas
Host c/I ga ngebantu sama sekali</t>
  </si>
  <si>
    <t>Lampu sering bermasalah
Uda d benerin rusak lagi
Semalaman tdr kurang nyenyak lampu tidak bisa mati</t>
  </si>
  <si>
    <t>kotor, pinggiran kasur agak berdebu, lift bau</t>
  </si>
  <si>
    <t>kotor sih lift bau, urinator sering rusak, kadang ada semut gigit dikamar, nyamuk juga agak banyak, agak gatal2 tdr disini aneh</t>
  </si>
  <si>
    <t xml:space="preserve">sarung bantal bau sekali, bener2 bau sampe gak pake 2 bantal nya utk tidur. 
pesan bfast set A (self cook) tpi gk ada /tdk disediakan butter sama sekali, alhasil telur dan sosis kering bgt. </t>
  </si>
  <si>
    <t>kasur atas saya berdecit sepanjang malam karena penghuni atas saya berisik. jadi saya susah untuk tidur</t>
  </si>
  <si>
    <t>Ac nya ada tetesan air</t>
  </si>
  <si>
    <t>Kasurnya keras, bantal tidak nyaman isian bantal sudah menggumpal2. Lampu kamar mandi seharusnya dibedakan dari lampu utama karena kalau ke kamar mandi malam2 gelap, kalau nyalakan lampu mengganggu yg sedang tidur. Pelayanan baik dan ramah2 staff nya.</t>
  </si>
  <si>
    <t>Sayang sekali parkiran jauh bgt, tdk seperti pas kerja sama dgn kings enak bgt parkiran nya dkt dan tdk perlu mengeluaran uang kembali utk parkir. Penutup ac di kamar jatuh teruus</t>
  </si>
  <si>
    <t xml:space="preserve">Pod nyaman so far so good but not for the toilet.. toilet banyak lalat bau apek spt jarang dibersihkah </t>
  </si>
  <si>
    <t>Gasopan petugasnya asal masuk kedalam kamar dan mengganggu waktu tidur , gaada kata minta maaf kecustomernya</t>
  </si>
  <si>
    <t>Gak bisa nitip tas, padahal cuma jumatan sbntr</t>
  </si>
  <si>
    <t>Kurang nyaman dari segi denah dan lain", staff nya mungkin bisa ditingkatkan keramahannya, airnya lama panas</t>
  </si>
  <si>
    <t>dpt pod 03 minta pindah gak bisa, tdr kdg kebagun ada suara langkah kaki sama org lewat yg lg ngobrol</t>
  </si>
  <si>
    <t>Your bed clean tapi bau :(
Kalo untuk fasilitas dan pelayanan sih ok yaa</t>
  </si>
  <si>
    <t>Specially untuk bobobox alun2 malang ini kali ketiga saya menginap di sini dan jujur saya agak merasa kecewa, 
1. Saya belum tahu kalau skrg ada free charge card untuk parking yang harus diambil di resepsionis sedangkan resepsionisnya tidak memberi tahu apa2
2. Security yang tidak cepat tanggap ketika saya kebingungan kebingungan hanya melototin dari ujung kaki hingga ujung kepala dan sibuk sndiri</t>
  </si>
  <si>
    <t>AC sentral terlalu dingin, pdhal lubang ac di kamar sudah ditutup. Tp tetap dingin bgt dikamar. Dan shower di kamar mandi pria di lantai 1 yg diujung rusak, airnya kecil bgt. WC yg tengah jg rusak.</t>
  </si>
  <si>
    <t>Tidak ada tempat parkir dari pihak bobobox harus parkir diluar dengan tarif 20k/hari</t>
  </si>
  <si>
    <t>Kotor padahal tempatnya ok. Maintenance nya ok</t>
  </si>
  <si>
    <t xml:space="preserve">Stayed here a couple of years ago and everything was great! Stayed here again yesterday, when I arrived the female toilet was closed due to the regular cleaning. An hour later I went and it stank so bad! Bau pesing banget padahal kmr mandinya kering dan BANYAK bgt lalat2 kecil di seluruh toiletnya. Karna prah bgt saya gajadi mandi krn ga nyaman. Yg lainnya oke, servis dan kmr oke. </t>
  </si>
  <si>
    <t>Room facilities harus lebih bersih lg</t>
  </si>
  <si>
    <t>Need pest control. Cleaniness need to be upgraded</t>
  </si>
  <si>
    <t xml:space="preserve">Toilet bocor jadi airnya kemana mana dan bau
Pagi panas sekali 
Tidak black out
</t>
  </si>
  <si>
    <t>Mohon yang bersihin kamar mandi laki2 khusus laki laki, dan yang yang bersihin kamar mandi perempuan khusus perempuan, menurut saya jika cross gender kurang begitu nyaman, terimakasihh</t>
  </si>
  <si>
    <t>Kurang kedap suara. Kebangun gara2 pod sebelah nutup pintu.</t>
  </si>
  <si>
    <t>Would be nice if people could leave luggage after check-out to pick up later in case they have a late departure from the city and want to explore more.</t>
  </si>
  <si>
    <t>Matrasnya ternyata keras bgt
Diluar itu so far so good</t>
  </si>
  <si>
    <t>Toiletnya bau, tolong disediakan air mineral kaya dulu lg di setiap kamar dan sikat gigi</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</si>
</sst>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color theme="1"/>
      <name val="Calibri"/>
    </font>
    <font>
      <sz val="11.0"/>
      <color rgb="FF000000"/>
      <name val="Calibri"/>
    </font>
    <font>
      <sz val="11.0"/>
      <color theme="1"/>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right style="thin">
        <color rgb="FF9BC2E6"/>
      </right>
      <top style="thin">
        <color rgb="FF9BC2E6"/>
      </top>
      <bottom style="thin">
        <color rgb="FF9BC2E6"/>
      </bottom>
    </border>
    <border>
      <left style="thin">
        <color rgb="FF000000"/>
      </left>
      <top style="thin">
        <color rgb="FF000000"/>
      </top>
    </border>
    <border>
      <left style="thin">
        <color rgb="FF000000"/>
      </lef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shrinkToFit="0" vertical="top" wrapText="1"/>
    </xf>
    <xf borderId="1" fillId="0" fontId="1" numFmtId="0" xfId="0" applyBorder="1" applyFont="1"/>
    <xf borderId="1" fillId="0" fontId="1" numFmtId="0" xfId="0" applyAlignment="1" applyBorder="1" applyFont="1">
      <alignment horizontal="center" vertical="top"/>
    </xf>
    <xf borderId="0" fillId="0" fontId="2" numFmtId="0" xfId="0" applyAlignment="1" applyFont="1">
      <alignment shrinkToFit="0" wrapText="1"/>
    </xf>
    <xf borderId="0" fillId="0" fontId="2" numFmtId="0" xfId="0" applyFont="1"/>
    <xf borderId="0" fillId="0" fontId="2" numFmtId="0" xfId="0" applyAlignment="1" applyFont="1">
      <alignment readingOrder="0" shrinkToFit="0" wrapText="1"/>
    </xf>
    <xf borderId="2" fillId="0" fontId="3" numFmtId="0" xfId="0" applyAlignment="1" applyBorder="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3" fillId="0" fontId="4" numFmtId="0" xfId="0" applyAlignment="1" applyBorder="1" applyFont="1">
      <alignment shrinkToFit="0" vertical="bottom" wrapText="1"/>
    </xf>
    <xf borderId="4" fillId="0" fontId="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51.43"/>
    <col customWidth="1" min="4" max="4" width="13.29"/>
    <col customWidth="1" min="5" max="5" width="16.14"/>
    <col customWidth="1" min="6" max="27" width="8.71"/>
  </cols>
  <sheetData>
    <row r="1">
      <c r="B1" s="1" t="s">
        <v>0</v>
      </c>
      <c r="C1" s="2" t="s">
        <v>1</v>
      </c>
      <c r="D1" s="3" t="s">
        <v>2</v>
      </c>
      <c r="E1" s="3" t="s">
        <v>3</v>
      </c>
    </row>
    <row r="2">
      <c r="A2" s="4">
        <f t="shared" ref="A2:A701" si="1">ROW(A2) - 1</f>
        <v>1</v>
      </c>
      <c r="B2" s="5" t="s">
        <v>4</v>
      </c>
      <c r="C2" s="5" t="s">
        <v>4</v>
      </c>
      <c r="D2" s="6">
        <v>2.0</v>
      </c>
      <c r="E2" s="6">
        <v>0.0</v>
      </c>
    </row>
    <row r="3">
      <c r="A3" s="4">
        <f t="shared" si="1"/>
        <v>2</v>
      </c>
      <c r="B3" s="5" t="s">
        <v>5</v>
      </c>
      <c r="C3" s="7" t="s">
        <v>6</v>
      </c>
      <c r="D3" s="6">
        <v>3.0</v>
      </c>
      <c r="E3" s="6">
        <v>1.0</v>
      </c>
    </row>
    <row r="4">
      <c r="A4" s="4">
        <f t="shared" si="1"/>
        <v>3</v>
      </c>
      <c r="B4" s="5" t="s">
        <v>7</v>
      </c>
      <c r="C4" s="7" t="s">
        <v>8</v>
      </c>
      <c r="D4" s="6">
        <v>3.0</v>
      </c>
      <c r="E4" s="6">
        <v>1.0</v>
      </c>
    </row>
    <row r="5">
      <c r="A5" s="4">
        <f t="shared" si="1"/>
        <v>4</v>
      </c>
      <c r="B5" s="5" t="s">
        <v>9</v>
      </c>
      <c r="C5" s="7" t="s">
        <v>10</v>
      </c>
      <c r="D5" s="6">
        <v>3.0</v>
      </c>
      <c r="E5" s="6">
        <v>1.0</v>
      </c>
    </row>
    <row r="6">
      <c r="A6" s="4">
        <f t="shared" si="1"/>
        <v>5</v>
      </c>
      <c r="B6" s="5" t="s">
        <v>11</v>
      </c>
      <c r="C6" s="7" t="s">
        <v>12</v>
      </c>
      <c r="D6" s="6">
        <v>2.0</v>
      </c>
      <c r="E6" s="6">
        <v>0.0</v>
      </c>
    </row>
    <row r="7">
      <c r="A7" s="4">
        <f t="shared" si="1"/>
        <v>6</v>
      </c>
      <c r="B7" s="5" t="s">
        <v>13</v>
      </c>
      <c r="C7" s="7" t="s">
        <v>14</v>
      </c>
      <c r="D7" s="6">
        <v>2.0</v>
      </c>
      <c r="E7" s="6">
        <v>1.0</v>
      </c>
    </row>
    <row r="8">
      <c r="A8" s="4">
        <f t="shared" si="1"/>
        <v>7</v>
      </c>
      <c r="B8" s="5" t="s">
        <v>15</v>
      </c>
      <c r="C8" s="7" t="s">
        <v>16</v>
      </c>
      <c r="D8" s="6">
        <v>2.0</v>
      </c>
      <c r="E8" s="6">
        <v>0.0</v>
      </c>
    </row>
    <row r="9">
      <c r="A9" s="4">
        <f t="shared" si="1"/>
        <v>8</v>
      </c>
      <c r="B9" s="5" t="s">
        <v>17</v>
      </c>
      <c r="C9" s="7" t="s">
        <v>18</v>
      </c>
      <c r="D9" s="6">
        <v>2.0</v>
      </c>
      <c r="E9" s="6">
        <v>0.0</v>
      </c>
    </row>
    <row r="10">
      <c r="A10" s="4">
        <f t="shared" si="1"/>
        <v>9</v>
      </c>
      <c r="B10" s="5" t="s">
        <v>19</v>
      </c>
      <c r="C10" s="7" t="s">
        <v>20</v>
      </c>
      <c r="D10" s="6">
        <v>2.0</v>
      </c>
      <c r="E10" s="6">
        <v>1.0</v>
      </c>
    </row>
    <row r="11">
      <c r="A11" s="4">
        <f t="shared" si="1"/>
        <v>10</v>
      </c>
      <c r="B11" s="5" t="s">
        <v>21</v>
      </c>
      <c r="C11" s="7" t="s">
        <v>22</v>
      </c>
      <c r="D11" s="6">
        <v>2.0</v>
      </c>
      <c r="E11" s="6">
        <v>1.0</v>
      </c>
    </row>
    <row r="12">
      <c r="A12" s="4">
        <f t="shared" si="1"/>
        <v>11</v>
      </c>
      <c r="B12" s="5" t="s">
        <v>23</v>
      </c>
      <c r="C12" s="7" t="s">
        <v>24</v>
      </c>
      <c r="D12" s="6">
        <v>1.0</v>
      </c>
      <c r="E12" s="6">
        <v>0.0</v>
      </c>
    </row>
    <row r="13">
      <c r="A13" s="4">
        <f t="shared" si="1"/>
        <v>12</v>
      </c>
      <c r="B13" s="5" t="s">
        <v>25</v>
      </c>
      <c r="C13" s="7" t="s">
        <v>26</v>
      </c>
      <c r="D13" s="6">
        <v>3.0</v>
      </c>
      <c r="E13" s="6">
        <v>1.0</v>
      </c>
    </row>
    <row r="14">
      <c r="A14" s="4">
        <f t="shared" si="1"/>
        <v>13</v>
      </c>
      <c r="B14" s="5" t="s">
        <v>27</v>
      </c>
      <c r="C14" s="7" t="s">
        <v>28</v>
      </c>
      <c r="D14" s="6">
        <v>3.0</v>
      </c>
      <c r="E14" s="6">
        <v>0.0</v>
      </c>
    </row>
    <row r="15">
      <c r="A15" s="4">
        <f t="shared" si="1"/>
        <v>14</v>
      </c>
      <c r="B15" s="5" t="s">
        <v>29</v>
      </c>
      <c r="C15" s="7" t="s">
        <v>30</v>
      </c>
      <c r="D15" s="6">
        <v>3.0</v>
      </c>
      <c r="E15" s="6">
        <v>1.0</v>
      </c>
    </row>
    <row r="16">
      <c r="A16" s="4">
        <f t="shared" si="1"/>
        <v>15</v>
      </c>
      <c r="B16" s="5" t="s">
        <v>31</v>
      </c>
      <c r="C16" s="7" t="s">
        <v>32</v>
      </c>
      <c r="D16" s="6">
        <v>2.0</v>
      </c>
      <c r="E16" s="6">
        <v>0.0</v>
      </c>
    </row>
    <row r="17">
      <c r="A17" s="4">
        <f t="shared" si="1"/>
        <v>16</v>
      </c>
      <c r="B17" s="5" t="s">
        <v>33</v>
      </c>
      <c r="C17" s="7" t="s">
        <v>34</v>
      </c>
      <c r="D17" s="6">
        <v>3.0</v>
      </c>
      <c r="E17" s="6">
        <v>0.0</v>
      </c>
    </row>
    <row r="18">
      <c r="A18" s="4">
        <f t="shared" si="1"/>
        <v>17</v>
      </c>
      <c r="B18" s="5" t="s">
        <v>35</v>
      </c>
      <c r="C18" s="7" t="s">
        <v>36</v>
      </c>
      <c r="D18" s="6">
        <v>3.0</v>
      </c>
      <c r="E18" s="6">
        <v>1.0</v>
      </c>
    </row>
    <row r="19">
      <c r="A19" s="4">
        <f t="shared" si="1"/>
        <v>18</v>
      </c>
      <c r="B19" s="5" t="s">
        <v>37</v>
      </c>
      <c r="C19" s="7" t="s">
        <v>38</v>
      </c>
      <c r="D19" s="6">
        <v>2.0</v>
      </c>
      <c r="E19" s="6">
        <v>0.0</v>
      </c>
    </row>
    <row r="20">
      <c r="A20" s="4">
        <f t="shared" si="1"/>
        <v>19</v>
      </c>
      <c r="B20" s="5" t="s">
        <v>39</v>
      </c>
      <c r="C20" s="7" t="s">
        <v>40</v>
      </c>
      <c r="D20" s="6">
        <v>3.0</v>
      </c>
      <c r="E20" s="6">
        <v>1.0</v>
      </c>
    </row>
    <row r="21" ht="15.75" customHeight="1">
      <c r="A21" s="4">
        <f t="shared" si="1"/>
        <v>20</v>
      </c>
      <c r="B21" s="5" t="s">
        <v>41</v>
      </c>
      <c r="C21" s="7" t="s">
        <v>42</v>
      </c>
      <c r="D21" s="6">
        <v>3.0</v>
      </c>
      <c r="E21" s="6">
        <v>0.0</v>
      </c>
    </row>
    <row r="22" ht="15.75" customHeight="1">
      <c r="A22" s="4">
        <f t="shared" si="1"/>
        <v>21</v>
      </c>
      <c r="B22" s="5" t="s">
        <v>43</v>
      </c>
      <c r="C22" s="7" t="s">
        <v>44</v>
      </c>
      <c r="D22" s="6">
        <v>3.0</v>
      </c>
      <c r="E22" s="6">
        <v>1.0</v>
      </c>
    </row>
    <row r="23" ht="15.75" customHeight="1">
      <c r="A23" s="4">
        <f t="shared" si="1"/>
        <v>22</v>
      </c>
      <c r="B23" s="5" t="s">
        <v>45</v>
      </c>
      <c r="C23" s="7" t="s">
        <v>46</v>
      </c>
      <c r="D23" s="6">
        <v>1.0</v>
      </c>
      <c r="E23" s="6">
        <v>0.0</v>
      </c>
    </row>
    <row r="24" ht="15.75" customHeight="1">
      <c r="A24" s="4">
        <f t="shared" si="1"/>
        <v>23</v>
      </c>
      <c r="B24" s="5" t="s">
        <v>47</v>
      </c>
      <c r="C24" s="7" t="s">
        <v>48</v>
      </c>
      <c r="D24" s="6">
        <v>2.0</v>
      </c>
      <c r="E24" s="6">
        <v>0.0</v>
      </c>
    </row>
    <row r="25" ht="15.75" customHeight="1">
      <c r="A25" s="4">
        <f t="shared" si="1"/>
        <v>24</v>
      </c>
      <c r="B25" s="5" t="s">
        <v>49</v>
      </c>
      <c r="C25" s="7" t="s">
        <v>50</v>
      </c>
      <c r="D25" s="6">
        <v>2.0</v>
      </c>
      <c r="E25" s="6">
        <v>1.0</v>
      </c>
    </row>
    <row r="26" ht="15.75" customHeight="1">
      <c r="A26" s="4">
        <f t="shared" si="1"/>
        <v>25</v>
      </c>
      <c r="B26" s="5" t="s">
        <v>51</v>
      </c>
      <c r="C26" s="7" t="s">
        <v>52</v>
      </c>
      <c r="D26" s="6">
        <v>3.0</v>
      </c>
      <c r="E26" s="6">
        <v>0.0</v>
      </c>
    </row>
    <row r="27" ht="15.75" customHeight="1">
      <c r="A27" s="4">
        <f t="shared" si="1"/>
        <v>26</v>
      </c>
      <c r="B27" s="5" t="s">
        <v>53</v>
      </c>
      <c r="C27" s="7" t="s">
        <v>54</v>
      </c>
      <c r="D27" s="6">
        <v>3.0</v>
      </c>
      <c r="E27" s="6">
        <v>0.0</v>
      </c>
    </row>
    <row r="28" ht="15.75" customHeight="1">
      <c r="A28" s="4">
        <f t="shared" si="1"/>
        <v>27</v>
      </c>
      <c r="B28" s="5" t="s">
        <v>55</v>
      </c>
      <c r="C28" s="7" t="s">
        <v>56</v>
      </c>
      <c r="D28" s="6">
        <v>2.0</v>
      </c>
      <c r="E28" s="6">
        <v>0.0</v>
      </c>
    </row>
    <row r="29" ht="15.75" customHeight="1">
      <c r="A29" s="4">
        <f t="shared" si="1"/>
        <v>28</v>
      </c>
      <c r="B29" s="5" t="s">
        <v>57</v>
      </c>
      <c r="C29" s="7" t="s">
        <v>58</v>
      </c>
      <c r="D29" s="6">
        <v>3.0</v>
      </c>
      <c r="E29" s="6">
        <v>1.0</v>
      </c>
    </row>
    <row r="30" ht="15.75" customHeight="1">
      <c r="A30" s="4">
        <f t="shared" si="1"/>
        <v>29</v>
      </c>
      <c r="B30" s="5" t="s">
        <v>59</v>
      </c>
      <c r="C30" s="7" t="s">
        <v>60</v>
      </c>
      <c r="D30" s="6">
        <v>3.0</v>
      </c>
      <c r="E30" s="6">
        <v>0.0</v>
      </c>
    </row>
    <row r="31" ht="15.75" customHeight="1">
      <c r="A31" s="4">
        <f t="shared" si="1"/>
        <v>30</v>
      </c>
      <c r="B31" s="5" t="s">
        <v>61</v>
      </c>
      <c r="C31" s="7" t="s">
        <v>62</v>
      </c>
      <c r="D31" s="6">
        <v>1.0</v>
      </c>
      <c r="E31" s="6">
        <v>0.0</v>
      </c>
    </row>
    <row r="32" ht="15.75" customHeight="1">
      <c r="A32" s="4">
        <f t="shared" si="1"/>
        <v>31</v>
      </c>
      <c r="B32" s="5" t="s">
        <v>63</v>
      </c>
      <c r="C32" s="7" t="s">
        <v>64</v>
      </c>
      <c r="D32" s="6">
        <v>1.0</v>
      </c>
      <c r="E32" s="6">
        <v>1.0</v>
      </c>
    </row>
    <row r="33" ht="15.75" customHeight="1">
      <c r="A33" s="4">
        <f t="shared" si="1"/>
        <v>32</v>
      </c>
      <c r="B33" s="5" t="s">
        <v>65</v>
      </c>
      <c r="C33" s="7" t="s">
        <v>66</v>
      </c>
      <c r="D33" s="6">
        <v>1.0</v>
      </c>
      <c r="E33" s="6">
        <v>0.0</v>
      </c>
    </row>
    <row r="34" ht="15.75" customHeight="1">
      <c r="A34" s="4">
        <f t="shared" si="1"/>
        <v>33</v>
      </c>
      <c r="B34" s="5" t="s">
        <v>67</v>
      </c>
      <c r="C34" s="7" t="s">
        <v>68</v>
      </c>
      <c r="D34" s="6">
        <v>3.0</v>
      </c>
      <c r="E34" s="6">
        <v>1.0</v>
      </c>
    </row>
    <row r="35" ht="15.75" customHeight="1">
      <c r="A35" s="4">
        <f t="shared" si="1"/>
        <v>34</v>
      </c>
      <c r="B35" s="5" t="s">
        <v>69</v>
      </c>
      <c r="C35" s="7" t="s">
        <v>70</v>
      </c>
      <c r="D35" s="6">
        <v>3.0</v>
      </c>
      <c r="E35" s="6">
        <v>1.0</v>
      </c>
    </row>
    <row r="36" ht="15.75" customHeight="1">
      <c r="A36" s="4">
        <f t="shared" si="1"/>
        <v>35</v>
      </c>
      <c r="B36" s="5" t="s">
        <v>71</v>
      </c>
      <c r="C36" s="7" t="s">
        <v>71</v>
      </c>
      <c r="D36" s="6">
        <v>1.0</v>
      </c>
      <c r="E36" s="6">
        <v>0.0</v>
      </c>
    </row>
    <row r="37" ht="15.75" customHeight="1">
      <c r="A37" s="4">
        <f t="shared" si="1"/>
        <v>36</v>
      </c>
      <c r="B37" s="5" t="s">
        <v>72</v>
      </c>
      <c r="C37" s="7" t="s">
        <v>73</v>
      </c>
      <c r="D37" s="6">
        <v>2.0</v>
      </c>
      <c r="E37" s="6">
        <v>0.0</v>
      </c>
    </row>
    <row r="38" ht="15.75" customHeight="1">
      <c r="A38" s="4">
        <f t="shared" si="1"/>
        <v>37</v>
      </c>
      <c r="B38" s="5" t="s">
        <v>74</v>
      </c>
      <c r="C38" s="7" t="s">
        <v>75</v>
      </c>
      <c r="D38" s="6">
        <v>3.0</v>
      </c>
      <c r="E38" s="6">
        <v>1.0</v>
      </c>
    </row>
    <row r="39" ht="15.75" customHeight="1">
      <c r="A39" s="4">
        <f t="shared" si="1"/>
        <v>38</v>
      </c>
      <c r="B39" s="5" t="s">
        <v>76</v>
      </c>
      <c r="C39" s="7" t="s">
        <v>77</v>
      </c>
      <c r="D39" s="6">
        <v>1.0</v>
      </c>
      <c r="E39" s="6">
        <v>0.0</v>
      </c>
    </row>
    <row r="40" ht="15.75" customHeight="1">
      <c r="A40" s="4">
        <f t="shared" si="1"/>
        <v>39</v>
      </c>
      <c r="B40" s="5" t="s">
        <v>78</v>
      </c>
      <c r="C40" s="7" t="s">
        <v>79</v>
      </c>
      <c r="D40" s="6">
        <v>1.0</v>
      </c>
      <c r="E40" s="6">
        <v>0.0</v>
      </c>
    </row>
    <row r="41" ht="15.75" customHeight="1">
      <c r="A41" s="4">
        <f t="shared" si="1"/>
        <v>40</v>
      </c>
      <c r="B41" s="5" t="s">
        <v>80</v>
      </c>
      <c r="C41" s="7" t="s">
        <v>81</v>
      </c>
      <c r="D41" s="6">
        <v>1.0</v>
      </c>
      <c r="E41" s="6">
        <v>0.0</v>
      </c>
    </row>
    <row r="42" ht="15.75" customHeight="1">
      <c r="A42" s="4">
        <f t="shared" si="1"/>
        <v>41</v>
      </c>
      <c r="B42" s="5" t="s">
        <v>82</v>
      </c>
      <c r="C42" s="7" t="s">
        <v>83</v>
      </c>
      <c r="D42" s="6">
        <v>1.0</v>
      </c>
      <c r="E42" s="6">
        <v>0.0</v>
      </c>
    </row>
    <row r="43" ht="15.75" customHeight="1">
      <c r="A43" s="4">
        <f t="shared" si="1"/>
        <v>42</v>
      </c>
      <c r="B43" s="5" t="s">
        <v>84</v>
      </c>
      <c r="C43" s="7" t="s">
        <v>85</v>
      </c>
      <c r="D43" s="6">
        <v>3.0</v>
      </c>
      <c r="E43" s="6">
        <v>1.0</v>
      </c>
    </row>
    <row r="44" ht="15.75" customHeight="1">
      <c r="A44" s="4">
        <f t="shared" si="1"/>
        <v>43</v>
      </c>
      <c r="B44" s="5" t="s">
        <v>86</v>
      </c>
      <c r="C44" s="7" t="s">
        <v>87</v>
      </c>
      <c r="D44" s="6">
        <v>1.0</v>
      </c>
      <c r="E44" s="6">
        <v>0.0</v>
      </c>
    </row>
    <row r="45" ht="15.75" customHeight="1">
      <c r="A45" s="4">
        <f t="shared" si="1"/>
        <v>44</v>
      </c>
      <c r="B45" s="5" t="s">
        <v>88</v>
      </c>
      <c r="C45" s="7" t="s">
        <v>89</v>
      </c>
      <c r="D45" s="6">
        <v>3.0</v>
      </c>
      <c r="E45" s="6">
        <v>1.0</v>
      </c>
    </row>
    <row r="46" ht="15.75" customHeight="1">
      <c r="A46" s="4">
        <f t="shared" si="1"/>
        <v>45</v>
      </c>
      <c r="B46" s="5" t="s">
        <v>90</v>
      </c>
      <c r="C46" s="7" t="s">
        <v>91</v>
      </c>
      <c r="D46" s="6">
        <v>1.0</v>
      </c>
      <c r="E46" s="6">
        <v>0.0</v>
      </c>
    </row>
    <row r="47" ht="15.75" customHeight="1">
      <c r="A47" s="4">
        <f t="shared" si="1"/>
        <v>46</v>
      </c>
      <c r="B47" s="5" t="s">
        <v>92</v>
      </c>
      <c r="C47" s="7" t="s">
        <v>93</v>
      </c>
      <c r="D47" s="6">
        <v>2.0</v>
      </c>
      <c r="E47" s="6">
        <v>0.0</v>
      </c>
    </row>
    <row r="48" ht="15.75" customHeight="1">
      <c r="A48" s="4">
        <f t="shared" si="1"/>
        <v>47</v>
      </c>
      <c r="B48" s="5" t="s">
        <v>94</v>
      </c>
      <c r="C48" s="5" t="s">
        <v>94</v>
      </c>
      <c r="D48" s="6">
        <v>2.0</v>
      </c>
      <c r="E48" s="6">
        <v>1.0</v>
      </c>
    </row>
    <row r="49" ht="15.75" customHeight="1">
      <c r="A49" s="4">
        <f t="shared" si="1"/>
        <v>48</v>
      </c>
      <c r="B49" s="5" t="s">
        <v>95</v>
      </c>
      <c r="C49" s="7" t="s">
        <v>96</v>
      </c>
      <c r="D49" s="6">
        <v>1.0</v>
      </c>
      <c r="E49" s="6">
        <v>0.0</v>
      </c>
    </row>
    <row r="50" ht="15.75" customHeight="1">
      <c r="A50" s="4">
        <f t="shared" si="1"/>
        <v>49</v>
      </c>
      <c r="B50" s="5" t="s">
        <v>97</v>
      </c>
      <c r="C50" s="7" t="s">
        <v>98</v>
      </c>
      <c r="D50" s="6">
        <v>1.0</v>
      </c>
      <c r="E50" s="6">
        <v>0.0</v>
      </c>
    </row>
    <row r="51" ht="15.75" customHeight="1">
      <c r="A51" s="4">
        <f t="shared" si="1"/>
        <v>50</v>
      </c>
      <c r="B51" s="5" t="s">
        <v>99</v>
      </c>
      <c r="C51" s="7" t="s">
        <v>100</v>
      </c>
      <c r="D51" s="6">
        <v>3.0</v>
      </c>
      <c r="E51" s="6">
        <v>0.0</v>
      </c>
    </row>
    <row r="52" ht="15.75" customHeight="1">
      <c r="A52" s="4">
        <f t="shared" si="1"/>
        <v>51</v>
      </c>
      <c r="B52" s="5" t="s">
        <v>101</v>
      </c>
      <c r="C52" s="7" t="s">
        <v>102</v>
      </c>
      <c r="D52" s="6">
        <v>1.0</v>
      </c>
      <c r="E52" s="6">
        <v>0.0</v>
      </c>
    </row>
    <row r="53" ht="15.75" customHeight="1">
      <c r="A53" s="4">
        <f t="shared" si="1"/>
        <v>52</v>
      </c>
      <c r="B53" s="5" t="s">
        <v>103</v>
      </c>
      <c r="C53" s="7" t="s">
        <v>104</v>
      </c>
      <c r="D53" s="6">
        <v>2.0</v>
      </c>
      <c r="E53" s="6">
        <v>0.0</v>
      </c>
    </row>
    <row r="54" ht="15.75" customHeight="1">
      <c r="A54" s="4">
        <f t="shared" si="1"/>
        <v>53</v>
      </c>
      <c r="B54" s="5" t="s">
        <v>105</v>
      </c>
      <c r="C54" s="7" t="s">
        <v>106</v>
      </c>
      <c r="D54" s="6">
        <v>2.0</v>
      </c>
      <c r="E54" s="6">
        <v>1.0</v>
      </c>
    </row>
    <row r="55" ht="15.75" customHeight="1">
      <c r="A55" s="4">
        <f t="shared" si="1"/>
        <v>54</v>
      </c>
      <c r="B55" s="5" t="s">
        <v>107</v>
      </c>
      <c r="C55" s="7" t="s">
        <v>108</v>
      </c>
      <c r="D55" s="6">
        <v>3.0</v>
      </c>
      <c r="E55" s="6">
        <v>1.0</v>
      </c>
    </row>
    <row r="56" ht="15.75" customHeight="1">
      <c r="A56" s="4">
        <f t="shared" si="1"/>
        <v>55</v>
      </c>
      <c r="B56" s="5" t="s">
        <v>109</v>
      </c>
      <c r="C56" s="7" t="s">
        <v>110</v>
      </c>
      <c r="D56" s="6">
        <v>3.0</v>
      </c>
      <c r="E56" s="6">
        <v>0.0</v>
      </c>
    </row>
    <row r="57" ht="15.75" customHeight="1">
      <c r="A57" s="4">
        <f t="shared" si="1"/>
        <v>56</v>
      </c>
      <c r="B57" s="5" t="s">
        <v>111</v>
      </c>
      <c r="C57" s="7" t="s">
        <v>112</v>
      </c>
      <c r="D57" s="6">
        <v>3.0</v>
      </c>
      <c r="E57" s="6">
        <v>0.0</v>
      </c>
    </row>
    <row r="58" ht="15.75" customHeight="1">
      <c r="A58" s="4">
        <f t="shared" si="1"/>
        <v>57</v>
      </c>
      <c r="B58" s="5" t="s">
        <v>113</v>
      </c>
      <c r="C58" s="7" t="s">
        <v>114</v>
      </c>
      <c r="D58" s="6">
        <v>2.0</v>
      </c>
      <c r="E58" s="6">
        <v>0.0</v>
      </c>
    </row>
    <row r="59" ht="15.75" customHeight="1">
      <c r="A59" s="4">
        <f t="shared" si="1"/>
        <v>58</v>
      </c>
      <c r="B59" s="5" t="s">
        <v>115</v>
      </c>
      <c r="C59" s="7" t="s">
        <v>116</v>
      </c>
      <c r="D59" s="6">
        <v>1.0</v>
      </c>
      <c r="E59" s="6">
        <v>0.0</v>
      </c>
    </row>
    <row r="60" ht="15.75" customHeight="1">
      <c r="A60" s="4">
        <f t="shared" si="1"/>
        <v>59</v>
      </c>
      <c r="B60" s="5" t="s">
        <v>117</v>
      </c>
      <c r="C60" s="7" t="s">
        <v>118</v>
      </c>
      <c r="D60" s="6">
        <v>1.0</v>
      </c>
      <c r="E60" s="6">
        <v>0.0</v>
      </c>
    </row>
    <row r="61" ht="15.75" customHeight="1">
      <c r="A61" s="4">
        <f t="shared" si="1"/>
        <v>60</v>
      </c>
      <c r="B61" s="5" t="s">
        <v>119</v>
      </c>
      <c r="C61" s="7" t="s">
        <v>120</v>
      </c>
      <c r="D61" s="6">
        <v>1.0</v>
      </c>
      <c r="E61" s="6">
        <v>0.0</v>
      </c>
    </row>
    <row r="62" ht="15.75" customHeight="1">
      <c r="A62" s="4">
        <f t="shared" si="1"/>
        <v>61</v>
      </c>
      <c r="B62" s="5" t="s">
        <v>121</v>
      </c>
      <c r="C62" s="7" t="s">
        <v>122</v>
      </c>
      <c r="D62" s="6">
        <v>3.0</v>
      </c>
      <c r="E62" s="6">
        <v>1.0</v>
      </c>
    </row>
    <row r="63" ht="15.75" customHeight="1">
      <c r="A63" s="4">
        <f t="shared" si="1"/>
        <v>62</v>
      </c>
      <c r="B63" s="5" t="s">
        <v>123</v>
      </c>
      <c r="C63" s="7" t="s">
        <v>124</v>
      </c>
      <c r="D63" s="6">
        <v>1.0</v>
      </c>
      <c r="E63" s="6">
        <v>0.0</v>
      </c>
    </row>
    <row r="64" ht="15.75" customHeight="1">
      <c r="A64" s="4">
        <f t="shared" si="1"/>
        <v>63</v>
      </c>
      <c r="B64" s="5" t="s">
        <v>125</v>
      </c>
      <c r="C64" s="7" t="s">
        <v>126</v>
      </c>
      <c r="D64" s="6">
        <v>3.0</v>
      </c>
      <c r="E64" s="6">
        <v>1.0</v>
      </c>
    </row>
    <row r="65" ht="15.75" customHeight="1">
      <c r="A65" s="4">
        <f t="shared" si="1"/>
        <v>64</v>
      </c>
      <c r="B65" s="5" t="s">
        <v>127</v>
      </c>
      <c r="C65" s="7" t="s">
        <v>128</v>
      </c>
      <c r="D65" s="6">
        <v>3.0</v>
      </c>
      <c r="E65" s="6">
        <v>1.0</v>
      </c>
    </row>
    <row r="66" ht="15.75" customHeight="1">
      <c r="A66" s="4">
        <f t="shared" si="1"/>
        <v>65</v>
      </c>
      <c r="B66" s="5" t="s">
        <v>129</v>
      </c>
      <c r="C66" s="7" t="s">
        <v>130</v>
      </c>
      <c r="D66" s="6">
        <v>3.0</v>
      </c>
      <c r="E66" s="6">
        <v>1.0</v>
      </c>
    </row>
    <row r="67" ht="15.75" customHeight="1">
      <c r="A67" s="4">
        <f t="shared" si="1"/>
        <v>66</v>
      </c>
      <c r="B67" s="5" t="s">
        <v>131</v>
      </c>
      <c r="C67" s="7" t="s">
        <v>132</v>
      </c>
      <c r="D67" s="6">
        <v>3.0</v>
      </c>
      <c r="E67" s="6">
        <v>0.0</v>
      </c>
    </row>
    <row r="68" ht="15.75" customHeight="1">
      <c r="A68" s="4">
        <f t="shared" si="1"/>
        <v>67</v>
      </c>
      <c r="B68" s="5" t="s">
        <v>133</v>
      </c>
      <c r="C68" s="7" t="s">
        <v>134</v>
      </c>
      <c r="D68" s="6">
        <v>3.0</v>
      </c>
      <c r="E68" s="6">
        <v>0.0</v>
      </c>
    </row>
    <row r="69" ht="15.75" customHeight="1">
      <c r="A69" s="4">
        <f t="shared" si="1"/>
        <v>68</v>
      </c>
      <c r="B69" s="5" t="s">
        <v>135</v>
      </c>
      <c r="C69" s="7" t="s">
        <v>136</v>
      </c>
      <c r="D69" s="6">
        <v>2.0</v>
      </c>
      <c r="E69" s="6">
        <v>1.0</v>
      </c>
    </row>
    <row r="70" ht="15.75" customHeight="1">
      <c r="A70" s="4">
        <f t="shared" si="1"/>
        <v>69</v>
      </c>
      <c r="B70" s="5" t="s">
        <v>137</v>
      </c>
      <c r="C70" s="7" t="s">
        <v>138</v>
      </c>
      <c r="D70" s="6">
        <v>3.0</v>
      </c>
      <c r="E70" s="6">
        <v>1.0</v>
      </c>
    </row>
    <row r="71" ht="15.75" customHeight="1">
      <c r="A71" s="4">
        <f t="shared" si="1"/>
        <v>70</v>
      </c>
      <c r="B71" s="5" t="s">
        <v>139</v>
      </c>
      <c r="C71" s="7" t="s">
        <v>140</v>
      </c>
      <c r="D71" s="6">
        <v>3.0</v>
      </c>
      <c r="E71" s="6">
        <v>1.0</v>
      </c>
    </row>
    <row r="72" ht="15.75" customHeight="1">
      <c r="A72" s="4">
        <f t="shared" si="1"/>
        <v>71</v>
      </c>
      <c r="B72" s="5" t="s">
        <v>141</v>
      </c>
      <c r="C72" s="7" t="s">
        <v>142</v>
      </c>
      <c r="D72" s="6">
        <v>3.0</v>
      </c>
      <c r="E72" s="6">
        <v>1.0</v>
      </c>
    </row>
    <row r="73" ht="15.75" customHeight="1">
      <c r="A73" s="4">
        <f t="shared" si="1"/>
        <v>72</v>
      </c>
      <c r="B73" s="5" t="s">
        <v>143</v>
      </c>
      <c r="C73" s="7" t="s">
        <v>144</v>
      </c>
      <c r="D73" s="6">
        <v>3.0</v>
      </c>
      <c r="E73" s="6">
        <v>1.0</v>
      </c>
    </row>
    <row r="74" ht="15.75" customHeight="1">
      <c r="A74" s="4">
        <f t="shared" si="1"/>
        <v>73</v>
      </c>
      <c r="B74" s="5" t="s">
        <v>145</v>
      </c>
      <c r="C74" s="7" t="s">
        <v>146</v>
      </c>
      <c r="D74" s="6">
        <v>1.0</v>
      </c>
      <c r="E74" s="6">
        <v>0.0</v>
      </c>
    </row>
    <row r="75" ht="15.75" customHeight="1">
      <c r="A75" s="4">
        <f t="shared" si="1"/>
        <v>74</v>
      </c>
      <c r="B75" s="5" t="s">
        <v>147</v>
      </c>
      <c r="C75" s="7" t="s">
        <v>148</v>
      </c>
      <c r="D75" s="6">
        <v>2.0</v>
      </c>
      <c r="E75" s="6">
        <v>1.0</v>
      </c>
    </row>
    <row r="76" ht="15.75" customHeight="1">
      <c r="A76" s="4">
        <f t="shared" si="1"/>
        <v>75</v>
      </c>
      <c r="B76" s="5" t="s">
        <v>149</v>
      </c>
      <c r="C76" s="7" t="s">
        <v>150</v>
      </c>
      <c r="D76" s="6">
        <v>2.0</v>
      </c>
      <c r="E76" s="6">
        <v>1.0</v>
      </c>
    </row>
    <row r="77" ht="15.75" customHeight="1">
      <c r="A77" s="4">
        <f t="shared" si="1"/>
        <v>76</v>
      </c>
      <c r="B77" s="5" t="s">
        <v>151</v>
      </c>
      <c r="C77" s="7" t="s">
        <v>152</v>
      </c>
      <c r="D77" s="6">
        <v>3.0</v>
      </c>
      <c r="E77" s="6">
        <v>0.0</v>
      </c>
    </row>
    <row r="78" ht="15.75" customHeight="1">
      <c r="A78" s="4">
        <f t="shared" si="1"/>
        <v>77</v>
      </c>
      <c r="B78" s="5" t="s">
        <v>153</v>
      </c>
      <c r="C78" s="7" t="s">
        <v>154</v>
      </c>
      <c r="D78" s="6">
        <v>3.0</v>
      </c>
      <c r="E78" s="6">
        <v>1.0</v>
      </c>
    </row>
    <row r="79" ht="15.75" customHeight="1">
      <c r="A79" s="4">
        <f t="shared" si="1"/>
        <v>78</v>
      </c>
      <c r="B79" s="5" t="s">
        <v>155</v>
      </c>
      <c r="C79" s="7" t="s">
        <v>156</v>
      </c>
      <c r="D79" s="6">
        <v>3.0</v>
      </c>
      <c r="E79" s="6">
        <v>0.0</v>
      </c>
    </row>
    <row r="80" ht="15.75" customHeight="1">
      <c r="A80" s="4">
        <f t="shared" si="1"/>
        <v>79</v>
      </c>
      <c r="B80" s="5" t="s">
        <v>157</v>
      </c>
      <c r="C80" s="7" t="s">
        <v>158</v>
      </c>
      <c r="D80" s="6">
        <v>3.0</v>
      </c>
      <c r="E80" s="6">
        <v>1.0</v>
      </c>
    </row>
    <row r="81" ht="15.75" customHeight="1">
      <c r="A81" s="4">
        <f t="shared" si="1"/>
        <v>80</v>
      </c>
      <c r="B81" s="5" t="s">
        <v>159</v>
      </c>
      <c r="C81" s="7" t="s">
        <v>160</v>
      </c>
      <c r="D81" s="6">
        <v>1.0</v>
      </c>
      <c r="E81" s="6">
        <v>0.0</v>
      </c>
    </row>
    <row r="82" ht="15.75" customHeight="1">
      <c r="A82" s="4">
        <f t="shared" si="1"/>
        <v>81</v>
      </c>
      <c r="B82" s="5" t="s">
        <v>161</v>
      </c>
      <c r="C82" s="7" t="s">
        <v>162</v>
      </c>
      <c r="D82" s="6">
        <v>2.0</v>
      </c>
      <c r="E82" s="6">
        <v>1.0</v>
      </c>
    </row>
    <row r="83" ht="15.75" customHeight="1">
      <c r="A83" s="4">
        <f t="shared" si="1"/>
        <v>82</v>
      </c>
      <c r="B83" s="5" t="s">
        <v>163</v>
      </c>
      <c r="C83" s="7" t="s">
        <v>164</v>
      </c>
      <c r="D83" s="6">
        <v>3.0</v>
      </c>
      <c r="E83" s="6">
        <v>1.0</v>
      </c>
    </row>
    <row r="84" ht="15.75" customHeight="1">
      <c r="A84" s="4">
        <f t="shared" si="1"/>
        <v>83</v>
      </c>
      <c r="B84" s="5" t="s">
        <v>165</v>
      </c>
      <c r="C84" s="7" t="s">
        <v>166</v>
      </c>
      <c r="D84" s="6">
        <v>2.0</v>
      </c>
      <c r="E84" s="6">
        <v>1.0</v>
      </c>
    </row>
    <row r="85" ht="15.75" customHeight="1">
      <c r="A85" s="4">
        <f t="shared" si="1"/>
        <v>84</v>
      </c>
      <c r="B85" s="5" t="s">
        <v>167</v>
      </c>
      <c r="C85" s="7" t="s">
        <v>168</v>
      </c>
      <c r="D85" s="6">
        <v>1.0</v>
      </c>
      <c r="E85" s="6">
        <v>0.0</v>
      </c>
    </row>
    <row r="86" ht="15.75" customHeight="1">
      <c r="A86" s="4">
        <f t="shared" si="1"/>
        <v>85</v>
      </c>
      <c r="B86" s="5" t="s">
        <v>169</v>
      </c>
      <c r="C86" s="7" t="s">
        <v>170</v>
      </c>
      <c r="D86" s="6">
        <v>3.0</v>
      </c>
      <c r="E86" s="6">
        <v>1.0</v>
      </c>
    </row>
    <row r="87" ht="15.75" customHeight="1">
      <c r="A87" s="4">
        <f t="shared" si="1"/>
        <v>86</v>
      </c>
      <c r="B87" s="5" t="s">
        <v>171</v>
      </c>
      <c r="C87" s="7" t="s">
        <v>172</v>
      </c>
      <c r="D87" s="6">
        <v>3.0</v>
      </c>
      <c r="E87" s="6">
        <v>0.0</v>
      </c>
    </row>
    <row r="88" ht="15.75" customHeight="1">
      <c r="A88" s="4">
        <f t="shared" si="1"/>
        <v>87</v>
      </c>
      <c r="B88" s="5" t="s">
        <v>173</v>
      </c>
      <c r="C88" s="7" t="s">
        <v>174</v>
      </c>
      <c r="D88" s="6">
        <v>1.0</v>
      </c>
      <c r="E88" s="6">
        <v>0.0</v>
      </c>
    </row>
    <row r="89" ht="15.75" customHeight="1">
      <c r="A89" s="4">
        <f t="shared" si="1"/>
        <v>88</v>
      </c>
      <c r="B89" s="5" t="s">
        <v>175</v>
      </c>
      <c r="C89" s="7" t="s">
        <v>176</v>
      </c>
      <c r="D89" s="6">
        <v>2.0</v>
      </c>
      <c r="E89" s="6">
        <v>1.0</v>
      </c>
    </row>
    <row r="90" ht="15.75" customHeight="1">
      <c r="A90" s="4">
        <f t="shared" si="1"/>
        <v>89</v>
      </c>
      <c r="B90" s="5" t="s">
        <v>177</v>
      </c>
      <c r="C90" s="7" t="s">
        <v>178</v>
      </c>
      <c r="D90" s="6">
        <v>1.0</v>
      </c>
      <c r="E90" s="6">
        <v>0.0</v>
      </c>
    </row>
    <row r="91" ht="15.75" customHeight="1">
      <c r="A91" s="4">
        <f t="shared" si="1"/>
        <v>90</v>
      </c>
      <c r="B91" s="5" t="s">
        <v>179</v>
      </c>
      <c r="C91" s="7" t="s">
        <v>180</v>
      </c>
      <c r="D91" s="6">
        <v>3.0</v>
      </c>
      <c r="E91" s="6">
        <v>0.0</v>
      </c>
    </row>
    <row r="92" ht="15.75" customHeight="1">
      <c r="A92" s="4">
        <f t="shared" si="1"/>
        <v>91</v>
      </c>
      <c r="B92" s="5" t="s">
        <v>181</v>
      </c>
      <c r="C92" s="7" t="s">
        <v>182</v>
      </c>
      <c r="D92" s="6">
        <v>3.0</v>
      </c>
      <c r="E92" s="6">
        <v>0.0</v>
      </c>
    </row>
    <row r="93" ht="15.75" customHeight="1">
      <c r="A93" s="4">
        <f t="shared" si="1"/>
        <v>92</v>
      </c>
      <c r="B93" s="5" t="s">
        <v>183</v>
      </c>
      <c r="C93" s="7" t="s">
        <v>184</v>
      </c>
      <c r="D93" s="6">
        <v>2.0</v>
      </c>
      <c r="E93" s="6">
        <v>0.0</v>
      </c>
    </row>
    <row r="94" ht="15.75" customHeight="1">
      <c r="A94" s="4">
        <f t="shared" si="1"/>
        <v>93</v>
      </c>
      <c r="B94" s="5" t="s">
        <v>185</v>
      </c>
      <c r="C94" s="7" t="s">
        <v>186</v>
      </c>
      <c r="D94" s="6">
        <v>2.0</v>
      </c>
      <c r="E94" s="6">
        <v>0.0</v>
      </c>
    </row>
    <row r="95" ht="15.75" customHeight="1">
      <c r="A95" s="4">
        <f t="shared" si="1"/>
        <v>94</v>
      </c>
      <c r="B95" s="5" t="s">
        <v>187</v>
      </c>
      <c r="C95" s="7" t="s">
        <v>188</v>
      </c>
      <c r="D95" s="6">
        <v>1.0</v>
      </c>
      <c r="E95" s="6">
        <v>1.0</v>
      </c>
    </row>
    <row r="96" ht="15.75" customHeight="1">
      <c r="A96" s="4">
        <f t="shared" si="1"/>
        <v>95</v>
      </c>
      <c r="B96" s="5" t="s">
        <v>189</v>
      </c>
      <c r="C96" s="7" t="s">
        <v>190</v>
      </c>
      <c r="D96" s="6">
        <v>3.0</v>
      </c>
      <c r="E96" s="6">
        <v>1.0</v>
      </c>
    </row>
    <row r="97" ht="15.75" customHeight="1">
      <c r="A97" s="4">
        <f t="shared" si="1"/>
        <v>96</v>
      </c>
      <c r="B97" s="5" t="s">
        <v>191</v>
      </c>
      <c r="C97" s="7" t="s">
        <v>192</v>
      </c>
      <c r="D97" s="6">
        <v>1.0</v>
      </c>
      <c r="E97" s="6">
        <v>0.0</v>
      </c>
    </row>
    <row r="98" ht="15.75" customHeight="1">
      <c r="A98" s="4">
        <f t="shared" si="1"/>
        <v>97</v>
      </c>
      <c r="B98" s="5" t="s">
        <v>193</v>
      </c>
      <c r="C98" s="7" t="s">
        <v>194</v>
      </c>
      <c r="D98" s="6">
        <v>2.0</v>
      </c>
      <c r="E98" s="6">
        <v>1.0</v>
      </c>
    </row>
    <row r="99" ht="15.75" customHeight="1">
      <c r="A99" s="4">
        <f t="shared" si="1"/>
        <v>98</v>
      </c>
      <c r="B99" s="5" t="s">
        <v>195</v>
      </c>
      <c r="C99" s="7" t="s">
        <v>196</v>
      </c>
      <c r="D99" s="6">
        <v>3.0</v>
      </c>
      <c r="E99" s="6">
        <v>0.0</v>
      </c>
    </row>
    <row r="100" ht="15.75" customHeight="1">
      <c r="A100" s="4">
        <f t="shared" si="1"/>
        <v>99</v>
      </c>
      <c r="B100" s="5" t="s">
        <v>197</v>
      </c>
      <c r="C100" s="7" t="s">
        <v>198</v>
      </c>
      <c r="D100" s="6">
        <v>3.0</v>
      </c>
      <c r="E100" s="6">
        <v>1.0</v>
      </c>
    </row>
    <row r="101" ht="15.75" customHeight="1">
      <c r="A101" s="4">
        <f t="shared" si="1"/>
        <v>100</v>
      </c>
      <c r="B101" s="5" t="s">
        <v>199</v>
      </c>
      <c r="C101" s="7" t="s">
        <v>200</v>
      </c>
      <c r="D101" s="6">
        <v>3.0</v>
      </c>
      <c r="E101" s="6">
        <v>1.0</v>
      </c>
    </row>
    <row r="102" ht="15.75" customHeight="1">
      <c r="A102" s="4">
        <f t="shared" si="1"/>
        <v>101</v>
      </c>
      <c r="B102" s="5" t="s">
        <v>201</v>
      </c>
      <c r="C102" s="7" t="s">
        <v>202</v>
      </c>
      <c r="D102" s="6">
        <v>3.0</v>
      </c>
      <c r="E102" s="6">
        <v>1.0</v>
      </c>
    </row>
    <row r="103" ht="15.75" customHeight="1">
      <c r="A103" s="4">
        <f t="shared" si="1"/>
        <v>102</v>
      </c>
      <c r="B103" s="5" t="s">
        <v>203</v>
      </c>
      <c r="C103" s="7" t="s">
        <v>204</v>
      </c>
      <c r="D103" s="6">
        <v>3.0</v>
      </c>
      <c r="E103" s="6">
        <v>1.0</v>
      </c>
    </row>
    <row r="104" ht="15.75" customHeight="1">
      <c r="A104" s="4">
        <f t="shared" si="1"/>
        <v>103</v>
      </c>
      <c r="B104" s="5" t="s">
        <v>205</v>
      </c>
      <c r="C104" s="7" t="s">
        <v>206</v>
      </c>
      <c r="D104" s="6">
        <v>3.0</v>
      </c>
      <c r="E104" s="6">
        <v>0.0</v>
      </c>
    </row>
    <row r="105" ht="15.75" customHeight="1">
      <c r="A105" s="4">
        <f t="shared" si="1"/>
        <v>104</v>
      </c>
      <c r="B105" s="5" t="s">
        <v>207</v>
      </c>
      <c r="C105" s="7" t="s">
        <v>208</v>
      </c>
      <c r="D105" s="6">
        <v>3.0</v>
      </c>
      <c r="E105" s="6">
        <v>1.0</v>
      </c>
    </row>
    <row r="106" ht="15.75" customHeight="1">
      <c r="A106" s="4">
        <f t="shared" si="1"/>
        <v>105</v>
      </c>
      <c r="B106" s="5" t="s">
        <v>209</v>
      </c>
      <c r="C106" s="7" t="s">
        <v>210</v>
      </c>
      <c r="D106" s="6">
        <v>3.0</v>
      </c>
      <c r="E106" s="6">
        <v>1.0</v>
      </c>
    </row>
    <row r="107" ht="15.75" customHeight="1">
      <c r="A107" s="4">
        <f t="shared" si="1"/>
        <v>106</v>
      </c>
      <c r="B107" s="5" t="s">
        <v>211</v>
      </c>
      <c r="C107" s="7" t="s">
        <v>212</v>
      </c>
      <c r="D107" s="6">
        <v>1.0</v>
      </c>
      <c r="E107" s="6">
        <v>0.0</v>
      </c>
    </row>
    <row r="108" ht="15.75" customHeight="1">
      <c r="A108" s="4">
        <f t="shared" si="1"/>
        <v>107</v>
      </c>
      <c r="B108" s="5" t="s">
        <v>213</v>
      </c>
      <c r="C108" s="7" t="s">
        <v>214</v>
      </c>
      <c r="D108" s="6">
        <v>2.0</v>
      </c>
      <c r="E108" s="6">
        <v>0.0</v>
      </c>
    </row>
    <row r="109" ht="15.75" customHeight="1">
      <c r="A109" s="4">
        <f t="shared" si="1"/>
        <v>108</v>
      </c>
      <c r="B109" s="5" t="s">
        <v>215</v>
      </c>
      <c r="C109" s="7" t="s">
        <v>216</v>
      </c>
      <c r="D109" s="6">
        <v>2.0</v>
      </c>
      <c r="E109" s="6">
        <v>1.0</v>
      </c>
    </row>
    <row r="110" ht="15.75" customHeight="1">
      <c r="A110" s="4">
        <f t="shared" si="1"/>
        <v>109</v>
      </c>
      <c r="B110" s="5" t="s">
        <v>217</v>
      </c>
      <c r="C110" s="7" t="s">
        <v>218</v>
      </c>
      <c r="D110" s="6">
        <v>2.0</v>
      </c>
      <c r="E110" s="6">
        <v>0.0</v>
      </c>
    </row>
    <row r="111" ht="15.75" customHeight="1">
      <c r="A111" s="4">
        <f t="shared" si="1"/>
        <v>110</v>
      </c>
      <c r="B111" s="5" t="s">
        <v>219</v>
      </c>
      <c r="C111" s="7" t="s">
        <v>220</v>
      </c>
      <c r="D111" s="6">
        <v>3.0</v>
      </c>
      <c r="E111" s="6">
        <v>0.0</v>
      </c>
    </row>
    <row r="112" ht="15.75" customHeight="1">
      <c r="A112" s="4">
        <f t="shared" si="1"/>
        <v>111</v>
      </c>
      <c r="B112" s="5" t="s">
        <v>221</v>
      </c>
      <c r="C112" s="7" t="s">
        <v>222</v>
      </c>
      <c r="D112" s="6">
        <v>3.0</v>
      </c>
      <c r="E112" s="6">
        <v>1.0</v>
      </c>
    </row>
    <row r="113" ht="15.75" customHeight="1">
      <c r="A113" s="4">
        <f t="shared" si="1"/>
        <v>112</v>
      </c>
      <c r="B113" s="5" t="s">
        <v>223</v>
      </c>
      <c r="C113" s="7" t="s">
        <v>224</v>
      </c>
      <c r="D113" s="6">
        <v>3.0</v>
      </c>
      <c r="E113" s="6">
        <v>1.0</v>
      </c>
    </row>
    <row r="114" ht="15.75" customHeight="1">
      <c r="A114" s="4">
        <f t="shared" si="1"/>
        <v>113</v>
      </c>
      <c r="B114" s="5" t="s">
        <v>225</v>
      </c>
      <c r="C114" s="7" t="s">
        <v>226</v>
      </c>
      <c r="D114" s="6">
        <v>1.0</v>
      </c>
      <c r="E114" s="6">
        <v>1.0</v>
      </c>
    </row>
    <row r="115" ht="15.75" customHeight="1">
      <c r="A115" s="4">
        <f t="shared" si="1"/>
        <v>114</v>
      </c>
      <c r="B115" s="5" t="s">
        <v>227</v>
      </c>
      <c r="C115" s="7" t="s">
        <v>228</v>
      </c>
      <c r="D115" s="6">
        <v>2.0</v>
      </c>
      <c r="E115" s="6">
        <v>1.0</v>
      </c>
    </row>
    <row r="116" ht="15.75" customHeight="1">
      <c r="A116" s="4">
        <f t="shared" si="1"/>
        <v>115</v>
      </c>
      <c r="B116" s="5" t="s">
        <v>229</v>
      </c>
      <c r="C116" s="7" t="s">
        <v>230</v>
      </c>
      <c r="D116" s="6">
        <v>2.0</v>
      </c>
      <c r="E116" s="6">
        <v>1.0</v>
      </c>
    </row>
    <row r="117" ht="15.75" customHeight="1">
      <c r="A117" s="4">
        <f t="shared" si="1"/>
        <v>116</v>
      </c>
      <c r="B117" s="5" t="s">
        <v>231</v>
      </c>
      <c r="C117" s="7" t="s">
        <v>232</v>
      </c>
      <c r="D117" s="6">
        <v>2.0</v>
      </c>
      <c r="E117" s="6">
        <v>1.0</v>
      </c>
    </row>
    <row r="118" ht="15.75" customHeight="1">
      <c r="A118" s="4">
        <f t="shared" si="1"/>
        <v>117</v>
      </c>
      <c r="B118" s="5" t="s">
        <v>233</v>
      </c>
      <c r="C118" s="7" t="s">
        <v>234</v>
      </c>
      <c r="D118" s="6">
        <v>1.0</v>
      </c>
      <c r="E118" s="6">
        <v>0.0</v>
      </c>
    </row>
    <row r="119" ht="15.75" customHeight="1">
      <c r="A119" s="4">
        <f t="shared" si="1"/>
        <v>118</v>
      </c>
      <c r="B119" s="5" t="s">
        <v>235</v>
      </c>
      <c r="C119" s="5" t="s">
        <v>235</v>
      </c>
      <c r="D119" s="6">
        <v>1.0</v>
      </c>
      <c r="E119" s="6">
        <v>0.0</v>
      </c>
    </row>
    <row r="120" ht="15.75" customHeight="1">
      <c r="A120" s="4">
        <f t="shared" si="1"/>
        <v>119</v>
      </c>
      <c r="B120" s="5" t="s">
        <v>236</v>
      </c>
      <c r="C120" s="7" t="s">
        <v>237</v>
      </c>
      <c r="D120" s="6">
        <v>3.0</v>
      </c>
      <c r="E120" s="6">
        <v>0.0</v>
      </c>
    </row>
    <row r="121" ht="15.75" customHeight="1">
      <c r="A121" s="4">
        <f t="shared" si="1"/>
        <v>120</v>
      </c>
      <c r="B121" s="5" t="s">
        <v>238</v>
      </c>
      <c r="C121" s="7" t="s">
        <v>239</v>
      </c>
      <c r="D121" s="6">
        <v>3.0</v>
      </c>
      <c r="E121" s="6">
        <v>1.0</v>
      </c>
    </row>
    <row r="122" ht="15.75" customHeight="1">
      <c r="A122" s="4">
        <f t="shared" si="1"/>
        <v>121</v>
      </c>
      <c r="B122" s="5" t="s">
        <v>240</v>
      </c>
      <c r="C122" s="7" t="s">
        <v>241</v>
      </c>
      <c r="D122" s="6">
        <v>2.0</v>
      </c>
      <c r="E122" s="6">
        <v>1.0</v>
      </c>
    </row>
    <row r="123" ht="15.75" customHeight="1">
      <c r="A123" s="4">
        <f t="shared" si="1"/>
        <v>122</v>
      </c>
      <c r="B123" s="5" t="s">
        <v>242</v>
      </c>
      <c r="C123" s="7" t="s">
        <v>243</v>
      </c>
      <c r="D123" s="6">
        <v>3.0</v>
      </c>
      <c r="E123" s="6">
        <v>1.0</v>
      </c>
    </row>
    <row r="124" ht="15.75" customHeight="1">
      <c r="A124" s="4">
        <f t="shared" si="1"/>
        <v>123</v>
      </c>
      <c r="B124" s="5" t="s">
        <v>244</v>
      </c>
      <c r="C124" s="7" t="s">
        <v>245</v>
      </c>
      <c r="D124" s="6">
        <v>1.0</v>
      </c>
      <c r="E124" s="6">
        <v>0.0</v>
      </c>
    </row>
    <row r="125" ht="15.75" customHeight="1">
      <c r="A125" s="4">
        <f t="shared" si="1"/>
        <v>124</v>
      </c>
      <c r="B125" s="5" t="s">
        <v>246</v>
      </c>
      <c r="C125" s="7" t="s">
        <v>247</v>
      </c>
      <c r="D125" s="6">
        <v>2.0</v>
      </c>
      <c r="E125" s="6">
        <v>1.0</v>
      </c>
    </row>
    <row r="126" ht="15.75" customHeight="1">
      <c r="A126" s="4">
        <f t="shared" si="1"/>
        <v>125</v>
      </c>
      <c r="B126" s="5" t="s">
        <v>248</v>
      </c>
      <c r="C126" s="7" t="s">
        <v>249</v>
      </c>
      <c r="D126" s="6">
        <v>2.0</v>
      </c>
      <c r="E126" s="6">
        <v>1.0</v>
      </c>
    </row>
    <row r="127" ht="15.75" customHeight="1">
      <c r="A127" s="4">
        <f t="shared" si="1"/>
        <v>126</v>
      </c>
      <c r="B127" s="5" t="s">
        <v>250</v>
      </c>
      <c r="C127" s="7" t="s">
        <v>251</v>
      </c>
      <c r="D127" s="6">
        <v>3.0</v>
      </c>
      <c r="E127" s="6">
        <v>1.0</v>
      </c>
    </row>
    <row r="128" ht="15.75" customHeight="1">
      <c r="A128" s="4">
        <f t="shared" si="1"/>
        <v>127</v>
      </c>
      <c r="B128" s="5" t="s">
        <v>252</v>
      </c>
      <c r="C128" s="7" t="s">
        <v>253</v>
      </c>
      <c r="D128" s="6">
        <v>3.0</v>
      </c>
      <c r="E128" s="6">
        <v>1.0</v>
      </c>
    </row>
    <row r="129" ht="15.75" customHeight="1">
      <c r="A129" s="4">
        <f t="shared" si="1"/>
        <v>128</v>
      </c>
      <c r="B129" s="5" t="s">
        <v>254</v>
      </c>
      <c r="C129" s="7" t="s">
        <v>255</v>
      </c>
      <c r="D129" s="6">
        <v>3.0</v>
      </c>
      <c r="E129" s="6">
        <v>1.0</v>
      </c>
    </row>
    <row r="130" ht="15.75" customHeight="1">
      <c r="A130" s="4">
        <f t="shared" si="1"/>
        <v>129</v>
      </c>
      <c r="B130" s="5" t="s">
        <v>256</v>
      </c>
      <c r="C130" s="7" t="s">
        <v>257</v>
      </c>
      <c r="D130" s="6">
        <v>3.0</v>
      </c>
      <c r="E130" s="6">
        <v>1.0</v>
      </c>
    </row>
    <row r="131" ht="15.75" customHeight="1">
      <c r="A131" s="4">
        <f t="shared" si="1"/>
        <v>130</v>
      </c>
      <c r="B131" s="5" t="s">
        <v>258</v>
      </c>
      <c r="C131" s="7" t="s">
        <v>259</v>
      </c>
      <c r="D131" s="6">
        <v>3.0</v>
      </c>
      <c r="E131" s="6">
        <v>1.0</v>
      </c>
    </row>
    <row r="132" ht="15.75" customHeight="1">
      <c r="A132" s="4">
        <f t="shared" si="1"/>
        <v>131</v>
      </c>
      <c r="B132" s="5" t="s">
        <v>260</v>
      </c>
      <c r="C132" s="7" t="s">
        <v>261</v>
      </c>
      <c r="D132" s="6">
        <v>2.0</v>
      </c>
      <c r="E132" s="6">
        <v>1.0</v>
      </c>
    </row>
    <row r="133" ht="15.75" customHeight="1">
      <c r="A133" s="4">
        <f t="shared" si="1"/>
        <v>132</v>
      </c>
      <c r="B133" s="5" t="s">
        <v>262</v>
      </c>
      <c r="C133" s="7" t="s">
        <v>263</v>
      </c>
      <c r="D133" s="6">
        <v>3.0</v>
      </c>
      <c r="E133" s="6">
        <v>1.0</v>
      </c>
    </row>
    <row r="134" ht="15.75" customHeight="1">
      <c r="A134" s="4">
        <f t="shared" si="1"/>
        <v>133</v>
      </c>
      <c r="B134" s="5" t="s">
        <v>264</v>
      </c>
      <c r="C134" s="5" t="s">
        <v>264</v>
      </c>
      <c r="D134" s="6">
        <v>2.0</v>
      </c>
      <c r="E134" s="6">
        <v>0.0</v>
      </c>
    </row>
    <row r="135" ht="15.75" customHeight="1">
      <c r="A135" s="4">
        <f t="shared" si="1"/>
        <v>134</v>
      </c>
      <c r="B135" s="5" t="s">
        <v>265</v>
      </c>
      <c r="C135" s="7" t="s">
        <v>266</v>
      </c>
      <c r="D135" s="6">
        <v>1.0</v>
      </c>
      <c r="E135" s="6">
        <v>0.0</v>
      </c>
    </row>
    <row r="136" ht="15.75" customHeight="1">
      <c r="A136" s="4">
        <f t="shared" si="1"/>
        <v>135</v>
      </c>
      <c r="B136" s="5" t="s">
        <v>267</v>
      </c>
      <c r="C136" s="7" t="s">
        <v>268</v>
      </c>
      <c r="D136" s="6">
        <v>2.0</v>
      </c>
      <c r="E136" s="6">
        <v>1.0</v>
      </c>
    </row>
    <row r="137" ht="15.75" customHeight="1">
      <c r="A137" s="4">
        <f t="shared" si="1"/>
        <v>136</v>
      </c>
      <c r="B137" s="5" t="s">
        <v>269</v>
      </c>
      <c r="C137" s="7" t="s">
        <v>270</v>
      </c>
      <c r="D137" s="6">
        <v>2.0</v>
      </c>
      <c r="E137" s="6">
        <v>1.0</v>
      </c>
    </row>
    <row r="138" ht="15.75" customHeight="1">
      <c r="A138" s="4">
        <f t="shared" si="1"/>
        <v>137</v>
      </c>
      <c r="B138" s="5" t="s">
        <v>271</v>
      </c>
      <c r="C138" s="7" t="s">
        <v>272</v>
      </c>
      <c r="D138" s="6">
        <v>1.0</v>
      </c>
      <c r="E138" s="6">
        <v>0.0</v>
      </c>
    </row>
    <row r="139" ht="15.75" customHeight="1">
      <c r="A139" s="4">
        <f t="shared" si="1"/>
        <v>138</v>
      </c>
      <c r="B139" s="5" t="s">
        <v>273</v>
      </c>
      <c r="C139" s="7" t="s">
        <v>274</v>
      </c>
      <c r="D139" s="6">
        <v>3.0</v>
      </c>
      <c r="E139" s="6">
        <v>1.0</v>
      </c>
    </row>
    <row r="140" ht="15.75" customHeight="1">
      <c r="A140" s="4">
        <f t="shared" si="1"/>
        <v>139</v>
      </c>
      <c r="B140" s="5" t="s">
        <v>275</v>
      </c>
      <c r="C140" s="7" t="s">
        <v>276</v>
      </c>
      <c r="D140" s="6">
        <v>1.0</v>
      </c>
      <c r="E140" s="6">
        <v>1.0</v>
      </c>
    </row>
    <row r="141" ht="15.75" customHeight="1">
      <c r="A141" s="4">
        <f t="shared" si="1"/>
        <v>140</v>
      </c>
      <c r="B141" s="5" t="s">
        <v>277</v>
      </c>
      <c r="C141" s="7" t="s">
        <v>278</v>
      </c>
      <c r="D141" s="6">
        <v>1.0</v>
      </c>
      <c r="E141" s="6">
        <v>1.0</v>
      </c>
    </row>
    <row r="142" ht="15.75" customHeight="1">
      <c r="A142" s="4">
        <f t="shared" si="1"/>
        <v>141</v>
      </c>
      <c r="B142" s="5" t="s">
        <v>279</v>
      </c>
      <c r="C142" s="7" t="s">
        <v>280</v>
      </c>
      <c r="D142" s="6">
        <v>2.0</v>
      </c>
      <c r="E142" s="6">
        <v>0.0</v>
      </c>
    </row>
    <row r="143" ht="15.75" customHeight="1">
      <c r="A143" s="4">
        <f t="shared" si="1"/>
        <v>142</v>
      </c>
      <c r="B143" s="5" t="s">
        <v>281</v>
      </c>
      <c r="C143" s="7" t="s">
        <v>282</v>
      </c>
      <c r="D143" s="6">
        <v>3.0</v>
      </c>
      <c r="E143" s="6">
        <v>1.0</v>
      </c>
    </row>
    <row r="144" ht="15.75" customHeight="1">
      <c r="A144" s="4">
        <f t="shared" si="1"/>
        <v>143</v>
      </c>
      <c r="B144" s="5" t="s">
        <v>283</v>
      </c>
      <c r="C144" s="7" t="s">
        <v>284</v>
      </c>
      <c r="D144" s="6">
        <v>2.0</v>
      </c>
      <c r="E144" s="6">
        <v>0.0</v>
      </c>
    </row>
    <row r="145" ht="15.75" customHeight="1">
      <c r="A145" s="4">
        <f t="shared" si="1"/>
        <v>144</v>
      </c>
      <c r="B145" s="5" t="s">
        <v>285</v>
      </c>
      <c r="C145" s="7" t="s">
        <v>286</v>
      </c>
      <c r="D145" s="6">
        <v>3.0</v>
      </c>
      <c r="E145" s="6">
        <v>1.0</v>
      </c>
    </row>
    <row r="146" ht="15.75" customHeight="1">
      <c r="A146" s="4">
        <f t="shared" si="1"/>
        <v>145</v>
      </c>
      <c r="B146" s="5" t="s">
        <v>287</v>
      </c>
      <c r="C146" s="7" t="s">
        <v>288</v>
      </c>
      <c r="D146" s="6">
        <v>1.0</v>
      </c>
      <c r="E146" s="6">
        <v>0.0</v>
      </c>
    </row>
    <row r="147" ht="15.75" customHeight="1">
      <c r="A147" s="4">
        <f t="shared" si="1"/>
        <v>146</v>
      </c>
      <c r="B147" s="5" t="s">
        <v>289</v>
      </c>
      <c r="C147" s="7" t="s">
        <v>290</v>
      </c>
      <c r="D147" s="6">
        <v>1.0</v>
      </c>
      <c r="E147" s="6">
        <v>1.0</v>
      </c>
    </row>
    <row r="148" ht="15.75" customHeight="1">
      <c r="A148" s="4">
        <f t="shared" si="1"/>
        <v>147</v>
      </c>
      <c r="B148" s="5" t="s">
        <v>291</v>
      </c>
      <c r="C148" s="7" t="s">
        <v>292</v>
      </c>
      <c r="D148" s="6">
        <v>3.0</v>
      </c>
      <c r="E148" s="6">
        <v>1.0</v>
      </c>
    </row>
    <row r="149" ht="15.75" customHeight="1">
      <c r="A149" s="4">
        <f t="shared" si="1"/>
        <v>148</v>
      </c>
      <c r="B149" s="5" t="s">
        <v>293</v>
      </c>
      <c r="C149" s="7" t="s">
        <v>294</v>
      </c>
      <c r="D149" s="6">
        <v>2.0</v>
      </c>
      <c r="E149" s="6">
        <v>1.0</v>
      </c>
    </row>
    <row r="150" ht="15.75" customHeight="1">
      <c r="A150" s="4">
        <f t="shared" si="1"/>
        <v>149</v>
      </c>
      <c r="B150" s="5" t="s">
        <v>295</v>
      </c>
      <c r="C150" s="7" t="s">
        <v>296</v>
      </c>
      <c r="D150" s="6">
        <v>3.0</v>
      </c>
      <c r="E150" s="6">
        <v>1.0</v>
      </c>
    </row>
    <row r="151" ht="15.75" customHeight="1">
      <c r="A151" s="4">
        <f t="shared" si="1"/>
        <v>150</v>
      </c>
      <c r="B151" s="5" t="s">
        <v>297</v>
      </c>
      <c r="C151" s="7" t="s">
        <v>298</v>
      </c>
      <c r="D151" s="6">
        <v>1.0</v>
      </c>
      <c r="E151" s="6">
        <v>1.0</v>
      </c>
    </row>
    <row r="152" ht="15.75" customHeight="1">
      <c r="A152" s="4">
        <f t="shared" si="1"/>
        <v>151</v>
      </c>
      <c r="B152" s="5" t="s">
        <v>299</v>
      </c>
      <c r="C152" s="7" t="s">
        <v>300</v>
      </c>
      <c r="D152" s="6">
        <v>3.0</v>
      </c>
      <c r="E152" s="6">
        <v>0.0</v>
      </c>
    </row>
    <row r="153" ht="15.75" customHeight="1">
      <c r="A153" s="4">
        <f t="shared" si="1"/>
        <v>152</v>
      </c>
      <c r="B153" s="5" t="s">
        <v>301</v>
      </c>
      <c r="C153" s="7" t="s">
        <v>302</v>
      </c>
      <c r="D153" s="6">
        <v>3.0</v>
      </c>
      <c r="E153" s="6">
        <v>1.0</v>
      </c>
    </row>
    <row r="154" ht="15.75" customHeight="1">
      <c r="A154" s="4">
        <f t="shared" si="1"/>
        <v>153</v>
      </c>
      <c r="B154" s="5" t="s">
        <v>303</v>
      </c>
      <c r="C154" s="7" t="s">
        <v>304</v>
      </c>
      <c r="D154" s="6">
        <v>3.0</v>
      </c>
      <c r="E154" s="6">
        <v>0.0</v>
      </c>
    </row>
    <row r="155" ht="15.75" customHeight="1">
      <c r="A155" s="4">
        <f t="shared" si="1"/>
        <v>154</v>
      </c>
      <c r="B155" s="5" t="s">
        <v>305</v>
      </c>
      <c r="C155" s="7" t="s">
        <v>306</v>
      </c>
      <c r="D155" s="6">
        <v>1.0</v>
      </c>
      <c r="E155" s="6">
        <v>0.0</v>
      </c>
    </row>
    <row r="156" ht="15.75" customHeight="1">
      <c r="A156" s="4">
        <f t="shared" si="1"/>
        <v>155</v>
      </c>
      <c r="B156" s="5" t="s">
        <v>307</v>
      </c>
      <c r="C156" s="7" t="s">
        <v>308</v>
      </c>
      <c r="D156" s="6">
        <v>1.0</v>
      </c>
      <c r="E156" s="6">
        <v>0.0</v>
      </c>
    </row>
    <row r="157" ht="15.75" customHeight="1">
      <c r="A157" s="4">
        <f t="shared" si="1"/>
        <v>156</v>
      </c>
      <c r="B157" s="5" t="s">
        <v>309</v>
      </c>
      <c r="C157" s="7" t="s">
        <v>310</v>
      </c>
      <c r="D157" s="6">
        <v>2.0</v>
      </c>
      <c r="E157" s="6">
        <v>1.0</v>
      </c>
    </row>
    <row r="158" ht="15.75" customHeight="1">
      <c r="A158" s="4">
        <f t="shared" si="1"/>
        <v>157</v>
      </c>
      <c r="B158" s="5" t="s">
        <v>311</v>
      </c>
      <c r="C158" s="7" t="s">
        <v>312</v>
      </c>
      <c r="D158" s="6">
        <v>2.0</v>
      </c>
      <c r="E158" s="6">
        <v>1.0</v>
      </c>
    </row>
    <row r="159" ht="15.75" customHeight="1">
      <c r="A159" s="4">
        <f t="shared" si="1"/>
        <v>158</v>
      </c>
      <c r="B159" s="5" t="s">
        <v>313</v>
      </c>
      <c r="C159" s="7" t="s">
        <v>314</v>
      </c>
      <c r="D159" s="6">
        <v>1.0</v>
      </c>
      <c r="E159" s="6">
        <v>0.0</v>
      </c>
    </row>
    <row r="160" ht="15.75" customHeight="1">
      <c r="A160" s="4">
        <f t="shared" si="1"/>
        <v>159</v>
      </c>
      <c r="B160" s="5" t="s">
        <v>315</v>
      </c>
      <c r="C160" s="7" t="s">
        <v>316</v>
      </c>
      <c r="D160" s="6">
        <v>1.0</v>
      </c>
      <c r="E160" s="6">
        <v>0.0</v>
      </c>
    </row>
    <row r="161" ht="15.75" customHeight="1">
      <c r="A161" s="4">
        <f t="shared" si="1"/>
        <v>160</v>
      </c>
      <c r="B161" s="5" t="s">
        <v>317</v>
      </c>
      <c r="C161" s="7" t="s">
        <v>318</v>
      </c>
      <c r="D161" s="6">
        <v>1.0</v>
      </c>
      <c r="E161" s="6">
        <v>0.0</v>
      </c>
    </row>
    <row r="162" ht="15.75" customHeight="1">
      <c r="A162" s="4">
        <f t="shared" si="1"/>
        <v>161</v>
      </c>
      <c r="B162" s="5" t="s">
        <v>319</v>
      </c>
      <c r="C162" s="7" t="s">
        <v>320</v>
      </c>
      <c r="D162" s="6">
        <v>1.0</v>
      </c>
      <c r="E162" s="6">
        <v>0.0</v>
      </c>
    </row>
    <row r="163" ht="15.75" customHeight="1">
      <c r="A163" s="4">
        <f t="shared" si="1"/>
        <v>162</v>
      </c>
      <c r="B163" s="5" t="s">
        <v>321</v>
      </c>
      <c r="C163" s="7" t="s">
        <v>322</v>
      </c>
      <c r="D163" s="6">
        <v>1.0</v>
      </c>
      <c r="E163" s="6">
        <v>0.0</v>
      </c>
    </row>
    <row r="164" ht="15.75" customHeight="1">
      <c r="A164" s="4">
        <f t="shared" si="1"/>
        <v>163</v>
      </c>
      <c r="B164" s="5" t="s">
        <v>323</v>
      </c>
      <c r="C164" s="7" t="s">
        <v>324</v>
      </c>
      <c r="D164" s="6">
        <v>3.0</v>
      </c>
      <c r="E164" s="6">
        <v>1.0</v>
      </c>
    </row>
    <row r="165" ht="15.75" customHeight="1">
      <c r="A165" s="4">
        <f t="shared" si="1"/>
        <v>164</v>
      </c>
      <c r="B165" s="5" t="s">
        <v>325</v>
      </c>
      <c r="C165" s="7" t="s">
        <v>325</v>
      </c>
      <c r="D165" s="6">
        <v>1.0</v>
      </c>
      <c r="E165" s="6">
        <v>0.0</v>
      </c>
    </row>
    <row r="166" ht="15.75" customHeight="1">
      <c r="A166" s="4">
        <f t="shared" si="1"/>
        <v>165</v>
      </c>
      <c r="B166" s="5" t="s">
        <v>326</v>
      </c>
      <c r="C166" s="7" t="s">
        <v>327</v>
      </c>
      <c r="D166" s="6">
        <v>3.0</v>
      </c>
      <c r="E166" s="6">
        <v>1.0</v>
      </c>
    </row>
    <row r="167" ht="15.75" customHeight="1">
      <c r="A167" s="4">
        <f t="shared" si="1"/>
        <v>166</v>
      </c>
      <c r="B167" s="5" t="s">
        <v>328</v>
      </c>
      <c r="C167" s="7" t="s">
        <v>329</v>
      </c>
      <c r="D167" s="6">
        <v>1.0</v>
      </c>
      <c r="E167" s="6">
        <v>0.0</v>
      </c>
    </row>
    <row r="168" ht="15.75" customHeight="1">
      <c r="A168" s="4">
        <f t="shared" si="1"/>
        <v>167</v>
      </c>
      <c r="B168" s="5" t="s">
        <v>330</v>
      </c>
      <c r="C168" s="7" t="s">
        <v>331</v>
      </c>
      <c r="D168" s="6">
        <v>1.0</v>
      </c>
      <c r="E168" s="6">
        <v>0.0</v>
      </c>
    </row>
    <row r="169" ht="15.75" customHeight="1">
      <c r="A169" s="4">
        <f t="shared" si="1"/>
        <v>168</v>
      </c>
      <c r="B169" s="5" t="s">
        <v>332</v>
      </c>
      <c r="C169" s="7" t="s">
        <v>333</v>
      </c>
      <c r="D169" s="6">
        <v>2.0</v>
      </c>
      <c r="E169" s="6">
        <v>0.0</v>
      </c>
    </row>
    <row r="170" ht="15.75" customHeight="1">
      <c r="A170" s="4">
        <f t="shared" si="1"/>
        <v>169</v>
      </c>
      <c r="B170" s="5" t="s">
        <v>334</v>
      </c>
      <c r="C170" s="7" t="s">
        <v>335</v>
      </c>
      <c r="D170" s="6">
        <v>3.0</v>
      </c>
      <c r="E170" s="6">
        <v>1.0</v>
      </c>
    </row>
    <row r="171" ht="15.75" customHeight="1">
      <c r="A171" s="4">
        <f t="shared" si="1"/>
        <v>170</v>
      </c>
      <c r="B171" s="5" t="s">
        <v>336</v>
      </c>
      <c r="C171" s="7" t="s">
        <v>337</v>
      </c>
      <c r="D171" s="6">
        <v>1.0</v>
      </c>
      <c r="E171" s="6">
        <v>0.0</v>
      </c>
    </row>
    <row r="172" ht="15.75" customHeight="1">
      <c r="A172" s="4">
        <f t="shared" si="1"/>
        <v>171</v>
      </c>
      <c r="B172" s="5" t="s">
        <v>338</v>
      </c>
      <c r="C172" s="7" t="s">
        <v>339</v>
      </c>
      <c r="D172" s="6">
        <v>1.0</v>
      </c>
      <c r="E172" s="6">
        <v>0.0</v>
      </c>
    </row>
    <row r="173" ht="15.75" customHeight="1">
      <c r="A173" s="4">
        <f t="shared" si="1"/>
        <v>172</v>
      </c>
      <c r="B173" s="5" t="s">
        <v>340</v>
      </c>
      <c r="C173" s="7" t="s">
        <v>341</v>
      </c>
      <c r="D173" s="6">
        <v>1.0</v>
      </c>
      <c r="E173" s="6">
        <v>0.0</v>
      </c>
    </row>
    <row r="174" ht="15.75" customHeight="1">
      <c r="A174" s="4">
        <f t="shared" si="1"/>
        <v>173</v>
      </c>
      <c r="B174" s="5" t="s">
        <v>342</v>
      </c>
      <c r="C174" s="7" t="s">
        <v>343</v>
      </c>
      <c r="D174" s="6">
        <v>2.0</v>
      </c>
      <c r="E174" s="6">
        <v>1.0</v>
      </c>
    </row>
    <row r="175" ht="15.75" customHeight="1">
      <c r="A175" s="4">
        <f t="shared" si="1"/>
        <v>174</v>
      </c>
      <c r="B175" s="5" t="s">
        <v>344</v>
      </c>
      <c r="C175" s="7" t="s">
        <v>345</v>
      </c>
      <c r="D175" s="6">
        <v>1.0</v>
      </c>
      <c r="E175" s="6">
        <v>0.0</v>
      </c>
    </row>
    <row r="176" ht="15.75" customHeight="1">
      <c r="A176" s="4">
        <f t="shared" si="1"/>
        <v>175</v>
      </c>
      <c r="B176" s="5" t="s">
        <v>346</v>
      </c>
      <c r="C176" s="7" t="s">
        <v>347</v>
      </c>
      <c r="D176" s="6">
        <v>2.0</v>
      </c>
      <c r="E176" s="6">
        <v>1.0</v>
      </c>
    </row>
    <row r="177" ht="15.75" customHeight="1">
      <c r="A177" s="4">
        <f t="shared" si="1"/>
        <v>176</v>
      </c>
      <c r="B177" s="8" t="s">
        <v>348</v>
      </c>
      <c r="C177" s="9" t="s">
        <v>349</v>
      </c>
      <c r="D177" s="6">
        <v>2.0</v>
      </c>
      <c r="E177" s="6">
        <v>0.0</v>
      </c>
    </row>
    <row r="178" ht="15.75" customHeight="1">
      <c r="A178" s="4">
        <f t="shared" si="1"/>
        <v>177</v>
      </c>
      <c r="B178" s="8" t="s">
        <v>350</v>
      </c>
      <c r="C178" s="9" t="s">
        <v>351</v>
      </c>
      <c r="D178" s="6">
        <v>1.0</v>
      </c>
      <c r="E178" s="6">
        <v>0.0</v>
      </c>
    </row>
    <row r="179" ht="15.75" customHeight="1">
      <c r="A179" s="4">
        <f t="shared" si="1"/>
        <v>178</v>
      </c>
      <c r="B179" s="8" t="s">
        <v>352</v>
      </c>
      <c r="C179" s="9" t="s">
        <v>353</v>
      </c>
      <c r="D179" s="6">
        <v>1.0</v>
      </c>
      <c r="E179" s="6">
        <v>0.0</v>
      </c>
    </row>
    <row r="180" ht="15.75" customHeight="1">
      <c r="A180" s="4">
        <f t="shared" si="1"/>
        <v>179</v>
      </c>
      <c r="B180" s="8" t="s">
        <v>354</v>
      </c>
      <c r="C180" s="9" t="s">
        <v>355</v>
      </c>
      <c r="D180" s="6">
        <v>1.0</v>
      </c>
      <c r="E180" s="6">
        <v>0.0</v>
      </c>
    </row>
    <row r="181" ht="15.75" customHeight="1">
      <c r="A181" s="4">
        <f t="shared" si="1"/>
        <v>180</v>
      </c>
      <c r="B181" s="8" t="s">
        <v>356</v>
      </c>
      <c r="C181" s="9" t="s">
        <v>357</v>
      </c>
      <c r="D181" s="6">
        <v>1.0</v>
      </c>
      <c r="E181" s="6">
        <v>0.0</v>
      </c>
    </row>
    <row r="182" ht="15.75" customHeight="1">
      <c r="A182" s="4">
        <f t="shared" si="1"/>
        <v>181</v>
      </c>
      <c r="B182" s="8" t="s">
        <v>358</v>
      </c>
      <c r="C182" s="9" t="s">
        <v>359</v>
      </c>
      <c r="D182" s="6">
        <v>1.0</v>
      </c>
      <c r="E182" s="6">
        <v>0.0</v>
      </c>
    </row>
    <row r="183" ht="15.75" customHeight="1">
      <c r="A183" s="4">
        <f t="shared" si="1"/>
        <v>182</v>
      </c>
      <c r="B183" s="8" t="s">
        <v>360</v>
      </c>
      <c r="C183" s="9" t="s">
        <v>361</v>
      </c>
      <c r="D183" s="6">
        <v>1.0</v>
      </c>
      <c r="E183" s="6">
        <v>0.0</v>
      </c>
    </row>
    <row r="184" ht="15.75" customHeight="1">
      <c r="A184" s="4">
        <f t="shared" si="1"/>
        <v>183</v>
      </c>
      <c r="B184" s="8" t="s">
        <v>362</v>
      </c>
      <c r="C184" s="9" t="s">
        <v>363</v>
      </c>
      <c r="D184" s="6">
        <v>2.0</v>
      </c>
      <c r="E184" s="6">
        <v>0.0</v>
      </c>
    </row>
    <row r="185" ht="15.75" customHeight="1">
      <c r="A185" s="4">
        <f t="shared" si="1"/>
        <v>184</v>
      </c>
      <c r="B185" s="8" t="s">
        <v>364</v>
      </c>
      <c r="C185" s="9" t="s">
        <v>365</v>
      </c>
      <c r="D185" s="6">
        <v>1.0</v>
      </c>
      <c r="E185" s="6">
        <v>0.0</v>
      </c>
    </row>
    <row r="186" ht="15.75" customHeight="1">
      <c r="A186" s="4">
        <f t="shared" si="1"/>
        <v>185</v>
      </c>
      <c r="B186" s="8" t="s">
        <v>366</v>
      </c>
      <c r="C186" s="9" t="s">
        <v>367</v>
      </c>
      <c r="D186" s="6">
        <v>2.0</v>
      </c>
      <c r="E186" s="6">
        <v>0.0</v>
      </c>
    </row>
    <row r="187" ht="15.75" customHeight="1">
      <c r="A187" s="4">
        <f t="shared" si="1"/>
        <v>186</v>
      </c>
      <c r="B187" s="8" t="s">
        <v>368</v>
      </c>
      <c r="C187" s="9" t="s">
        <v>369</v>
      </c>
      <c r="D187" s="6">
        <v>2.0</v>
      </c>
      <c r="E187" s="6">
        <v>0.0</v>
      </c>
    </row>
    <row r="188" ht="15.75" customHeight="1">
      <c r="A188" s="4">
        <f t="shared" si="1"/>
        <v>187</v>
      </c>
      <c r="B188" s="8" t="s">
        <v>370</v>
      </c>
      <c r="C188" s="9" t="s">
        <v>371</v>
      </c>
      <c r="D188" s="6">
        <v>1.0</v>
      </c>
      <c r="E188" s="6">
        <v>0.0</v>
      </c>
    </row>
    <row r="189" ht="15.75" customHeight="1">
      <c r="A189" s="4">
        <f t="shared" si="1"/>
        <v>188</v>
      </c>
      <c r="B189" s="8" t="s">
        <v>372</v>
      </c>
      <c r="C189" s="9" t="s">
        <v>373</v>
      </c>
      <c r="D189" s="6">
        <v>2.0</v>
      </c>
      <c r="E189" s="6">
        <v>0.0</v>
      </c>
    </row>
    <row r="190" ht="15.75" customHeight="1">
      <c r="A190" s="4">
        <f t="shared" si="1"/>
        <v>189</v>
      </c>
      <c r="B190" s="8" t="s">
        <v>374</v>
      </c>
      <c r="C190" s="9" t="s">
        <v>375</v>
      </c>
      <c r="D190" s="6">
        <v>1.0</v>
      </c>
      <c r="E190" s="6">
        <v>0.0</v>
      </c>
    </row>
    <row r="191" ht="15.75" customHeight="1">
      <c r="A191" s="4">
        <f t="shared" si="1"/>
        <v>190</v>
      </c>
      <c r="B191" s="8" t="s">
        <v>376</v>
      </c>
      <c r="C191" s="9" t="s">
        <v>377</v>
      </c>
      <c r="D191" s="6">
        <v>1.0</v>
      </c>
      <c r="E191" s="6">
        <v>0.0</v>
      </c>
    </row>
    <row r="192" ht="15.75" customHeight="1">
      <c r="A192" s="4">
        <f t="shared" si="1"/>
        <v>191</v>
      </c>
      <c r="B192" s="8" t="s">
        <v>378</v>
      </c>
      <c r="C192" s="9" t="s">
        <v>379</v>
      </c>
      <c r="D192" s="6">
        <v>1.0</v>
      </c>
      <c r="E192" s="6">
        <v>0.0</v>
      </c>
    </row>
    <row r="193" ht="15.75" customHeight="1">
      <c r="A193" s="4">
        <f t="shared" si="1"/>
        <v>192</v>
      </c>
      <c r="B193" s="8" t="s">
        <v>380</v>
      </c>
      <c r="C193" s="9" t="s">
        <v>381</v>
      </c>
      <c r="D193" s="6">
        <v>1.0</v>
      </c>
      <c r="E193" s="6">
        <v>0.0</v>
      </c>
    </row>
    <row r="194" ht="15.75" customHeight="1">
      <c r="A194" s="4">
        <f t="shared" si="1"/>
        <v>193</v>
      </c>
      <c r="B194" s="8" t="s">
        <v>382</v>
      </c>
      <c r="C194" s="9" t="s">
        <v>383</v>
      </c>
      <c r="D194" s="6">
        <v>1.0</v>
      </c>
      <c r="E194" s="6">
        <v>0.0</v>
      </c>
    </row>
    <row r="195" ht="15.75" customHeight="1">
      <c r="A195" s="4">
        <f t="shared" si="1"/>
        <v>194</v>
      </c>
      <c r="B195" s="8" t="s">
        <v>384</v>
      </c>
      <c r="C195" s="9" t="s">
        <v>385</v>
      </c>
      <c r="D195" s="6">
        <v>1.0</v>
      </c>
      <c r="E195" s="6">
        <v>0.0</v>
      </c>
    </row>
    <row r="196" ht="15.75" customHeight="1">
      <c r="A196" s="4">
        <f t="shared" si="1"/>
        <v>195</v>
      </c>
      <c r="B196" s="8" t="s">
        <v>386</v>
      </c>
      <c r="C196" s="9" t="s">
        <v>387</v>
      </c>
      <c r="D196" s="6">
        <v>1.0</v>
      </c>
      <c r="E196" s="6">
        <v>0.0</v>
      </c>
    </row>
    <row r="197" ht="15.75" customHeight="1">
      <c r="A197" s="4">
        <f t="shared" si="1"/>
        <v>196</v>
      </c>
      <c r="B197" s="8" t="s">
        <v>388</v>
      </c>
      <c r="C197" s="9" t="s">
        <v>389</v>
      </c>
      <c r="D197" s="6">
        <v>2.0</v>
      </c>
      <c r="E197" s="6">
        <v>0.0</v>
      </c>
    </row>
    <row r="198" ht="15.75" customHeight="1">
      <c r="A198" s="4">
        <f t="shared" si="1"/>
        <v>197</v>
      </c>
      <c r="B198" s="8" t="s">
        <v>390</v>
      </c>
      <c r="C198" s="9" t="s">
        <v>391</v>
      </c>
      <c r="D198" s="6">
        <v>1.0</v>
      </c>
      <c r="E198" s="6">
        <v>0.0</v>
      </c>
    </row>
    <row r="199" ht="15.75" customHeight="1">
      <c r="A199" s="4">
        <f t="shared" si="1"/>
        <v>198</v>
      </c>
      <c r="B199" s="8" t="s">
        <v>392</v>
      </c>
      <c r="C199" s="10" t="str">
        <f>IFERROR(__xludf.DUMMYFUNCTION("GOOGLETRANSLATE(B199,""in"", ""en"")"),"The interior of the hotel capsule room is quite futuristic, cold, but quite narrow. There are also lockers available for visitors to store their belongings. The bathroom area is only 1 and in it there are 4 shower and sink.
 Each capsule has a card that"&amp;" can be posted to open the mattress room. There are lights, fans to carry cold into the room, and television for entertainment. No need to turn on the fan is also cold. Clean mattress but quite thin. The blanket is so thin that it is not enough to warm th"&amp;"e body. Capsules are also not soundproof, so if there are people who call on other capsules, people in the capsule can also hear their sounds.")</f>
        <v>The interior of the hotel capsule room is quite futuristic, cold, but quite narrow. There are also lockers available for visitors to store their belongings. The bathroom area is only 1 and in it there are 4 shower and sink.
 Each capsule has a card that can be posted to open the mattress room. There are lights, fans to carry cold into the room, and television for entertainment. No need to turn on the fan is also cold. Clean mattress but quite thin. The blanket is so thin that it is not enough to warm the body. Capsules are also not soundproof, so if there are people who call on other capsules, people in the capsule can also hear their sounds.</v>
      </c>
      <c r="D199" s="6">
        <v>2.0</v>
      </c>
      <c r="E199" s="6">
        <v>0.0</v>
      </c>
    </row>
    <row r="200" ht="15.75" customHeight="1">
      <c r="A200" s="4">
        <f t="shared" si="1"/>
        <v>199</v>
      </c>
      <c r="B200" s="8" t="s">
        <v>393</v>
      </c>
      <c r="C200" s="10" t="str">
        <f>IFERROR(__xludf.DUMMYFUNCTION("GOOGLETRANSLATE(B200,""in"", ""en"")"),"I stayed at the Tokyo W-Inn hostel on my trip to Japan in October 2018. At that time I used hostelworld.com for booking. When the trip abroad myself or as a couple, I use hostelworld more often because it is more often staying at the hostel, then the choi"&amp;"ce is more and accompanied by reviews from other travelers.
 My experience when booking is good enough. Book smoothly, fast responses, and after that immediately can be confirmation and information needed about the location of the hostel via email.
 The"&amp;" services provided by the hostel are very good. The shape is between dorm hostel and capsule hotel. No traditional bunk bed, but rather bed with a wooden wall that opens on one side where on the open side half is covered with wood, half of Gordyn. Compare"&amp;"d to POD -shaped capsule hotels and only open on one side on the legs, I prefer this because it still feels quite spacious and not in the crate.
 Other facilities are also quite complete. Toilets on each super clean floor. Clean public bathrooms and min"&amp;"i tub baths. Pantry and Circle Room with View Tokyo Tower. The location is also fairly close to the station and Tourist Spot Asakusa. Very friendly and professional service.")</f>
        <v>I stayed at the Tokyo W-Inn hostel on my trip to Japan in October 2018. At that time I used hostelworld.com for booking. When the trip abroad myself or as a couple, I use hostelworld more often because it is more often staying at the hostel, then the choice is more and accompanied by reviews from other travelers.
 My experience when booking is good enough. Book smoothly, fast responses, and after that immediately can be confirmation and information needed about the location of the hostel via email.
 The services provided by the hostel are very good. The shape is between dorm hostel and capsule hotel. No traditional bunk bed, but rather bed with a wooden wall that opens on one side where on the open side half is covered with wood, half of Gordyn. Compared to POD -shaped capsule hotels and only open on one side on the legs, I prefer this because it still feels quite spacious and not in the crate.
 Other facilities are also quite complete. Toilets on each super clean floor. Clean public bathrooms and mini tub baths. Pantry and Circle Room with View Tokyo Tower. The location is also fairly close to the station and Tourist Spot Asakusa. Very friendly and professional service.</v>
      </c>
      <c r="D200" s="6">
        <v>1.0</v>
      </c>
      <c r="E200" s="6">
        <v>0.0</v>
      </c>
    </row>
    <row r="201" ht="15.75" customHeight="1">
      <c r="A201" s="4">
        <f t="shared" si="1"/>
        <v>200</v>
      </c>
      <c r="B201" s="8" t="s">
        <v>394</v>
      </c>
      <c r="C201" s="10" t="str">
        <f>IFERROR(__xludf.DUMMYFUNCTION("GOOGLETRANSLATE(B201,""in"", ""en"")"),"I have stayed at Bobobox Tanah Abang. The booking process is very easy and fast using the Android mobile application. Reservations can also be shared, making it easier for us to share access to the room. When I first arrived, I was confused about where th"&amp;"e hotel was, even to the parking lot first because I thought I was wrong parking. The sign is unclear to show the location of the hotel entrance. After entering the hotel, the host is friendly and clear in providing information. Friendly is not friendly f"&amp;"orced because of the soup but looks friendly. Clean bed, clean bathroom, joint room is also clean. But I was a place to be confused when I wanted to go to the bathroom because the door was blocked by a shoe rack without any writing. It turned out to be da"&amp;"maged and had to move to another bathroom. When someone wants to open the door, the sound is very tight, so it's annoying when you are sleeping. Overall with the price of that time worth it to be used as a stopover if you need to stay for a while.")</f>
        <v>I have stayed at Bobobox Tanah Abang. The booking process is very easy and fast using the Android mobile application. Reservations can also be shared, making it easier for us to share access to the room. When I first arrived, I was confused about where the hotel was, even to the parking lot first because I thought I was wrong parking. The sign is unclear to show the location of the hotel entrance. After entering the hotel, the host is friendly and clear in providing information. Friendly is not friendly forced because of the soup but looks friendly. Clean bed, clean bathroom, joint room is also clean. But I was a place to be confused when I wanted to go to the bathroom because the door was blocked by a shoe rack without any writing. It turned out to be damaged and had to move to another bathroom. When someone wants to open the door, the sound is very tight, so it's annoying when you are sleeping. Overall with the price of that time worth it to be used as a stopover if you need to stay for a while.</v>
      </c>
      <c r="D201" s="6">
        <v>2.0</v>
      </c>
      <c r="E201" s="6">
        <v>0.0</v>
      </c>
    </row>
    <row r="202" ht="15.75" customHeight="1">
      <c r="A202" s="4">
        <f t="shared" si="1"/>
        <v>201</v>
      </c>
      <c r="B202" s="8" t="s">
        <v>395</v>
      </c>
      <c r="C202" s="10" t="str">
        <f>IFERROR(__xludf.DUMMYFUNCTION("GOOGLETRANSLATE(B202,""in"", ""en"")"),"It doesn't stay out of the hotel because it can't be rescheduled ... the service is also bad ... the receptionist is not polite!")</f>
        <v>It doesn't stay out of the hotel because it can't be rescheduled ... the service is also bad ... the receptionist is not polite!</v>
      </c>
      <c r="D202" s="6">
        <v>2.0</v>
      </c>
      <c r="E202" s="6">
        <v>0.0</v>
      </c>
    </row>
    <row r="203" ht="15.75" customHeight="1">
      <c r="A203" s="4">
        <f t="shared" si="1"/>
        <v>202</v>
      </c>
      <c r="B203" s="8" t="s">
        <v>396</v>
      </c>
      <c r="C203" s="10" t="str">
        <f>IFERROR(__xludf.DUMMYFUNCTION("GOOGLETRANSLATE(B203,""in"", ""en"")"),"Initially the service was quite okay. But when I entered the capsule hot. The door couldn't be opened. Headphones for TV either. ask for a deposit of 50 thousand but when the sheet is dirty, it will be charged 100 thousand. Please pay attention again.")</f>
        <v>Initially the service was quite okay. But when I entered the capsule hot. The door couldn't be opened. Headphones for TV either. ask for a deposit of 50 thousand but when the sheet is dirty, it will be charged 100 thousand. Please pay attention again.</v>
      </c>
      <c r="D203" s="6">
        <v>2.0</v>
      </c>
      <c r="E203" s="6">
        <v>0.0</v>
      </c>
    </row>
    <row r="204" ht="15.75" customHeight="1">
      <c r="A204" s="4">
        <f t="shared" si="1"/>
        <v>203</v>
      </c>
      <c r="B204" s="8" t="s">
        <v>397</v>
      </c>
      <c r="C204" s="10" t="str">
        <f>IFERROR(__xludf.DUMMYFUNCTION("GOOGLETRANSLATE(B204,""in"", ""en"")"),"Standard with that price, the toilet is a bit dirty because I check the night and until the afternoon checkout the next day there is no cleaning. Tissue also doesn't pay attention to be filled out again ... Hopefully management will pay more attention to "&amp;"cleanliness and maintenance, don't get out. Don't forget to bring a tumbler who wants to refill the water.")</f>
        <v>Standard with that price, the toilet is a bit dirty because I check the night and until the afternoon checkout the next day there is no cleaning. Tissue also doesn't pay attention to be filled out again ... Hopefully management will pay more attention to cleanliness and maintenance, don't get out. Don't forget to bring a tumbler who wants to refill the water.</v>
      </c>
      <c r="D204" s="6">
        <v>3.0</v>
      </c>
      <c r="E204" s="6">
        <v>0.0</v>
      </c>
    </row>
    <row r="205" ht="15.75" customHeight="1">
      <c r="A205" s="4">
        <f t="shared" si="1"/>
        <v>204</v>
      </c>
      <c r="B205" s="8" t="s">
        <v>398</v>
      </c>
      <c r="C205" s="10" t="str">
        <f>IFERROR(__xludf.DUMMYFUNCTION("GOOGLETRANSLATE(B205,""in"", ""en"")"),"Order a compact room that can be in the bathroom in the palace, eh it turns out that instead seeps the water to the floor of the room. The seepage is not ordinary seepage, instead until a lot. Had a complaint, the solution was only repaired improvised. Ok"&amp;"ay, we relented. Eh, the next day when you take a shower in the morning, the seepage is getting worse until it is covered with a shower anduk. Oh yeah, the hot water in the shower doesn't work at all. The first impression is chaotic for this hotel. As a c"&amp;"omplement, the owner was even worse and did not give a concrete solution such as changing rooms (this is what I expect actually). But yes, maybe for them not the priority customers, but cuan. Hehehe. Sorry I have to give an honest review like this because"&amp;" I was disappointed with the service. So, please consider again if you want to stay here, unless the hotel management wants to improve yourself.")</f>
        <v>Order a compact room that can be in the bathroom in the palace, eh it turns out that instead seeps the water to the floor of the room. The seepage is not ordinary seepage, instead until a lot. Had a complaint, the solution was only repaired improvised. Okay, we relented. Eh, the next day when you take a shower in the morning, the seepage is getting worse until it is covered with a shower anduk. Oh yeah, the hot water in the shower doesn't work at all. The first impression is chaotic for this hotel. As a complement, the owner was even worse and did not give a concrete solution such as changing rooms (this is what I expect actually). But yes, maybe for them not the priority customers, but cuan. Hehehe. Sorry I have to give an honest review like this because I was disappointed with the service. So, please consider again if you want to stay here, unless the hotel management wants to improve yourself.</v>
      </c>
      <c r="D205" s="6">
        <v>3.0</v>
      </c>
      <c r="E205" s="6">
        <v>0.0</v>
      </c>
    </row>
    <row r="206" ht="15.75" customHeight="1">
      <c r="A206" s="4">
        <f t="shared" si="1"/>
        <v>205</v>
      </c>
      <c r="B206" s="8" t="s">
        <v>399</v>
      </c>
      <c r="C206" s="10" t="str">
        <f>IFERROR(__xludf.DUMMYFUNCTION("GOOGLETRANSLATE(B206,""in"", ""en"")"),"Initially fun because of the unique concept, but Kapokkk bangeettt and will not stay here again. Cabin is not airtight, the sound of the lobby / sliding door / person snoring next to the sound so it can't sleep. I have asked to move to the cabin, but the "&amp;"old process and canceled moved. Finally surrender to sleep for only 2 hours. The bathroom is rather dirty, the lower wall of the brown "", morning"" there is a worm, no flip -flops for the bathroom. The air in the stuffy cabin, in the cabin there is no ai"&amp;"r conditioner because it only relies on the AC from the hall.")</f>
        <v>Initially fun because of the unique concept, but Kapokkk bangeettt and will not stay here again. Cabin is not airtight, the sound of the lobby / sliding door / person snoring next to the sound so it can't sleep. I have asked to move to the cabin, but the old process and canceled moved. Finally surrender to sleep for only 2 hours. The bathroom is rather dirty, the lower wall of the brown ", morning" there is a worm, no flip -flops for the bathroom. The air in the stuffy cabin, in the cabin there is no air conditioner because it only relies on the AC from the hall.</v>
      </c>
      <c r="D206" s="6">
        <v>3.0</v>
      </c>
      <c r="E206" s="6">
        <v>0.0</v>
      </c>
    </row>
    <row r="207" ht="15.75" customHeight="1">
      <c r="A207" s="4">
        <f t="shared" si="1"/>
        <v>206</v>
      </c>
      <c r="B207" s="8" t="s">
        <v>400</v>
      </c>
      <c r="C207" s="10" t="str">
        <f>IFERROR(__xludf.DUMMYFUNCTION("GOOGLETRANSLATE(B207,""in"", ""en"")"),"There are 2 TPI areas in 1, mixed with girls even though there are 2 bathrooms ... why aren't it separated, then coincidentally with guests who are noisy !!!")</f>
        <v>There are 2 TPI areas in 1, mixed with girls even though there are 2 bathrooms ... why aren't it separated, then coincidentally with guests who are noisy !!!</v>
      </c>
      <c r="D207" s="6">
        <v>2.0</v>
      </c>
      <c r="E207" s="6">
        <v>0.0</v>
      </c>
    </row>
    <row r="208" ht="15.75" customHeight="1">
      <c r="A208" s="4">
        <f t="shared" si="1"/>
        <v>207</v>
      </c>
      <c r="B208" s="8" t="s">
        <v>401</v>
      </c>
      <c r="C208" s="10" t="str">
        <f>IFERROR(__xludf.DUMMYFUNCTION("GOOGLETRANSLATE(B208,""in"", ""en"")"),"The service is friendly. Check in at half past 11 at night, just if in 1 aisle turns out to be mixed (guys and girls). After being confirmed, it turns out that there is a box that is not available so I have to be mixed.")</f>
        <v>The service is friendly. Check in at half past 11 at night, just if in 1 aisle turns out to be mixed (guys and girls). After being confirmed, it turns out that there is a box that is not available so I have to be mixed.</v>
      </c>
      <c r="D208" s="6">
        <v>3.0</v>
      </c>
      <c r="E208" s="6">
        <v>0.0</v>
      </c>
    </row>
    <row r="209" ht="15.75" customHeight="1">
      <c r="A209" s="4">
        <f t="shared" si="1"/>
        <v>208</v>
      </c>
      <c r="B209" s="8" t="s">
        <v>402</v>
      </c>
      <c r="C209" s="10" t="str">
        <f>IFERROR(__xludf.DUMMYFUNCTION("GOOGLETRANSLATE(B209,""in"", ""en"")"),"The place is clean, but can't lift the phone because the sound is very heard.")</f>
        <v>The place is clean, but can't lift the phone because the sound is very heard.</v>
      </c>
      <c r="D209" s="6">
        <v>2.0</v>
      </c>
      <c r="E209" s="6">
        <v>0.0</v>
      </c>
    </row>
    <row r="210" ht="15.75" customHeight="1">
      <c r="A210" s="4">
        <f t="shared" si="1"/>
        <v>209</v>
      </c>
      <c r="B210" s="8" t="s">
        <v>403</v>
      </c>
      <c r="C210" s="10" t="str">
        <f>IFERROR(__xludf.DUMMYFUNCTION("GOOGLETRANSLATE(B210,""in"", ""en"")"),"The bathroom is only 1, there is no prayer room")</f>
        <v>The bathroom is only 1, there is no prayer room</v>
      </c>
      <c r="D210" s="6">
        <v>2.0</v>
      </c>
      <c r="E210" s="6">
        <v>0.0</v>
      </c>
    </row>
    <row r="211" ht="15.75" customHeight="1">
      <c r="A211" s="4">
        <f t="shared" si="1"/>
        <v>210</v>
      </c>
      <c r="B211" s="8" t="s">
        <v>404</v>
      </c>
      <c r="C211" s="10" t="str">
        <f>IFERROR(__xludf.DUMMYFUNCTION("GOOGLETRANSLATE(B211,""in"", ""en"")"),"Very disappointing. This accommodation should be called a motel, not a hotel. The location is quite close to Malioboro, but the parking lot is inadequate, in the basement of the building, only loading 3 cars. Even then, access to the coming in and out of "&amp;"the narrow, so that for vehicles that come later, get ready for the car key to the security guard so that at any time it can be moved so that the car inside can get out. The room condition is very narrow, tends to be stuffy. The bathroom is very narrow, j"&amp;"ust to use the toilet we must maneuver first so narrow. Dirty sink, it seems like it hasn't been cleaned for a long time. The floor is also dirty. The air conditioner could not be turned on, but 20 minutes after reporting, officers came to improve. Servic"&amp;"e is also not good. When I came, there was only a security guard. Check-JN officers somewhere. After a few minutes came. This hotel also does not seem to prohibit guests from carrying durian. In the elevator decar room, hotel guests eat durian, so every t"&amp;"ime you use an elevator, the smell of durian is very pungent. Will never return to this hotel.")</f>
        <v>Very disappointing. This accommodation should be called a motel, not a hotel. The location is quite close to Malioboro, but the parking lot is inadequate, in the basement of the building, only loading 3 cars. Even then, access to the coming in and out of the narrow, so that for vehicles that come later, get ready for the car key to the security guard so that at any time it can be moved so that the car inside can get out. The room condition is very narrow, tends to be stuffy. The bathroom is very narrow, just to use the toilet we must maneuver first so narrow. Dirty sink, it seems like it hasn't been cleaned for a long time. The floor is also dirty. The air conditioner could not be turned on, but 20 minutes after reporting, officers came to improve. Service is also not good. When I came, there was only a security guard. Check-JN officers somewhere. After a few minutes came. This hotel also does not seem to prohibit guests from carrying durian. In the elevator decar room, hotel guests eat durian, so every time you use an elevator, the smell of durian is very pungent. Will never return to this hotel.</v>
      </c>
      <c r="D211" s="6">
        <v>3.0</v>
      </c>
      <c r="E211" s="6">
        <v>0.0</v>
      </c>
    </row>
    <row r="212" ht="15.75" customHeight="1">
      <c r="A212" s="4">
        <f t="shared" si="1"/>
        <v>211</v>
      </c>
      <c r="B212" s="8" t="s">
        <v>405</v>
      </c>
      <c r="C212" s="10" t="str">
        <f>IFERROR(__xludf.DUMMYFUNCTION("GOOGLETRANSLATE(B212,""in"", ""en"")"),"The hotel is a bit far from Jl Malioboro, the new restaurant is open at 9 am and close order at 7 pm there is no breakfast, mandin room and narrow toilet and the peil is more about 30 cm high from the room peil. Available mats HY 1.")</f>
        <v>The hotel is a bit far from Jl Malioboro, the new restaurant is open at 9 am and close order at 7 pm there is no breakfast, mandin room and narrow toilet and the peil is more about 30 cm high from the room peil. Available mats HY 1.</v>
      </c>
      <c r="D212" s="6">
        <v>2.0</v>
      </c>
      <c r="E212" s="6">
        <v>0.0</v>
      </c>
    </row>
    <row r="213" ht="15.75" customHeight="1">
      <c r="A213" s="4">
        <f t="shared" si="1"/>
        <v>212</v>
      </c>
      <c r="B213" s="8" t="s">
        <v>406</v>
      </c>
      <c r="C213" s="10" t="str">
        <f>IFERROR(__xludf.DUMMYFUNCTION("GOOGLETRANSLATE(B213,""in"", ""en"")"),"The hotel is just open, the air conditioner is not cold, there is no tissue, mininalist room, the location is decent from Malioboro if walking ... hotel staff is very friendly ... in my opinion the price is rather expensive with the type of kmr dqn no bre"&amp;"akfast")</f>
        <v>The hotel is just open, the air conditioner is not cold, there is no tissue, mininalist room, the location is decent from Malioboro if walking ... hotel staff is very friendly ... in my opinion the price is rather expensive with the type of kmr dqn no breakfast</v>
      </c>
      <c r="D213" s="6">
        <v>3.0</v>
      </c>
      <c r="E213" s="6">
        <v>0.0</v>
      </c>
    </row>
    <row r="214" ht="15.75" customHeight="1">
      <c r="A214" s="4">
        <f t="shared" si="1"/>
        <v>213</v>
      </c>
      <c r="B214" s="8" t="s">
        <v>407</v>
      </c>
      <c r="C214" s="10" t="str">
        <f>IFERROR(__xludf.DUMMYFUNCTION("GOOGLETRANSLATE(B214,""in"", ""en"")"),"Very dirty in the room there are flies and smelly rooms, even hotel staff enter the room using shoes when we ask for extra bed")</f>
        <v>Very dirty in the room there are flies and smelly rooms, even hotel staff enter the room using shoes when we ask for extra bed</v>
      </c>
      <c r="D214" s="6">
        <v>3.0</v>
      </c>
      <c r="E214" s="6">
        <v>0.0</v>
      </c>
    </row>
    <row r="215" ht="15.75" customHeight="1">
      <c r="A215" s="4">
        <f t="shared" si="1"/>
        <v>214</v>
      </c>
      <c r="B215" s="8" t="s">
        <v>408</v>
      </c>
      <c r="C215" s="10" t="str">
        <f>IFERROR(__xludf.DUMMYFUNCTION("GOOGLETRANSLATE(B215,""in"", ""en"")"),"Who is without a narrow window because it is unk 4 people in the room difficult to pray, it's difficult to pray, wrongly take 2 days🙏🏻")</f>
        <v>Who is without a narrow window because it is unk 4 people in the room difficult to pray, it's difficult to pray, wrongly take 2 days🙏🏻</v>
      </c>
      <c r="D215" s="6">
        <v>2.0</v>
      </c>
      <c r="E215" s="6">
        <v>0.0</v>
      </c>
    </row>
    <row r="216" ht="15.75" customHeight="1">
      <c r="A216" s="4">
        <f t="shared" si="1"/>
        <v>215</v>
      </c>
      <c r="B216" s="8" t="s">
        <v>409</v>
      </c>
      <c r="C216" s="10" t="str">
        <f>IFERROR(__xludf.DUMMYFUNCTION("GOOGLETRANSLATE(B216,""in"", ""en"")"),"had the water to die and wait quite long even though I was hunting ""because I wanted to be picked up and had to check out in the morning :(")</f>
        <v>had the water to die and wait quite long even though I was hunting "because I wanted to be picked up and had to check out in the morning :(</v>
      </c>
      <c r="D216" s="6">
        <v>3.0</v>
      </c>
      <c r="E216" s="6">
        <v>0.0</v>
      </c>
    </row>
    <row r="217" ht="15.75" customHeight="1">
      <c r="A217" s="4">
        <f t="shared" si="1"/>
        <v>216</v>
      </c>
      <c r="B217" s="8" t="s">
        <v>410</v>
      </c>
      <c r="C217" s="10" t="str">
        <f>IFERROR(__xludf.DUMMYFUNCTION("GOOGLETRANSLATE(B217,""in"", ""en"")"),"The room is narrow especially the bathroom is too narrow and less clean")</f>
        <v>The room is narrow especially the bathroom is too narrow and less clean</v>
      </c>
      <c r="D217" s="6">
        <v>3.0</v>
      </c>
      <c r="E217" s="6">
        <v>0.0</v>
      </c>
    </row>
    <row r="218" ht="15.75" customHeight="1">
      <c r="A218" s="4">
        <f t="shared" si="1"/>
        <v>217</v>
      </c>
      <c r="B218" s="8" t="s">
        <v>411</v>
      </c>
      <c r="C218" s="10" t="str">
        <f>IFERROR(__xludf.DUMMYFUNCTION("GOOGLETRANSLATE(B218,""in"", ""en"")"),"In terms of place very strategic close to Malioboro can walk. I like the plug details for charge, everyone gets our respective place in total. So no need to change. For the AC is safe, it's really cold. But the barrier between rooms is not the rich wall, "&amp;"so the sound of the visitor next door is still heard.")</f>
        <v>In terms of place very strategic close to Malioboro can walk. I like the plug details for charge, everyone gets our respective place in total. So no need to change. For the AC is safe, it's really cold. But the barrier between rooms is not the rich wall, so the sound of the visitor next door is still heard.</v>
      </c>
      <c r="D218" s="6">
        <v>2.0</v>
      </c>
      <c r="E218" s="6">
        <v>0.0</v>
      </c>
    </row>
    <row r="219" ht="15.75" customHeight="1">
      <c r="A219" s="4">
        <f t="shared" si="1"/>
        <v>218</v>
      </c>
      <c r="B219" s="8" t="s">
        <v>412</v>
      </c>
      <c r="C219" s="10" t="str">
        <f>IFERROR(__xludf.DUMMYFUNCTION("GOOGLETRANSLATE(B219,""in"", ""en"")"),"Good location near everywhere, small rooms &amp; bathrooms, prices are rather over price")</f>
        <v>Good location near everywhere, small rooms &amp; bathrooms, prices are rather over price</v>
      </c>
      <c r="D219" s="6">
        <v>1.0</v>
      </c>
      <c r="E219" s="6">
        <v>0.0</v>
      </c>
    </row>
    <row r="220" ht="15.75" customHeight="1">
      <c r="A220" s="4">
        <f t="shared" si="1"/>
        <v>219</v>
      </c>
      <c r="B220" s="8" t="s">
        <v>413</v>
      </c>
      <c r="C220" s="10" t="str">
        <f>IFERROR(__xludf.DUMMYFUNCTION("GOOGLETRANSLATE(B220,""in"", ""en"")"),"Okay, close to Malioboro ... The bathroom is rather smelly &amp; a lot of rooms Sawang")</f>
        <v>Okay, close to Malioboro ... The bathroom is rather smelly &amp; a lot of rooms Sawang</v>
      </c>
      <c r="D220" s="6">
        <v>3.0</v>
      </c>
      <c r="E220" s="6">
        <v>0.0</v>
      </c>
    </row>
    <row r="221" ht="15.75" customHeight="1">
      <c r="A221" s="4">
        <f t="shared" si="1"/>
        <v>220</v>
      </c>
      <c r="B221" s="8" t="s">
        <v>414</v>
      </c>
      <c r="C221" s="10" t="str">
        <f>IFERROR(__xludf.DUMMYFUNCTION("GOOGLETRANSLATE(B221,""in"", ""en"")"),"Overall satisfied with the service, but sorry for cleanliness, please pay more attention, because there is a cockroach that enters the room up to 2 times")</f>
        <v>Overall satisfied with the service, but sorry for cleanliness, please pay more attention, because there is a cockroach that enters the room up to 2 times</v>
      </c>
      <c r="D221" s="6">
        <v>3.0</v>
      </c>
      <c r="E221" s="6">
        <v>0.0</v>
      </c>
    </row>
    <row r="222" ht="15.75" customHeight="1">
      <c r="A222" s="4">
        <f t="shared" si="1"/>
        <v>221</v>
      </c>
      <c r="B222" s="8" t="s">
        <v>415</v>
      </c>
      <c r="C222" s="10" t="str">
        <f>IFERROR(__xludf.DUMMYFUNCTION("GOOGLETRANSLATE(B222,""in"", ""en"")"),"Actually overall okay okay. But for many innate or big suitcases, it's rather narrow.")</f>
        <v>Actually overall okay okay. But for many innate or big suitcases, it's rather narrow.</v>
      </c>
      <c r="D222" s="6">
        <v>1.0</v>
      </c>
      <c r="E222" s="6">
        <v>0.0</v>
      </c>
    </row>
    <row r="223" ht="15.75" customHeight="1">
      <c r="A223" s="4">
        <f t="shared" si="1"/>
        <v>222</v>
      </c>
      <c r="B223" s="8" t="s">
        <v>416</v>
      </c>
      <c r="C223" s="10" t="str">
        <f>IFERROR(__xludf.DUMMYFUNCTION("GOOGLETRANSLATE(B223,""in"", ""en"")"),"The hotel is pretty good, loading 4, but the room is rather small. The shower tap was about to be damaged, smelled unpleasant odors from the toilet and the bathroom even though the bathroom was quite clean. Maybe the disposal immediately flows into the se"&amp;"wage. So it's not good")</f>
        <v>The hotel is pretty good, loading 4, but the room is rather small. The shower tap was about to be damaged, smelled unpleasant odors from the toilet and the bathroom even though the bathroom was quite clean. Maybe the disposal immediately flows into the sewage. So it's not good</v>
      </c>
      <c r="D223" s="6">
        <v>3.0</v>
      </c>
      <c r="E223" s="6">
        <v>0.0</v>
      </c>
    </row>
    <row r="224" ht="15.75" customHeight="1">
      <c r="A224" s="4">
        <f t="shared" si="1"/>
        <v>223</v>
      </c>
      <c r="B224" s="8" t="s">
        <v>417</v>
      </c>
      <c r="C224" s="10" t="str">
        <f>IFERROR(__xludf.DUMMYFUNCTION("GOOGLETRANSLATE(B224,""in"", ""en"")"),"Okay, it's just a bit dirty for the SPREE like that and there are other guests whose rames don't know when I think")</f>
        <v>Okay, it's just a bit dirty for the SPREE like that and there are other guests whose rames don't know when I think</v>
      </c>
      <c r="D224" s="6">
        <v>2.0</v>
      </c>
      <c r="E224" s="6">
        <v>0.0</v>
      </c>
    </row>
    <row r="225" ht="15.75" customHeight="1">
      <c r="A225" s="4">
        <f t="shared" si="1"/>
        <v>224</v>
      </c>
      <c r="B225" s="8" t="s">
        <v>418</v>
      </c>
      <c r="C225" s="10" t="str">
        <f>IFERROR(__xludf.DUMMYFUNCTION("GOOGLETRANSLATE(B225,""in"", ""en"")"),"For the interior design is good, instagramable, the mattress is comfortable quality for rest, it's just a pity for the cleanliness of the mattress the mattress is really lacking, yesterday when I stayed in the hotel tab, the mattress was dusty, there was "&amp;"a spider's net on the mattress base. For bathrooms and toilets quite clean and unique. Hopefully the cleanliness can be more up to you again.")</f>
        <v>For the interior design is good, instagramable, the mattress is comfortable quality for rest, it's just a pity for the cleanliness of the mattress the mattress is really lacking, yesterday when I stayed in the hotel tab, the mattress was dusty, there was a spider's net on the mattress base. For bathrooms and toilets quite clean and unique. Hopefully the cleanliness can be more up to you again.</v>
      </c>
      <c r="D225" s="6">
        <v>2.0</v>
      </c>
      <c r="E225" s="6">
        <v>0.0</v>
      </c>
    </row>
    <row r="226" ht="15.75" customHeight="1">
      <c r="A226" s="4">
        <f t="shared" si="1"/>
        <v>225</v>
      </c>
      <c r="B226" s="8" t="s">
        <v>419</v>
      </c>
      <c r="C226" s="10" t="str">
        <f>IFERROR(__xludf.DUMMYFUNCTION("GOOGLETRANSLATE(B226,""in"", ""en"")"),"Unfortunately there is still a renovation and still new so it smells of paint and painful in the eyes, next time may be even more comfortable")</f>
        <v>Unfortunately there is still a renovation and still new so it smells of paint and painful in the eyes, next time may be even more comfortable</v>
      </c>
      <c r="D226" s="6">
        <v>2.0</v>
      </c>
      <c r="E226" s="6">
        <v>0.0</v>
      </c>
    </row>
    <row r="227" ht="15.75" customHeight="1">
      <c r="A227" s="4">
        <f t="shared" si="1"/>
        <v>226</v>
      </c>
      <c r="B227" s="8" t="s">
        <v>420</v>
      </c>
      <c r="C227" s="10" t="str">
        <f>IFERROR(__xludf.DUMMYFUNCTION("GOOGLETRANSLATE(B227,""in"", ""en"")"),"Storage cabinet is broken. The features in the capsule also don't function like television")</f>
        <v>Storage cabinet is broken. The features in the capsule also don't function like television</v>
      </c>
      <c r="D227" s="6">
        <v>2.0</v>
      </c>
      <c r="E227" s="6">
        <v>0.0</v>
      </c>
    </row>
    <row r="228" ht="15.75" customHeight="1">
      <c r="A228" s="4">
        <f t="shared" si="1"/>
        <v>227</v>
      </c>
      <c r="B228" s="8" t="s">
        <v>421</v>
      </c>
      <c r="C228" s="10" t="str">
        <f>IFERROR(__xludf.DUMMYFUNCTION("GOOGLETRANSLATE(B228,""in"", ""en"")"),"The bathroom doesn't have a mat, the minus is just from this hotel, then the servant is not fast, for example, the wifi pass is answered 1 day the next day. Rooms that want to be placed have not been ready still have to have to (boring) need to improve ev"&amp;"erything")</f>
        <v>The bathroom doesn't have a mat, the minus is just from this hotel, then the servant is not fast, for example, the wifi pass is answered 1 day the next day. Rooms that want to be placed have not been ready still have to have to (boring) need to improve everything</v>
      </c>
      <c r="D228" s="6">
        <v>2.0</v>
      </c>
      <c r="E228" s="6">
        <v>0.0</v>
      </c>
    </row>
    <row r="229" ht="15.75" customHeight="1">
      <c r="A229" s="4">
        <f t="shared" si="1"/>
        <v>228</v>
      </c>
      <c r="B229" s="8" t="s">
        <v>422</v>
      </c>
      <c r="C229" s="10" t="str">
        <f>IFERROR(__xludf.DUMMYFUNCTION("GOOGLETRANSLATE(B229,""in"", ""en"")"),"There are no standby servants on the receptionist, waiting a long time. Receptionist does not guide, direct or explain how to access rooms, bathroom locations, lockers, etc. There are only 1 gallon water on the floor and empty. There is only 1 bathroom on"&amp;" the floor, empty soap and no other toiletries are provided. Dirty and smelly locker. The door to the neighbor's capsule is broken and keeps ringing, disturbing calm.")</f>
        <v>There are no standby servants on the receptionist, waiting a long time. Receptionist does not guide, direct or explain how to access rooms, bathroom locations, lockers, etc. There are only 1 gallon water on the floor and empty. There is only 1 bathroom on the floor, empty soap and no other toiletries are provided. Dirty and smelly locker. The door to the neighbor's capsule is broken and keeps ringing, disturbing calm.</v>
      </c>
      <c r="D229" s="6">
        <v>3.0</v>
      </c>
      <c r="E229" s="6">
        <v>0.0</v>
      </c>
    </row>
    <row r="230" ht="15.75" customHeight="1">
      <c r="A230" s="4">
        <f t="shared" si="1"/>
        <v>229</v>
      </c>
      <c r="B230" s="8" t="s">
        <v>423</v>
      </c>
      <c r="C230" s="10" t="str">
        <f>IFERROR(__xludf.DUMMYFUNCTION("GOOGLETRANSLATE(B230,""in"", ""en"")"),"A small place can only sit position, can not stand very unfortunate. Clean but the room lights are too dark")</f>
        <v>A small place can only sit position, can not stand very unfortunate. Clean but the room lights are too dark</v>
      </c>
      <c r="D230" s="6">
        <v>2.0</v>
      </c>
      <c r="E230" s="6">
        <v>0.0</v>
      </c>
    </row>
    <row r="231" ht="15.75" customHeight="1">
      <c r="A231" s="4">
        <f t="shared" si="1"/>
        <v>230</v>
      </c>
      <c r="B231" s="8" t="s">
        <v>424</v>
      </c>
      <c r="C231" s="10" t="str">
        <f>IFERROR(__xludf.DUMMYFUNCTION("GOOGLETRANSLATE(B231,""in"", ""en"")"),"the bathroom room is very smelly and the cleanliness is lacking")</f>
        <v>the bathroom room is very smelly and the cleanliness is lacking</v>
      </c>
      <c r="D231" s="6">
        <v>3.0</v>
      </c>
      <c r="E231" s="6">
        <v>0.0</v>
      </c>
    </row>
    <row r="232" ht="15.75" customHeight="1">
      <c r="A232" s="4">
        <f t="shared" si="1"/>
        <v>231</v>
      </c>
      <c r="B232" s="8" t="s">
        <v>425</v>
      </c>
      <c r="C232" s="10" t="str">
        <f>IFERROR(__xludf.DUMMYFUNCTION("GOOGLETRANSLATE(B232,""in"", ""en"")"),"There are many shortcomings, hopefully it will be more improved")</f>
        <v>There are many shortcomings, hopefully it will be more improved</v>
      </c>
      <c r="D232" s="6">
        <v>3.0</v>
      </c>
      <c r="E232" s="6">
        <v>0.0</v>
      </c>
    </row>
    <row r="233" ht="15.75" customHeight="1">
      <c r="A233" s="4">
        <f t="shared" si="1"/>
        <v>232</v>
      </c>
      <c r="B233" s="8" t="s">
        <v>426</v>
      </c>
      <c r="C233" s="10" t="str">
        <f>IFERROR(__xludf.DUMMYFUNCTION("GOOGLETRANSLATE(B233,""in"", ""en"")"),"The third time staying at this hotel but the service is getting worse. TV can't, the bathroom is less clean, soap in the bathroom runs out")</f>
        <v>The third time staying at this hotel but the service is getting worse. TV can't, the bathroom is less clean, soap in the bathroom runs out</v>
      </c>
      <c r="D233" s="6">
        <v>3.0</v>
      </c>
      <c r="E233" s="6">
        <v>0.0</v>
      </c>
    </row>
    <row r="234" ht="15.75" customHeight="1">
      <c r="A234" s="4">
        <f t="shared" si="1"/>
        <v>233</v>
      </c>
      <c r="B234" s="8" t="s">
        <v>427</v>
      </c>
      <c r="C234" s="10" t="str">
        <f>IFERROR(__xludf.DUMMYFUNCTION("GOOGLETRANSLATE(B234,""in"", ""en"")"),"Gada snack welcome (minimal mineral water) and the case is quite thin🥲")</f>
        <v>Gada snack welcome (minimal mineral water) and the case is quite thin🥲</v>
      </c>
      <c r="D234" s="6">
        <v>2.0</v>
      </c>
      <c r="E234" s="6">
        <v>0.0</v>
      </c>
    </row>
    <row r="235" ht="15.75" customHeight="1">
      <c r="A235" s="4">
        <f t="shared" si="1"/>
        <v>234</v>
      </c>
      <c r="B235" s="8" t="s">
        <v>428</v>
      </c>
      <c r="C235" s="10" t="str">
        <f>IFERROR(__xludf.DUMMYFUNCTION("GOOGLETRANSLATE(B235,""in"", ""en"")"),"The place is quite clean and fragrant, enough facilities, but the staff are not well trained.")</f>
        <v>The place is quite clean and fragrant, enough facilities, but the staff are not well trained.</v>
      </c>
      <c r="D235" s="6">
        <v>2.0</v>
      </c>
      <c r="E235" s="6">
        <v>0.0</v>
      </c>
    </row>
    <row r="236" ht="15.75" customHeight="1">
      <c r="A236" s="4">
        <f t="shared" si="1"/>
        <v>235</v>
      </c>
      <c r="B236" s="8" t="s">
        <v>429</v>
      </c>
      <c r="C236" s="10" t="str">
        <f>IFERROR(__xludf.DUMMYFUNCTION("GOOGLETRANSLATE(B236,""in"", ""en"")"),"It's complicated to check in, when I enter the loby, even the mas is shocked to see those who want to check in instead of welcoming kindly. Must do the check -in process yourself to get a room card, the mas is not helpful to click it and not explain it to"&amp;"o, so it feels complicated. I stayed 2 days 1 night, even though on the second day I samperin cleaning service to ask for help do not clean my room, because I went to hurry so that important items lay like a laptop etc. and he had agreed. But when I retur"&amp;"ned to the hotel my room was tidied. The rest is okay")</f>
        <v>It's complicated to check in, when I enter the loby, even the mas is shocked to see those who want to check in instead of welcoming kindly. Must do the check -in process yourself to get a room card, the mas is not helpful to click it and not explain it too, so it feels complicated. I stayed 2 days 1 night, even though on the second day I samperin cleaning service to ask for help do not clean my room, because I went to hurry so that important items lay like a laptop etc. and he had agreed. But when I returned to the hotel my room was tidied. The rest is okay</v>
      </c>
      <c r="D236" s="6">
        <v>2.0</v>
      </c>
      <c r="E236" s="6">
        <v>0.0</v>
      </c>
    </row>
    <row r="237" ht="15.75" customHeight="1">
      <c r="A237" s="4">
        <f t="shared" si="1"/>
        <v>236</v>
      </c>
      <c r="B237" s="8" t="s">
        <v>430</v>
      </c>
      <c r="C237" s="10" t="str">
        <f>IFERROR(__xludf.DUMMYFUNCTION("GOOGLETRANSLATE(B237,""in"", ""en"")"),"The cleanliness of the bathroom is lacking, the towels provided are also very bad already perforated, not suitable for use. The facilities are quite complete but can not be used, the charger can not be used, in charge it doesn't come in. Okee location nea"&amp;"r Gubeng station, the price is ok. When I just entered the room, it took a long time to cool, the locker was hard to open, but the room was quite comfortable to rest, the room wasn't too narrow either, if the cold night the blanket was not tasteless")</f>
        <v>The cleanliness of the bathroom is lacking, the towels provided are also very bad already perforated, not suitable for use. The facilities are quite complete but can not be used, the charger can not be used, in charge it doesn't come in. Okee location near Gubeng station, the price is ok. When I just entered the room, it took a long time to cool, the locker was hard to open, but the room was quite comfortable to rest, the room wasn't too narrow either, if the cold night the blanket was not tasteless</v>
      </c>
      <c r="D237" s="6">
        <v>3.0</v>
      </c>
      <c r="E237" s="6">
        <v>0.0</v>
      </c>
    </row>
    <row r="238" ht="15.75" customHeight="1">
      <c r="A238" s="4">
        <f t="shared" si="1"/>
        <v>237</v>
      </c>
      <c r="B238" s="8" t="s">
        <v>431</v>
      </c>
      <c r="C238" s="10" t="str">
        <f>IFERROR(__xludf.DUMMYFUNCTION("GOOGLETRANSLATE(B238,""in"", ""en"")"),"Cas in a particular room in the area of ​​the booming and made the CAS connector my HP is damaged and I have never experienced it at all this event.")</f>
        <v>Cas in a particular room in the area of ​​the booming and made the CAS connector my HP is damaged and I have never experienced it at all this event.</v>
      </c>
      <c r="D238" s="6">
        <v>3.0</v>
      </c>
      <c r="E238" s="6">
        <v>0.0</v>
      </c>
    </row>
    <row r="239" ht="15.75" customHeight="1">
      <c r="A239" s="4">
        <f t="shared" si="1"/>
        <v>238</v>
      </c>
      <c r="B239" s="8" t="s">
        <v>432</v>
      </c>
      <c r="C239" s="10" t="str">
        <f>IFERROR(__xludf.DUMMYFUNCTION("GOOGLETRANSLATE(B239,""in"", ""en"")"),"Okay, close to the Gubeng Station, but when there is a very dirty area of ​​garbage, the toilet does not have a place to put toiletries, and the capsule air conditioner is not on, as a result moved capsulz, fortunately there are no people, if there are pe"&amp;"ople how ..")</f>
        <v>Okay, close to the Gubeng Station, but when there is a very dirty area of ​​garbage, the toilet does not have a place to put toiletries, and the capsule air conditioner is not on, as a result moved capsulz, fortunately there are no people, if there are people how ..</v>
      </c>
      <c r="D239" s="6">
        <v>3.0</v>
      </c>
      <c r="E239" s="6">
        <v>0.0</v>
      </c>
    </row>
    <row r="240" ht="15.75" customHeight="1">
      <c r="A240" s="4">
        <f t="shared" si="1"/>
        <v>239</v>
      </c>
      <c r="B240" s="8" t="s">
        <v>433</v>
      </c>
      <c r="C240" s="10" t="str">
        <f>IFERROR(__xludf.DUMMYFUNCTION("GOOGLETRANSLATE(B240,""in"", ""en"")"),"Everything is okay. Can not give you the best, because there is no female staff at all, honestly shocked. Plus I think that can enter the special room of female cmn girls. Suggestions for those who are hooded if you want to come out of the capsule even ne"&amp;"ed to use it even though the bathroom is in the name. Sometimes the boys' staff when they want to clean the room or ask for help from other customers, just go in.")</f>
        <v>Everything is okay. Can not give you the best, because there is no female staff at all, honestly shocked. Plus I think that can enter the special room of female cmn girls. Suggestions for those who are hooded if you want to come out of the capsule even need to use it even though the bathroom is in the name. Sometimes the boys' staff when they want to clean the room or ask for help from other customers, just go in.</v>
      </c>
      <c r="D240" s="6">
        <v>2.0</v>
      </c>
      <c r="E240" s="6">
        <v>0.0</v>
      </c>
    </row>
    <row r="241" ht="15.75" customHeight="1">
      <c r="A241" s="4">
        <f t="shared" si="1"/>
        <v>240</v>
      </c>
      <c r="B241" s="8" t="s">
        <v>434</v>
      </c>
      <c r="C241" s="10" t="str">
        <f>IFERROR(__xludf.DUMMYFUNCTION("GOOGLETRANSLATE(B241,""in"", ""en"")"),"For the room tab card sometimes difficult ...")</f>
        <v>For the room tab card sometimes difficult ...</v>
      </c>
      <c r="D241" s="6">
        <v>2.0</v>
      </c>
      <c r="E241" s="6">
        <v>0.0</v>
      </c>
    </row>
    <row r="242" ht="15.75" customHeight="1">
      <c r="A242" s="4">
        <f t="shared" si="1"/>
        <v>241</v>
      </c>
      <c r="B242" s="8" t="s">
        <v>435</v>
      </c>
      <c r="C242" s="10" t="str">
        <f>IFERROR(__xludf.DUMMYFUNCTION("GOOGLETRANSLATE(B242,""in"", ""en"")"),"Facilities in the room, especially the double bed capsule, are impressed, amenities also don't exist at all. The condition of the room is not like on website, many compartments are incomplete. There are TV facilities but cannot be turned on, Wi-Fi also ha"&amp;"s no internet connection.")</f>
        <v>Facilities in the room, especially the double bed capsule, are impressed, amenities also don't exist at all. The condition of the room is not like on website, many compartments are incomplete. There are TV facilities but cannot be turned on, Wi-Fi also has no internet connection.</v>
      </c>
      <c r="D242" s="6">
        <v>3.0</v>
      </c>
      <c r="E242" s="6">
        <v>0.0</v>
      </c>
    </row>
    <row r="243" ht="15.75" customHeight="1">
      <c r="A243" s="4">
        <f t="shared" si="1"/>
        <v>242</v>
      </c>
      <c r="B243" s="8" t="s">
        <v>436</v>
      </c>
      <c r="C243" s="10" t="str">
        <f>IFERROR(__xludf.DUMMYFUNCTION("GOOGLETRANSLATE(B243,""in"", ""en"")"),"Okay facilities. Only the employees need to be drained more friendly")</f>
        <v>Okay facilities. Only the employees need to be drained more friendly</v>
      </c>
      <c r="D243" s="6">
        <v>2.0</v>
      </c>
      <c r="E243" s="6">
        <v>0.0</v>
      </c>
    </row>
    <row r="244" ht="15.75" customHeight="1">
      <c r="A244" s="4">
        <f t="shared" si="1"/>
        <v>243</v>
      </c>
      <c r="B244" s="8" t="s">
        <v>437</v>
      </c>
      <c r="C244" s="10" t="str">
        <f>IFERROR(__xludf.DUMMYFUNCTION("GOOGLETRANSLATE(B244,""in"", ""en"")"),"The door is often jammed.")</f>
        <v>The door is often jammed.</v>
      </c>
      <c r="D244" s="6">
        <v>2.0</v>
      </c>
      <c r="E244" s="6">
        <v>0.0</v>
      </c>
    </row>
    <row r="245" ht="15.75" customHeight="1">
      <c r="A245" s="4">
        <f t="shared" si="1"/>
        <v>244</v>
      </c>
      <c r="B245" s="8" t="s">
        <v>438</v>
      </c>
      <c r="C245" s="10" t="str">
        <f>IFERROR(__xludf.DUMMYFUNCTION("GOOGLETRANSLATE(B245,""in"", ""en"")"),"AC is not cold enough, the bathroom door is broken to leak")</f>
        <v>AC is not cold enough, the bathroom door is broken to leak</v>
      </c>
      <c r="D245" s="6">
        <v>3.0</v>
      </c>
      <c r="E245" s="6">
        <v>0.0</v>
      </c>
    </row>
    <row r="246" ht="15.75" customHeight="1">
      <c r="A246" s="4">
        <f t="shared" si="1"/>
        <v>245</v>
      </c>
      <c r="B246" s="8" t="s">
        <v>439</v>
      </c>
      <c r="C246" s="10" t="str">
        <f>IFERROR(__xludf.DUMMYFUNCTION("GOOGLETRANSLATE(B246,""in"", ""en"")"),"okay, but the staff is well trained")</f>
        <v>okay, but the staff is well trained</v>
      </c>
      <c r="D246" s="6">
        <v>2.0</v>
      </c>
      <c r="E246" s="6">
        <v>0.0</v>
      </c>
    </row>
    <row r="247" ht="15.75" customHeight="1">
      <c r="A247" s="4">
        <f t="shared" si="1"/>
        <v>246</v>
      </c>
      <c r="B247" s="8" t="s">
        <v>440</v>
      </c>
      <c r="C247" s="10" t="str">
        <f>IFERROR(__xludf.DUMMYFUNCTION("GOOGLETRANSLATE(B247,""in"", ""en"")"),"Not bad at that price ... please update the photo ... so that those who come are not disappointed")</f>
        <v>Not bad at that price ... please update the photo ... so that those who come are not disappointed</v>
      </c>
      <c r="D247" s="6">
        <v>2.0</v>
      </c>
      <c r="E247" s="6">
        <v>0.0</v>
      </c>
    </row>
    <row r="248" ht="15.75" customHeight="1">
      <c r="A248" s="4">
        <f t="shared" si="1"/>
        <v>247</v>
      </c>
      <c r="B248" s="8" t="s">
        <v>441</v>
      </c>
      <c r="C248" s="10" t="str">
        <f>IFERROR(__xludf.DUMMYFUNCTION("GOOGLETRANSLATE(B248,""in"", ""en"")"),"Location near Gubeng Station, near Delta Plaza, there is a deposit of 50 thousand, there is no doormat bathroom so the floor is slippery and wet. There is no toothbrush and tissue. There is no bottle mineral water only gallon water outside the room. There"&amp;" is no glass. dull towel. The room is unique and funny. The table is broken so it's hard if you want to eat. The service is friendly. at night crowded for karaoke fathers so it's not comfortable if you want to go out")</f>
        <v>Location near Gubeng Station, near Delta Plaza, there is a deposit of 50 thousand, there is no doormat bathroom so the floor is slippery and wet. There is no toothbrush and tissue. There is no bottle mineral water only gallon water outside the room. There is no glass. dull towel. The room is unique and funny. The table is broken so it's hard if you want to eat. The service is friendly. at night crowded for karaoke fathers so it's not comfortable if you want to go out</v>
      </c>
      <c r="D248" s="6">
        <v>2.0</v>
      </c>
      <c r="E248" s="6">
        <v>0.0</v>
      </c>
    </row>
    <row r="249" ht="15.75" customHeight="1">
      <c r="A249" s="4">
        <f t="shared" si="1"/>
        <v>248</v>
      </c>
      <c r="B249" s="8" t="s">
        <v>442</v>
      </c>
      <c r="C249" s="10" t="str">
        <f>IFERROR(__xludf.DUMMYFUNCTION("GOOGLETRANSLATE(B249,""in"", ""en"")"),"Officers who guard breakfast are not fair, I ask whether the breakfast is only told to take bread and jam, there is a menu such as sausages and eggs that have been ready to serve but like being saved, some guests can only get bread, including me ... there"&amp;" are some families .. then I asked in the receptionist what could breakfast be distinguished for every kmr because I slept in the single ... they said everything was the same ... then I said why I didn't give me for sausages and eggs ... it was JWB oo lgs"&amp;"g asked just sir, the breakfas need to be asked dl ...")</f>
        <v>Officers who guard breakfast are not fair, I ask whether the breakfast is only told to take bread and jam, there is a menu such as sausages and eggs that have been ready to serve but like being saved, some guests can only get bread, including me ... there are some families .. then I asked in the receptionist what could breakfast be distinguished for every kmr because I slept in the single ... they said everything was the same ... then I said why I didn't give me for sausages and eggs ... it was JWB oo lgsg asked just sir, the breakfas need to be asked dl ...</v>
      </c>
      <c r="D249" s="6">
        <v>2.0</v>
      </c>
      <c r="E249" s="6">
        <v>0.0</v>
      </c>
    </row>
    <row r="250" ht="15.75" customHeight="1">
      <c r="A250" s="4">
        <f t="shared" si="1"/>
        <v>249</v>
      </c>
      <c r="B250" s="8" t="s">
        <v>443</v>
      </c>
      <c r="C250" s="10" t="str">
        <f>IFERROR(__xludf.DUMMYFUNCTION("GOOGLETRANSLATE(B250,""in"", ""en"")"),"The service is really lacking, there is a problem with the pod where I, he said, I want to be generated, but I have to go down the report down first and then be the right, I have to really right when I'm still in the room? At least move me to another room"&amp;" if you really want to be pod, so it's not comfortable, the service is really lacking")</f>
        <v>The service is really lacking, there is a problem with the pod where I, he said, I want to be generated, but I have to go down the report down first and then be the right, I have to really right when I'm still in the room? At least move me to another room if you really want to be pod, so it's not comfortable, the service is really lacking</v>
      </c>
      <c r="D250" s="6">
        <v>2.0</v>
      </c>
      <c r="E250" s="6">
        <v>0.0</v>
      </c>
    </row>
    <row r="251" ht="15.75" customHeight="1">
      <c r="A251" s="4">
        <f t="shared" si="1"/>
        <v>250</v>
      </c>
      <c r="B251" s="8" t="s">
        <v>444</v>
      </c>
      <c r="C251" s="10" t="str">
        <f>IFERROR(__xludf.DUMMYFUNCTION("GOOGLETRANSLATE(B251,""in"", ""en"")"),"I did not smoke but said my room smelled of a cigarette, when I checked in and just entered the room it was a smell of cigarettes, and I was wearing a 500,000 fine when checking out.")</f>
        <v>I did not smoke but said my room smelled of a cigarette, when I checked in and just entered the room it was a smell of cigarettes, and I was wearing a 500,000 fine when checking out.</v>
      </c>
      <c r="D251" s="6">
        <v>2.0</v>
      </c>
      <c r="E251" s="6">
        <v>0.0</v>
      </c>
    </row>
    <row r="252" ht="15.75" customHeight="1">
      <c r="A252" s="4">
        <f t="shared" si="1"/>
        <v>251</v>
      </c>
      <c r="B252" s="8" t="s">
        <v>445</v>
      </c>
      <c r="C252" s="10" t="str">
        <f>IFERROR(__xludf.DUMMYFUNCTION("GOOGLETRANSLATE(B252,""in"", ""en"")"),"It should be a safe and comfortable place, but in fact disappointing, up to 5 times suddenly the capsule door opens alone, then when asking to move from the staff answered, but suddenly at 10 pm there was a male staff coming and immediately knocked the fr"&amp;"ont The capsule door with the reason to offer me to move (it should be a private female area) if you want to enter you should be able to communicate via WA or tap from the door of the room not the capsule door first. Sorry this is the first and last exper"&amp;"ience staying there. Point plus the area is clean and there are some friendly officers, not all but.")</f>
        <v>It should be a safe and comfortable place, but in fact disappointing, up to 5 times suddenly the capsule door opens alone, then when asking to move from the staff answered, but suddenly at 10 pm there was a male staff coming and immediately knocked the front The capsule door with the reason to offer me to move (it should be a private female area) if you want to enter you should be able to communicate via WA or tap from the door of the room not the capsule door first. Sorry this is the first and last experience staying there. Point plus the area is clean and there are some friendly officers, not all but.</v>
      </c>
      <c r="D252" s="6">
        <v>3.0</v>
      </c>
      <c r="E252" s="6">
        <v>0.0</v>
      </c>
    </row>
    <row r="253" ht="15.75" customHeight="1">
      <c r="A253" s="4">
        <f t="shared" si="1"/>
        <v>252</v>
      </c>
      <c r="B253" s="8" t="s">
        <v>446</v>
      </c>
      <c r="C253" s="10" t="str">
        <f>IFERROR(__xludf.DUMMYFUNCTION("GOOGLETRANSLATE(B253,""in"", ""en"")"),"Cleanliness is very lacking in the bathroom odor and a lot of used soaps should be provided with liquid soap, neighboring hotel camp*numbing at night there should be a clue to not be noisy in the capsule area.")</f>
        <v>Cleanliness is very lacking in the bathroom odor and a lot of used soaps should be provided with liquid soap, neighboring hotel camp*numbing at night there should be a clue to not be noisy in the capsule area.</v>
      </c>
      <c r="D253" s="6">
        <v>3.0</v>
      </c>
      <c r="E253" s="6">
        <v>0.0</v>
      </c>
    </row>
    <row r="254" ht="15.75" customHeight="1">
      <c r="A254" s="4">
        <f t="shared" si="1"/>
        <v>253</v>
      </c>
      <c r="B254" s="8" t="s">
        <v>447</v>
      </c>
      <c r="C254" s="10" t="str">
        <f>IFERROR(__xludf.DUMMYFUNCTION("GOOGLETRANSLATE(B254,""in"", ""en"")"),"The sound of the door from another pod makes it noisy to sleep all night.")</f>
        <v>The sound of the door from another pod makes it noisy to sleep all night.</v>
      </c>
      <c r="D254" s="6">
        <v>3.0</v>
      </c>
      <c r="E254" s="6">
        <v>0.0</v>
      </c>
    </row>
    <row r="255" ht="15.75" customHeight="1">
      <c r="A255" s="4">
        <f t="shared" si="1"/>
        <v>254</v>
      </c>
      <c r="B255" s="8" t="s">
        <v>448</v>
      </c>
      <c r="C255" s="10" t="str">
        <f>IFERROR(__xludf.DUMMYFUNCTION("GOOGLETRANSLATE(B255,""in"", ""en"")"),"The room is not soundproof so it's a bit noisy.")</f>
        <v>The room is not soundproof so it's a bit noisy.</v>
      </c>
      <c r="D255" s="6">
        <v>2.0</v>
      </c>
      <c r="E255" s="6">
        <v>0.0</v>
      </c>
    </row>
    <row r="256" ht="15.75" customHeight="1">
      <c r="A256" s="4">
        <f t="shared" si="1"/>
        <v>255</v>
      </c>
      <c r="B256" s="8" t="s">
        <v>449</v>
      </c>
      <c r="C256" s="10" t="str">
        <f>IFERROR(__xludf.DUMMYFUNCTION("GOOGLETRANSLATE(B256,""in"", ""en"")"),"Services must be increased, the time checking in front office is less friendly. In the lobby there is a front office friend sitting sitting talking and laughing. Not professional. Cleanliness and breakfast need to be level.")</f>
        <v>Services must be increased, the time checking in front office is less friendly. In the lobby there is a front office friend sitting sitting talking and laughing. Not professional. Cleanliness and breakfast need to be level.</v>
      </c>
      <c r="D256" s="6">
        <v>3.0</v>
      </c>
      <c r="E256" s="6">
        <v>0.0</v>
      </c>
    </row>
    <row r="257" ht="15.75" customHeight="1">
      <c r="A257" s="4">
        <f t="shared" si="1"/>
        <v>256</v>
      </c>
      <c r="B257" s="8" t="s">
        <v>450</v>
      </c>
      <c r="C257" s="10" t="str">
        <f>IFERROR(__xludf.DUMMYFUNCTION("GOOGLETRANSLATE(B257,""in"", ""en"")"),"Because the voucher can't be canceled. The ticket is in vain because suddenly there is a very unybest need.")</f>
        <v>Because the voucher can't be canceled. The ticket is in vain because suddenly there is a very unybest need.</v>
      </c>
      <c r="D257" s="6">
        <v>2.0</v>
      </c>
      <c r="E257" s="6">
        <v>1.0</v>
      </c>
    </row>
    <row r="258" ht="15.75" customHeight="1">
      <c r="A258" s="4">
        <f t="shared" si="1"/>
        <v>257</v>
      </c>
      <c r="B258" s="8" t="s">
        <v>451</v>
      </c>
      <c r="C258" s="10" t="str">
        <f>IFERROR(__xludf.DUMMYFUNCTION("GOOGLETRANSLATE(B258,""in"", ""en"")"),"Taking the elevator must ask for the Teros Master Card, there is no toiletry.")</f>
        <v>Taking the elevator must ask for the Teros Master Card, there is no toiletry.</v>
      </c>
      <c r="D258" s="6">
        <v>2.0</v>
      </c>
      <c r="E258" s="6">
        <v>0.0</v>
      </c>
    </row>
    <row r="259" ht="15.75" customHeight="1">
      <c r="A259" s="4">
        <f t="shared" si="1"/>
        <v>258</v>
      </c>
      <c r="B259" s="8" t="s">
        <v>452</v>
      </c>
      <c r="C259" s="10" t="str">
        <f>IFERROR(__xludf.DUMMYFUNCTION("GOOGLETRANSLATE(B259,""in"", ""en"")"),"This is a love place not treated. We got room 101 for double beds and capsul lamps do not want to turn on and the mattress is flat like sleeping on a cheap sponge. The floor is also dirty a lot of strange hair from previous guests. Finally we were moved t"&amp;"o the 301st floor and there were spots. The floor is also never swept away like a lot of strange hair. In the hallway is also very dirty a lot of dust and other guest hair. The condition of the capsule handle to enter the capsule is almost dislodged. Unde"&amp;"r a dirty sheet a lot of dirt. Can you use a dust suction to clean the room after changing the sheets? Very severe overall, like you don't have a house cleaning service.")</f>
        <v>This is a love place not treated. We got room 101 for double beds and capsul lamps do not want to turn on and the mattress is flat like sleeping on a cheap sponge. The floor is also dirty a lot of strange hair from previous guests. Finally we were moved to the 301st floor and there were spots. The floor is also never swept away like a lot of strange hair. In the hallway is also very dirty a lot of dust and other guest hair. The condition of the capsule handle to enter the capsule is almost dislodged. Under a dirty sheet a lot of dirt. Can you use a dust suction to clean the room after changing the sheets? Very severe overall, like you don't have a house cleaning service.</v>
      </c>
      <c r="D259" s="6">
        <v>3.0</v>
      </c>
      <c r="E259" s="6">
        <v>0.0</v>
      </c>
    </row>
    <row r="260" ht="15.75" customHeight="1">
      <c r="A260" s="4">
        <f t="shared" si="1"/>
        <v>259</v>
      </c>
      <c r="B260" s="8" t="s">
        <v>453</v>
      </c>
      <c r="C260" s="10" t="str">
        <f>IFERROR(__xludf.DUMMYFUNCTION("GOOGLETRANSLATE(B260,""in"", ""en"")"),"In bed the AC tastes less taste, there is no doormat every time from the bathroom so wet the floor and dangerous, what's more the position of the bed above and there is a ladder.")</f>
        <v>In bed the AC tastes less taste, there is no doormat every time from the bathroom so wet the floor and dangerous, what's more the position of the bed above and there is a ladder.</v>
      </c>
      <c r="D260" s="6">
        <v>3.0</v>
      </c>
      <c r="E260" s="6">
        <v>0.0</v>
      </c>
    </row>
    <row r="261" ht="15.75" customHeight="1">
      <c r="A261" s="4">
        <f t="shared" si="1"/>
        <v>260</v>
      </c>
      <c r="B261" s="8" t="s">
        <v>454</v>
      </c>
      <c r="C261" s="10" t="str">
        <f>IFERROR(__xludf.DUMMYFUNCTION("GOOGLETRANSLATE(B261,""in"", ""en"")"),"Hotel capsules are very isolated, no air flowing, no sunlight enters so that it becomes very unhygienic. Coupled with mattresses and pillows that smell very must be the accumulation of sweat, body odor and saliva of previous hotel guests. Please improve s"&amp;"anitation and hygienic especially to prevent transmission during Pandemic Covid 19.")</f>
        <v>Hotel capsules are very isolated, no air flowing, no sunlight enters so that it becomes very unhygienic. Coupled with mattresses and pillows that smell very must be the accumulation of sweat, body odor and saliva of previous hotel guests. Please improve sanitation and hygienic especially to prevent transmission during Pandemic Covid 19.</v>
      </c>
      <c r="D261" s="6">
        <v>3.0</v>
      </c>
      <c r="E261" s="6">
        <v>0.0</v>
      </c>
    </row>
    <row r="262" ht="15.75" customHeight="1">
      <c r="A262" s="4">
        <f t="shared" si="1"/>
        <v>261</v>
      </c>
      <c r="B262" s="8" t="s">
        <v>455</v>
      </c>
      <c r="C262" s="10" t="str">
        <f>IFERROR(__xludf.DUMMYFUNCTION("GOOGLETRANSLATE(B262,""in"", ""en"")"),"The reservation is a compact type, but the receptionist is a travel agent, late email to the hotel so the type of room ordered is full. Instead of being given a single room 1 room full. Ask the double one is also full. Gosh, very disappointing.")</f>
        <v>The reservation is a compact type, but the receptionist is a travel agent, late email to the hotel so the type of room ordered is full. Instead of being given a single room 1 room full. Ask the double one is also full. Gosh, very disappointing.</v>
      </c>
      <c r="D262" s="6">
        <v>3.0</v>
      </c>
      <c r="E262" s="6">
        <v>1.0</v>
      </c>
    </row>
    <row r="263" ht="15.75" customHeight="1">
      <c r="A263" s="4">
        <f t="shared" si="1"/>
        <v>262</v>
      </c>
      <c r="B263" s="8" t="s">
        <v>456</v>
      </c>
      <c r="C263" s="10" t="str">
        <f>IFERROR(__xludf.DUMMYFUNCTION("GOOGLETRANSLATE(B263,""in"", ""en"")"),"the staff is very long to check in ... then get a former room for a person has not been cleaned ... but in a new place ... then if the intention of Go Green does not give bottled water given a solution given a glass .. the name is also not suddenly not th"&amp;"inking under the tumbler .. if The intention of Go Green, don't do the middle of cooking, we drink through the dispenser directly, I don't use a glass ... and strangely the elevator can't detect room cards ... so you have to call FO ..")</f>
        <v>the staff is very long to check in ... then get a former room for a person has not been cleaned ... but in a new place ... then if the intention of Go Green does not give bottled water given a solution given a glass .. the name is also not suddenly not thinking under the tumbler .. if The intention of Go Green, don't do the middle of cooking, we drink through the dispenser directly, I don't use a glass ... and strangely the elevator can't detect room cards ... so you have to call FO ..</v>
      </c>
      <c r="D263" s="6">
        <v>3.0</v>
      </c>
      <c r="E263" s="6">
        <v>0.0</v>
      </c>
    </row>
    <row r="264" ht="15.75" customHeight="1">
      <c r="A264" s="4">
        <f t="shared" si="1"/>
        <v>263</v>
      </c>
      <c r="B264" s="8" t="s">
        <v>457</v>
      </c>
      <c r="C264" s="10" t="str">
        <f>IFERROR(__xludf.DUMMYFUNCTION("GOOGLETRANSLATE(B264,""in"", ""en"")"),"Initially I was excited because of a new experience to this type of hotel. But: 1. My capsules were not cleaned before I entered, wet towels, unclean blankets, towels and blankets were not well organized, drinking water was not there. 2. The alarm in my c"&amp;"apsule rang even though there was no smoke etc. 3. There is no telephone lines on the 1st floor, info from the receptionist. So to complain to receptionist using personal pulses. Suggestions: 1. Hotel employees are more disciplined 2. For OB Female Rooms "&amp;"should also be women, because sometimes like to enter to clean the room without opening the door. Thanks.")</f>
        <v>Initially I was excited because of a new experience to this type of hotel. But: 1. My capsules were not cleaned before I entered, wet towels, unclean blankets, towels and blankets were not well organized, drinking water was not there. 2. The alarm in my capsule rang even though there was no smoke etc. 3. There is no telephone lines on the 1st floor, info from the receptionist. So to complain to receptionist using personal pulses. Suggestions: 1. Hotel employees are more disciplined 2. For OB Female Rooms should also be women, because sometimes like to enter to clean the room without opening the door. Thanks.</v>
      </c>
      <c r="D264" s="6">
        <v>3.0</v>
      </c>
      <c r="E264" s="6">
        <v>0.0</v>
      </c>
    </row>
    <row r="265" ht="15.75" customHeight="1">
      <c r="A265" s="4">
        <f t="shared" si="1"/>
        <v>264</v>
      </c>
      <c r="B265" s="8" t="s">
        <v>458</v>
      </c>
      <c r="C265" s="10" t="str">
        <f>IFERROR(__xludf.DUMMYFUNCTION("GOOGLETRANSLATE(B265,""in"", ""en"")"),"During the check-in process in the receptionist I save Gopro Hero 5 with a wallet, when I was filling the data and then I was invited to see the room by his employees, when I returned Gopro I was gone, I immediately reported but until I wanted to check-ou"&amp;"t there was no response at all , when I asked for a CCTV footage, said the manager Mbak Vita, he said, the CCTV could not be playback and thank you tab capsule until today there was no apology at all. Hopefully the blessing is the gopro.")</f>
        <v>During the check-in process in the receptionist I save Gopro Hero 5 with a wallet, when I was filling the data and then I was invited to see the room by his employees, when I returned Gopro I was gone, I immediately reported but until I wanted to check-out there was no response at all , when I asked for a CCTV footage, said the manager Mbak Vita, he said, the CCTV could not be playback and thank you tab capsule until today there was no apology at all. Hopefully the blessing is the gopro.</v>
      </c>
      <c r="D265" s="6">
        <v>3.0</v>
      </c>
      <c r="E265" s="6">
        <v>0.0</v>
      </c>
    </row>
    <row r="266" ht="15.75" customHeight="1">
      <c r="A266" s="4">
        <f t="shared" si="1"/>
        <v>265</v>
      </c>
      <c r="B266" s="8" t="s">
        <v>459</v>
      </c>
      <c r="C266" s="10" t="str">
        <f>IFERROR(__xludf.DUMMYFUNCTION("GOOGLETRANSLATE(B266,""in"", ""en"")"),"Because the compact type order is not available, ask for a double type is also not available. So it was replaced by a single type but 1 full room. Still unsatisfactory, not according to order. Disappointed.")</f>
        <v>Because the compact type order is not available, ask for a double type is also not available. So it was replaced by a single type but 1 full room. Still unsatisfactory, not according to order. Disappointed.</v>
      </c>
      <c r="D266" s="6">
        <v>3.0</v>
      </c>
      <c r="E266" s="6">
        <v>0.0</v>
      </c>
    </row>
    <row r="267" ht="15.75" customHeight="1">
      <c r="A267" s="4">
        <f t="shared" si="1"/>
        <v>266</v>
      </c>
      <c r="B267" s="8" t="s">
        <v>460</v>
      </c>
      <c r="C267" s="10" t="str">
        <f>IFERROR(__xludf.DUMMYFUNCTION("GOOGLETRANSLATE(B267,""in"", ""en"")"),"Just know and won't come back. Disappointed with rigid management. You guys want to find unique, just go ahead, but since this is a personal opinion, I ❌.")</f>
        <v>Just know and won't come back. Disappointed with rigid management. You guys want to find unique, just go ahead, but since this is a personal opinion, I ❌.</v>
      </c>
      <c r="D267" s="6">
        <v>3.0</v>
      </c>
      <c r="E267" s="6">
        <v>0.0</v>
      </c>
    </row>
    <row r="268" ht="15.75" customHeight="1">
      <c r="A268" s="4">
        <f t="shared" si="1"/>
        <v>267</v>
      </c>
      <c r="B268" s="8" t="s">
        <v>461</v>
      </c>
      <c r="C268" s="10" t="str">
        <f>IFERROR(__xludf.DUMMYFUNCTION("GOOGLETRANSLATE(B268,""in"", ""en"")"),"Pretty interesting, not too chance but under the bed there is strange dirt, so it's dirty.")</f>
        <v>Pretty interesting, not too chance but under the bed there is strange dirt, so it's dirty.</v>
      </c>
      <c r="D268" s="6">
        <v>2.0</v>
      </c>
      <c r="E268" s="6">
        <v>0.0</v>
      </c>
    </row>
    <row r="269" ht="15.75" customHeight="1">
      <c r="A269" s="4">
        <f t="shared" si="1"/>
        <v>268</v>
      </c>
      <c r="B269" s="8" t="s">
        <v>462</v>
      </c>
      <c r="C269" s="10" t="str">
        <f>IFERROR(__xludf.DUMMYFUNCTION("GOOGLETRANSLATE(B269,""in"", ""en"")"),"Tissue and soap in the toilet run out and even seemingly not deliberately filled.")</f>
        <v>Tissue and soap in the toilet run out and even seemingly not deliberately filled.</v>
      </c>
      <c r="D269" s="6">
        <v>3.0</v>
      </c>
      <c r="E269" s="6">
        <v>0.0</v>
      </c>
    </row>
    <row r="270" ht="15.75" customHeight="1">
      <c r="A270" s="4">
        <f t="shared" si="1"/>
        <v>269</v>
      </c>
      <c r="B270" s="8" t="s">
        <v>463</v>
      </c>
      <c r="C270" s="10" t="str">
        <f>IFERROR(__xludf.DUMMYFUNCTION("GOOGLETRANSLATE(B270,""in"", ""en"")"),"You have to get the room, the water is just bubbly downstairs, the bathroom handle is also suddenly loose, the bathroom water is also small, but the service is good and the security guard is also very good. Please be corrected, please.")</f>
        <v>You have to get the room, the water is just bubbly downstairs, the bathroom handle is also suddenly loose, the bathroom water is also small, but the service is good and the security guard is also very good. Please be corrected, please.</v>
      </c>
      <c r="D270" s="6">
        <v>3.0</v>
      </c>
      <c r="E270" s="6">
        <v>0.0</v>
      </c>
    </row>
    <row r="271" ht="15.75" customHeight="1">
      <c r="A271" s="4">
        <f t="shared" si="1"/>
        <v>270</v>
      </c>
      <c r="B271" s="8" t="s">
        <v>464</v>
      </c>
      <c r="C271" s="10" t="str">
        <f>IFERROR(__xludf.DUMMYFUNCTION("GOOGLETRANSLATE(B271,""in"", ""en"")"),"Narrow and rich in pigeon cages.")</f>
        <v>Narrow and rich in pigeon cages.</v>
      </c>
      <c r="D271" s="6">
        <v>3.0</v>
      </c>
      <c r="E271" s="6">
        <v>0.0</v>
      </c>
    </row>
    <row r="272" ht="15.75" customHeight="1">
      <c r="A272" s="4">
        <f t="shared" si="1"/>
        <v>271</v>
      </c>
      <c r="B272" s="8" t="s">
        <v>465</v>
      </c>
      <c r="C272" s="10" t="str">
        <f>IFERROR(__xludf.DUMMYFUNCTION("GOOGLETRANSLATE(B272,""in"", ""en"")"),"There is no place to pray. The bathroom is also together so it's not privacy.")</f>
        <v>There is no place to pray. The bathroom is also together so it's not privacy.</v>
      </c>
      <c r="D272" s="6">
        <v>3.0</v>
      </c>
      <c r="E272" s="6">
        <v>0.0</v>
      </c>
    </row>
    <row r="273" ht="15.75" customHeight="1">
      <c r="A273" s="4">
        <f t="shared" si="1"/>
        <v>272</v>
      </c>
      <c r="B273" s="8" t="s">
        <v>466</v>
      </c>
      <c r="C273" s="10" t="str">
        <f>IFERROR(__xludf.DUMMYFUNCTION("GOOGLETRANSLATE(B273,""in"", ""en"")"),"The hotel is clean, hot water smoothly, friendly receptionist. Unfortunately I got a flatbed that was flat, so it felt really on my back, uncomfortable (Box no. 17). Said her sister, it had been damaged, it had been bought a new mattress but had not yet b"&amp;"een replaced. The door is heavy and dragging. So the sound is somewhat disturbing for neighbors. Hit the price of the new year, so it feels expensive.")</f>
        <v>The hotel is clean, hot water smoothly, friendly receptionist. Unfortunately I got a flatbed that was flat, so it felt really on my back, uncomfortable (Box no. 17). Said her sister, it had been damaged, it had been bought a new mattress but had not yet been replaced. The door is heavy and dragging. So the sound is somewhat disturbing for neighbors. Hit the price of the new year, so it feels expensive.</v>
      </c>
      <c r="D273" s="6">
        <v>3.0</v>
      </c>
      <c r="E273" s="6">
        <v>0.0</v>
      </c>
    </row>
    <row r="274" ht="15.75" customHeight="1">
      <c r="A274" s="4">
        <f t="shared" si="1"/>
        <v>273</v>
      </c>
      <c r="B274" s="8" t="s">
        <v>467</v>
      </c>
      <c r="C274" s="10" t="str">
        <f>IFERROR(__xludf.DUMMYFUNCTION("GOOGLETRANSLATE(B274,""in"", ""en"")"),"Very futuristic hotel capsules. The service is quite friendly, the capsule room is quite spacious, there is a cafe under the hotel so it's easy to find food. For ciwi-ciwi, don't worry because the bathroom is safe and 1 floor is devoted to women. However,"&amp;" there are some that need to be addressed. When I ordered a room, I wrote information to get the upper capsule. But when he arrived at the hotel, given the lower capsule. Already complain, but still there is no solution alias can not move and the hotel fi"&amp;"nally apologized, a little disappointed but yasudah. Then for the mosque is in the basement. If from the room to the mosque, it will be easy to use an elevator to the basement. But if from the mosque to the room, you have to pass the front of the hotel or"&amp;" a new front desk enter through the card door. And it takes a long time to go to the room from the mosque. Suggestions from me, the stairs in the basement, not only for staff but also for guests with a card tap provided. Then if you can, each floor has it"&amp;"s own mosque. And one more thing, for employees, please do not be told to go up and down the stairs because I see employees up and down the stairs to maintain each floor, sorry, please humanize humans. Receive Kash for his experience.")</f>
        <v>Very futuristic hotel capsules. The service is quite friendly, the capsule room is quite spacious, there is a cafe under the hotel so it's easy to find food. For ciwi-ciwi, don't worry because the bathroom is safe and 1 floor is devoted to women. However, there are some that need to be addressed. When I ordered a room, I wrote information to get the upper capsule. But when he arrived at the hotel, given the lower capsule. Already complain, but still there is no solution alias can not move and the hotel finally apologized, a little disappointed but yasudah. Then for the mosque is in the basement. If from the room to the mosque, it will be easy to use an elevator to the basement. But if from the mosque to the room, you have to pass the front of the hotel or a new front desk enter through the card door. And it takes a long time to go to the room from the mosque. Suggestions from me, the stairs in the basement, not only for staff but also for guests with a card tap provided. Then if you can, each floor has its own mosque. And one more thing, for employees, please do not be told to go up and down the stairs because I see employees up and down the stairs to maintain each floor, sorry, please humanize humans. Receive Kash for his experience.</v>
      </c>
      <c r="D274" s="6">
        <v>3.0</v>
      </c>
      <c r="E274" s="6">
        <v>0.0</v>
      </c>
    </row>
    <row r="275" ht="15.75" customHeight="1">
      <c r="A275" s="4">
        <f t="shared" si="1"/>
        <v>274</v>
      </c>
      <c r="B275" s="8" t="s">
        <v>468</v>
      </c>
      <c r="C275" s="10" t="str">
        <f>IFERROR(__xludf.DUMMYFUNCTION("GOOGLETRANSLATE(B275,""in"", ""en"")"),"The blanket is very thin. Please change for the thick blanket facility because the air conditioner is really cold and the blanket does not make it warm.")</f>
        <v>The blanket is very thin. Please change for the thick blanket facility because the air conditioner is really cold and the blanket does not make it warm.</v>
      </c>
      <c r="D275" s="6">
        <v>2.0</v>
      </c>
      <c r="E275" s="6">
        <v>0.0</v>
      </c>
    </row>
    <row r="276" ht="15.75" customHeight="1">
      <c r="A276" s="4">
        <f t="shared" si="1"/>
        <v>275</v>
      </c>
      <c r="B276" s="8" t="s">
        <v>469</v>
      </c>
      <c r="C276" s="10" t="str">
        <f>IFERROR(__xludf.DUMMYFUNCTION("GOOGLETRANSLATE(B276,""in"", ""en"")"),"Can't Early Check in, its ok if it's the rules. But Honestly is still not very prepare, there are many shortcomings. From the minimum explanation of the use of room features, broken headphones, wifi pass is not automatically given, hotel sandals must be r"&amp;"equested, to pillows that are not comfortable to wear.")</f>
        <v>Can't Early Check in, its ok if it's the rules. But Honestly is still not very prepare, there are many shortcomings. From the minimum explanation of the use of room features, broken headphones, wifi pass is not automatically given, hotel sandals must be requested, to pillows that are not comfortable to wear.</v>
      </c>
      <c r="D276" s="6">
        <v>3.0</v>
      </c>
      <c r="E276" s="6">
        <v>0.0</v>
      </c>
    </row>
    <row r="277" ht="15.75" customHeight="1">
      <c r="A277" s="4">
        <f t="shared" si="1"/>
        <v>276</v>
      </c>
      <c r="B277" s="8" t="s">
        <v>470</v>
      </c>
      <c r="C277" s="10" t="str">
        <f>IFERROR(__xludf.DUMMYFUNCTION("GOOGLETRANSLATE(B277,""in"", ""en"")"),"From the application provides an online check-in option by uploading ID cards, but when you arrive at the hotel you still have to show the ID card and even have to be photocopied. Staying in a double bed room, the door cannot be locked manually. Already c"&amp;"alled the hotel staff, but only convinced that the door must have been locked. AC is not cold. The mattress seems to have been a long time because there is a spring that comes out from the bed side. Pros: The staff is friendly, provided refill water, the "&amp;"price is quite cheap.")</f>
        <v>From the application provides an online check-in option by uploading ID cards, but when you arrive at the hotel you still have to show the ID card and even have to be photocopied. Staying in a double bed room, the door cannot be locked manually. Already called the hotel staff, but only convinced that the door must have been locked. AC is not cold. The mattress seems to have been a long time because there is a spring that comes out from the bed side. Pros: The staff is friendly, provided refill water, the price is quite cheap.</v>
      </c>
      <c r="D277" s="6">
        <v>3.0</v>
      </c>
      <c r="E277" s="6">
        <v>0.0</v>
      </c>
    </row>
    <row r="278" ht="15.75" customHeight="1">
      <c r="A278" s="4">
        <f t="shared" si="1"/>
        <v>277</v>
      </c>
      <c r="B278" s="8" t="s">
        <v>471</v>
      </c>
      <c r="C278" s="10" t="str">
        <f>IFERROR(__xludf.DUMMYFUNCTION("GOOGLETRANSLATE(B278,""in"", ""en"")"),"When I first ordered the capsule, yesterday when I tried to compact the lights like a short -circuit. Like to die and live alone, AC is also cold around 5 in the afternoon. The rest is good 👍.")</f>
        <v>When I first ordered the capsule, yesterday when I tried to compact the lights like a short -circuit. Like to die and live alone, AC is also cold around 5 in the afternoon. The rest is good 👍.</v>
      </c>
      <c r="D278" s="6">
        <v>3.0</v>
      </c>
      <c r="E278" s="6">
        <v>0.0</v>
      </c>
    </row>
    <row r="279" ht="15.75" customHeight="1">
      <c r="A279" s="4">
        <f t="shared" si="1"/>
        <v>278</v>
      </c>
      <c r="B279" s="8" t="s">
        <v>472</v>
      </c>
      <c r="C279" s="10" t="str">
        <f>IFERROR(__xludf.DUMMYFUNCTION("GOOGLETRANSLATE(B279,""in"", ""en"")"),"The place is good, the service is friendly, but the bathroom together is not clean, it looks not cleaned in days, unfortunately there is no one for daily cleanliness, especially for the bathroom.")</f>
        <v>The place is good, the service is friendly, but the bathroom together is not clean, it looks not cleaned in days, unfortunately there is no one for daily cleanliness, especially for the bathroom.</v>
      </c>
      <c r="D279" s="6">
        <v>3.0</v>
      </c>
      <c r="E279" s="6">
        <v>0.0</v>
      </c>
    </row>
    <row r="280" ht="15.75" customHeight="1">
      <c r="A280" s="4">
        <f t="shared" si="1"/>
        <v>279</v>
      </c>
      <c r="B280" s="8" t="s">
        <v>473</v>
      </c>
      <c r="C280" s="10" t="str">
        <f>IFERROR(__xludf.DUMMYFUNCTION("GOOGLETRANSLATE(B280,""in"", ""en"")"),"I like the place and the cabin is comfortable but it is very loved that the TV in the cabin error cannot be watched, overall satisfied the service.")</f>
        <v>I like the place and the cabin is comfortable but it is very loved that the TV in the cabin error cannot be watched, overall satisfied the service.</v>
      </c>
      <c r="D280" s="6">
        <v>2.0</v>
      </c>
      <c r="E280" s="6">
        <v>0.0</v>
      </c>
    </row>
    <row r="281" ht="15.75" customHeight="1">
      <c r="A281" s="4">
        <f t="shared" si="1"/>
        <v>280</v>
      </c>
      <c r="B281" s="8" t="s">
        <v>474</v>
      </c>
      <c r="C281" s="10" t="str">
        <f>IFERROR(__xludf.DUMMYFUNCTION("GOOGLETRANSLATE(B281,""in"", ""en"")"),"The staff service is okay, all of them include security guards, but my advice is a blanket and pillow is replaced because it doesn't make sleep so comfortable. Pillow makes the head hurt, the blanket is too thin so it remains cold even though it's already"&amp;" small")</f>
        <v>The staff service is okay, all of them include security guards, but my advice is a blanket and pillow is replaced because it doesn't make sleep so comfortable. Pillow makes the head hurt, the blanket is too thin so it remains cold even though it's already small</v>
      </c>
      <c r="D281" s="6">
        <v>2.0</v>
      </c>
      <c r="E281" s="6">
        <v>0.0</v>
      </c>
    </row>
    <row r="282" ht="15.75" customHeight="1">
      <c r="A282" s="4">
        <f t="shared" si="1"/>
        <v>281</v>
      </c>
      <c r="B282" s="8" t="s">
        <v>475</v>
      </c>
      <c r="C282" s="10" t="str">
        <f>IFERROR(__xludf.DUMMYFUNCTION("GOOGLETRANSLATE(B282,""in"", ""en"")"),"The service does not exist, is not polite, has ordered, can't cancel, can not be used anymore, crazy employees, can not wave guests.")</f>
        <v>The service does not exist, is not polite, has ordered, can't cancel, can not be used anymore, crazy employees, can not wave guests.</v>
      </c>
      <c r="D282" s="6">
        <v>3.0</v>
      </c>
      <c r="E282" s="6">
        <v>0.0</v>
      </c>
    </row>
    <row r="283" ht="15.75" customHeight="1">
      <c r="A283" s="4">
        <f t="shared" si="1"/>
        <v>282</v>
      </c>
      <c r="B283" s="8" t="s">
        <v>476</v>
      </c>
      <c r="C283" s="10" t="str">
        <f>IFERROR(__xludf.DUMMYFUNCTION("GOOGLETRANSLATE(B283,""in"", ""en"")"),"The room is okay, but the bed linen is dirty, the toothpaste is very difficult to open until the end is not used, the brush is also just using bad, and there is no instant rice rice food that is even though there is a microwave. The location is also comin"&amp;"g from the post office and continues to climb the stairs, already tired and keeps uncomfortable because there is no innovation to make it interesting. And the most crucial thing is the request for the morning check -in in the morning, so you have to wait "&amp;"a long time. The rest is okay, but I don't know to be the hotel to stay again or not.")</f>
        <v>The room is okay, but the bed linen is dirty, the toothpaste is very difficult to open until the end is not used, the brush is also just using bad, and there is no instant rice rice food that is even though there is a microwave. The location is also coming from the post office and continues to climb the stairs, already tired and keeps uncomfortable because there is no innovation to make it interesting. And the most crucial thing is the request for the morning check -in in the morning, so you have to wait a long time. The rest is okay, but I don't know to be the hotel to stay again or not.</v>
      </c>
      <c r="D283" s="6">
        <v>3.0</v>
      </c>
      <c r="E283" s="6">
        <v>0.0</v>
      </c>
    </row>
    <row r="284" ht="15.75" customHeight="1">
      <c r="A284" s="4">
        <f t="shared" si="1"/>
        <v>283</v>
      </c>
      <c r="B284" s="8" t="s">
        <v>477</v>
      </c>
      <c r="C284" s="10" t="str">
        <f>IFERROR(__xludf.DUMMYFUNCTION("GOOGLETRANSLATE(B284,""in"", ""en"")"),"Soap, shampoo, tissue in the toilet runs out. Tissue waste in the toilet is a mess. Refill water runs out, wifi doesn't connect.")</f>
        <v>Soap, shampoo, tissue in the toilet runs out. Tissue waste in the toilet is a mess. Refill water runs out, wifi doesn't connect.</v>
      </c>
      <c r="D284" s="6">
        <v>3.0</v>
      </c>
      <c r="E284" s="6">
        <v>0.0</v>
      </c>
    </row>
    <row r="285" ht="15.75" customHeight="1">
      <c r="A285" s="4">
        <f t="shared" si="1"/>
        <v>284</v>
      </c>
      <c r="B285" s="8" t="s">
        <v>478</v>
      </c>
      <c r="C285" s="10" t="str">
        <f>IFERROR(__xludf.DUMMYFUNCTION("GOOGLETRANSLATE(B285,""in"", ""en"")"),"The beginning of staying at Bobobox is good, clean, amenities available, second and third stay here, how come it's a bit dirty toilet, soap shampoo is not refined from night to morning is still empty. Toilet smells of urine too. For the pods so far so goo"&amp;"d. Only the problem of the toilet is dirty and there is no shampoo soap 😥.")</f>
        <v>The beginning of staying at Bobobox is good, clean, amenities available, second and third stay here, how come it's a bit dirty toilet, soap shampoo is not refined from night to morning is still empty. Toilet smells of urine too. For the pods so far so good. Only the problem of the toilet is dirty and there is no shampoo soap 😥.</v>
      </c>
      <c r="D285" s="6">
        <v>2.0</v>
      </c>
      <c r="E285" s="6">
        <v>0.0</v>
      </c>
    </row>
    <row r="286" ht="15.75" customHeight="1">
      <c r="A286" s="4">
        <f t="shared" si="1"/>
        <v>285</v>
      </c>
      <c r="B286" s="8" t="s">
        <v>479</v>
      </c>
      <c r="C286" s="10" t="str">
        <f>IFERROR(__xludf.DUMMYFUNCTION("GOOGLETRANSLATE(B286,""in"", ""en"")"),"The facilities are now decreasing to the dirty toilet tissue not refined.")</f>
        <v>The facilities are now decreasing to the dirty toilet tissue not refined.</v>
      </c>
      <c r="D286" s="6">
        <v>2.0</v>
      </c>
      <c r="E286" s="6">
        <v>0.0</v>
      </c>
    </row>
    <row r="287" ht="15.75" customHeight="1">
      <c r="A287" s="4">
        <f t="shared" si="1"/>
        <v>286</v>
      </c>
      <c r="B287" s="8" t="s">
        <v>480</v>
      </c>
      <c r="C287" s="10" t="str">
        <f>IFERROR(__xludf.DUMMYFUNCTION("GOOGLETRANSLATE(B287,""in"", ""en"")"),"Access in and out of the hotel is difficult and to carry a vehicle is not recommended because there is no close parking if for the room I admit it is very.")</f>
        <v>Access in and out of the hotel is difficult and to carry a vehicle is not recommended because there is no close parking if for the room I admit it is very.</v>
      </c>
      <c r="D287" s="6">
        <v>2.0</v>
      </c>
      <c r="E287" s="6">
        <v>0.0</v>
      </c>
    </row>
    <row r="288" ht="15.75" customHeight="1">
      <c r="A288" s="4">
        <f t="shared" si="1"/>
        <v>287</v>
      </c>
      <c r="B288" s="8" t="s">
        <v>481</v>
      </c>
      <c r="C288" s="10" t="str">
        <f>IFERROR(__xludf.DUMMYFUNCTION("GOOGLETRANSLATE(B288,""in"", ""en"")"),"Linen is very dirty and lots of stains. The audio speaker in the room can't connect with Bluetooth HP at all. Already asked for improvements to the staff but no one came and was not fixed until checking out. Very disappointed.")</f>
        <v>Linen is very dirty and lots of stains. The audio speaker in the room can't connect with Bluetooth HP at all. Already asked for improvements to the staff but no one came and was not fixed until checking out. Very disappointed.</v>
      </c>
      <c r="D288" s="6">
        <v>2.0</v>
      </c>
      <c r="E288" s="6">
        <v>0.0</v>
      </c>
    </row>
    <row r="289" ht="15.75" customHeight="1">
      <c r="A289" s="4">
        <f t="shared" si="1"/>
        <v>288</v>
      </c>
      <c r="B289" s="8" t="s">
        <v>482</v>
      </c>
      <c r="C289" s="10" t="str">
        <f>IFERROR(__xludf.DUMMYFUNCTION("GOOGLETRANSLATE(B289,""in"", ""en"")"),"Dirty toilet, no smell there is a fragrance, unfriendly receptionist, dispensers at DKT Mushollah do not use electricity, can't take hot ait, mushollah is also dirty, I get a room in the corner even though there is still something in the middle that ksoon"&amp;"g 😭 say it is full 😫. The room is comfortable, the location is okay.")</f>
        <v>Dirty toilet, no smell there is a fragrance, unfriendly receptionist, dispensers at DKT Mushollah do not use electricity, can't take hot ait, mushollah is also dirty, I get a room in the corner even though there is still something in the middle that ksoong 😭 say it is full 😫. The room is comfortable, the location is okay.</v>
      </c>
      <c r="D289" s="6">
        <v>2.0</v>
      </c>
      <c r="E289" s="6">
        <v>0.0</v>
      </c>
    </row>
    <row r="290" ht="15.75" customHeight="1">
      <c r="A290" s="4">
        <f t="shared" si="1"/>
        <v>289</v>
      </c>
      <c r="B290" s="8" t="s">
        <v>483</v>
      </c>
      <c r="C290" s="10" t="str">
        <f>IFERROR(__xludf.DUMMYFUNCTION("GOOGLETRANSLATE(B290,""in"", ""en"")"),"The sound of jedag-jedug music from nowhere until 4 o'clock in the morning")</f>
        <v>The sound of jedag-jedug music from nowhere until 4 o'clock in the morning</v>
      </c>
      <c r="D290" s="6">
        <v>2.0</v>
      </c>
      <c r="E290" s="6">
        <v>0.0</v>
      </c>
    </row>
    <row r="291" ht="15.75" customHeight="1">
      <c r="A291" s="4">
        <f t="shared" si="1"/>
        <v>290</v>
      </c>
      <c r="B291" s="8" t="s">
        <v>484</v>
      </c>
      <c r="C291" s="10" t="str">
        <f>IFERROR(__xludf.DUMMYFUNCTION("GOOGLETRANSLATE(B291,""in"", ""en"")"),"If you can, the stairs are given a space for a suitcase, because honestly it is the 2nd floor and there is only a ladder. People who happen to want to stay and bring heavy items are forced to go up, next time if you can give an elevator or a ladder of lov"&amp;"e space to drag the suitcase.")</f>
        <v>If you can, the stairs are given a space for a suitcase, because honestly it is the 2nd floor and there is only a ladder. People who happen to want to stay and bring heavy items are forced to go up, next time if you can give an elevator or a ladder of love space to drag the suitcase.</v>
      </c>
      <c r="D291" s="6">
        <v>2.0</v>
      </c>
      <c r="E291" s="6">
        <v>0.0</v>
      </c>
    </row>
    <row r="292" ht="15.75" customHeight="1">
      <c r="A292" s="4">
        <f t="shared" si="1"/>
        <v>291</v>
      </c>
      <c r="B292" s="8" t="s">
        <v>485</v>
      </c>
      <c r="C292" s="10" t="str">
        <f>IFERROR(__xludf.DUMMYFUNCTION("GOOGLETRANSLATE(B292,""in"", ""en"")"),"Lots of stains on the bed.")</f>
        <v>Lots of stains on the bed.</v>
      </c>
      <c r="D292" s="6">
        <v>3.0</v>
      </c>
      <c r="E292" s="6">
        <v>0.0</v>
      </c>
    </row>
    <row r="293" ht="15.75" customHeight="1">
      <c r="A293" s="4">
        <f t="shared" si="1"/>
        <v>292</v>
      </c>
      <c r="B293" s="8" t="s">
        <v>486</v>
      </c>
      <c r="C293" s="10" t="str">
        <f>IFERROR(__xludf.DUMMYFUNCTION("GOOGLETRANSLATE(B293,""in"", ""en"")"),"The speaker sound is not good. For the bed, ok. Just lack TV.")</f>
        <v>The speaker sound is not good. For the bed, ok. Just lack TV.</v>
      </c>
      <c r="D293" s="6">
        <v>1.0</v>
      </c>
      <c r="E293" s="6">
        <v>0.0</v>
      </c>
    </row>
    <row r="294" ht="15.75" customHeight="1">
      <c r="A294" s="4">
        <f t="shared" si="1"/>
        <v>293</v>
      </c>
      <c r="B294" s="8" t="s">
        <v>487</v>
      </c>
      <c r="C294" s="10" t="str">
        <f>IFERROR(__xludf.DUMMYFUNCTION("GOOGLETRANSLATE(B294,""in"", ""en"")"),"It's complicated, I have to download the Bobobox application first, just change the card to be like a hotel capsule, it's not complicated to download the application. The bathroom when it's dirty, smells of urine.")</f>
        <v>It's complicated, I have to download the Bobobox application first, just change the card to be like a hotel capsule, it's not complicated to download the application. The bathroom when it's dirty, smells of urine.</v>
      </c>
      <c r="D294" s="6">
        <v>2.0</v>
      </c>
      <c r="E294" s="6">
        <v>1.0</v>
      </c>
    </row>
    <row r="295" ht="15.75" customHeight="1">
      <c r="A295" s="4">
        <f t="shared" si="1"/>
        <v>294</v>
      </c>
      <c r="B295" s="8" t="s">
        <v>488</v>
      </c>
      <c r="C295" s="10" t="str">
        <f>IFERROR(__xludf.DUMMYFUNCTION("GOOGLETRANSLATE(B295,""in"", ""en"")"),"Good, the lights are suitable for making Tik Tok, only the lack of dusty mattresses is less clean. Thank you Bobobox💕")</f>
        <v>Good, the lights are suitable for making Tik Tok, only the lack of dusty mattresses is less clean. Thank you Bobobox💕</v>
      </c>
      <c r="D295" s="6">
        <v>1.0</v>
      </c>
      <c r="E295" s="6">
        <v>0.0</v>
      </c>
    </row>
    <row r="296" ht="15.75" customHeight="1">
      <c r="A296" s="4">
        <f t="shared" si="1"/>
        <v>295</v>
      </c>
      <c r="B296" s="8" t="s">
        <v>489</v>
      </c>
      <c r="C296" s="10" t="str">
        <f>IFERROR(__xludf.DUMMYFUNCTION("GOOGLETRANSLATE(B296,""in"", ""en"")"),"The receptionist does not quickly provide information if I can upgrade the room, so I am twice the payment room.")</f>
        <v>The receptionist does not quickly provide information if I can upgrade the room, so I am twice the payment room.</v>
      </c>
      <c r="D296" s="6">
        <v>3.0</v>
      </c>
      <c r="E296" s="6">
        <v>0.0</v>
      </c>
    </row>
    <row r="297" ht="15.75" customHeight="1">
      <c r="A297" s="4">
        <f t="shared" si="1"/>
        <v>296</v>
      </c>
      <c r="B297" s="8" t="s">
        <v>490</v>
      </c>
      <c r="C297" s="10" t="str">
        <f>IFERROR(__xludf.DUMMYFUNCTION("GOOGLETRANSLATE(B297,""in"", ""en"")"),"Can't enter because under 18. waste ""money.")</f>
        <v>Can't enter because under 18. waste "money.</v>
      </c>
      <c r="D297" s="6">
        <v>1.0</v>
      </c>
      <c r="E297" s="6">
        <v>0.0</v>
      </c>
    </row>
    <row r="298" ht="15.75" customHeight="1">
      <c r="A298" s="4">
        <f t="shared" si="1"/>
        <v>297</v>
      </c>
      <c r="B298" s="8" t="s">
        <v>491</v>
      </c>
      <c r="C298" s="10" t="str">
        <f>IFERROR(__xludf.DUMMYFUNCTION("GOOGLETRANSLATE(B298,""in"", ""en"")"),"Neighbors POD Telponan all night, very disturbing even though there are rules of Quite Hours at 9-7 at night. Already complain but from the host only let it. Very unprofessional.")</f>
        <v>Neighbors POD Telponan all night, very disturbing even though there are rules of Quite Hours at 9-7 at night. Already complain but from the host only let it. Very unprofessional.</v>
      </c>
      <c r="D298" s="6">
        <v>3.0</v>
      </c>
      <c r="E298" s="6">
        <v>0.0</v>
      </c>
    </row>
    <row r="299" ht="15.75" customHeight="1">
      <c r="A299" s="4">
        <f t="shared" si="1"/>
        <v>298</v>
      </c>
      <c r="B299" s="8" t="s">
        <v>492</v>
      </c>
      <c r="C299" s="10" t="str">
        <f>IFERROR(__xludf.DUMMYFUNCTION("GOOGLETRANSLATE(B299,""in"", ""en"")"),"Clean hotel, fragrance towel, fragrance room, just a pillow too thin needs to be replaced.")</f>
        <v>Clean hotel, fragrance towel, fragrance room, just a pillow too thin needs to be replaced.</v>
      </c>
      <c r="D299" s="6">
        <v>1.0</v>
      </c>
      <c r="E299" s="6">
        <v>0.0</v>
      </c>
    </row>
    <row r="300" ht="15.75" customHeight="1">
      <c r="A300" s="4">
        <f t="shared" si="1"/>
        <v>299</v>
      </c>
      <c r="B300" s="8" t="s">
        <v>493</v>
      </c>
      <c r="C300" s="10" t="str">
        <f>IFERROR(__xludf.DUMMYFUNCTION("GOOGLETRANSLATE(B300,""in"", ""en"")"),"Receptionist is not polite! Don't have a good attitude. The smell of the toilet enters the pods, a blanket has a lot of yellow stains.")</f>
        <v>Receptionist is not polite! Don't have a good attitude. The smell of the toilet enters the pods, a blanket has a lot of yellow stains.</v>
      </c>
      <c r="D300" s="6">
        <v>3.0</v>
      </c>
      <c r="E300" s="6">
        <v>0.0</v>
      </c>
    </row>
    <row r="301" ht="15.75" customHeight="1">
      <c r="A301" s="4">
        <f t="shared" si="1"/>
        <v>300</v>
      </c>
      <c r="B301" s="11" t="s">
        <v>494</v>
      </c>
      <c r="C301" s="10" t="str">
        <f>IFERROR(__xludf.DUMMYFUNCTION("GOOGLETRANSLATE(B301,""in"", ""en"")"),"Lots of stains. The toilet is less clean and some of the toilet smells")</f>
        <v>Lots of stains. The toilet is less clean and some of the toilet smells</v>
      </c>
      <c r="D301" s="6">
        <v>3.0</v>
      </c>
      <c r="E301" s="6">
        <v>0.0</v>
      </c>
    </row>
    <row r="302" ht="15.75" customHeight="1">
      <c r="A302" s="4">
        <f t="shared" si="1"/>
        <v>301</v>
      </c>
      <c r="B302" s="12" t="s">
        <v>495</v>
      </c>
      <c r="C302" s="10" t="str">
        <f>IFERROR(__xludf.DUMMYFUNCTION("GOOGLETRANSLATE(B302,""in"", ""en"")"),"For the park yard, it needs cleaning, there are still rubbish and high grass")</f>
        <v>For the park yard, it needs cleaning, there are still rubbish and high grass</v>
      </c>
      <c r="D302" s="6">
        <v>2.0</v>
      </c>
      <c r="E302" s="6">
        <v>0.0</v>
      </c>
    </row>
    <row r="303" ht="15.75" customHeight="1">
      <c r="A303" s="4">
        <f t="shared" si="1"/>
        <v>302</v>
      </c>
      <c r="B303" s="12" t="s">
        <v>496</v>
      </c>
      <c r="C303" s="10" t="str">
        <f>IFERROR(__xludf.DUMMYFUNCTION("GOOGLETRANSLATE(B303,""in"", ""en"")"),"Nice for Adult. But for Child Must Be Alert. Children can't be shut up")</f>
        <v>Nice for Adult. But for Child Must Be Alert. Children can't be shut up</v>
      </c>
      <c r="D303" s="6">
        <v>2.0</v>
      </c>
      <c r="E303" s="6">
        <v>0.0</v>
      </c>
    </row>
    <row r="304" ht="15.75" customHeight="1">
      <c r="A304" s="4">
        <f t="shared" si="1"/>
        <v>303</v>
      </c>
      <c r="B304" s="12" t="s">
        <v>497</v>
      </c>
      <c r="C304" s="10" t="str">
        <f>IFERROR(__xludf.DUMMYFUNCTION("GOOGLETRANSLATE(B304,""in"", ""en"")"),"Hot")</f>
        <v>Hot</v>
      </c>
      <c r="D304" s="6">
        <v>3.0</v>
      </c>
      <c r="E304" s="6">
        <v>0.0</v>
      </c>
    </row>
    <row r="305" ht="15.75" customHeight="1">
      <c r="A305" s="4">
        <f t="shared" si="1"/>
        <v>304</v>
      </c>
      <c r="B305" s="12" t="s">
        <v>498</v>
      </c>
      <c r="C305" s="10" t="str">
        <f>IFERROR(__xludf.DUMMYFUNCTION("GOOGLETRANSLATE(B305,""in"", ""en"")"),"The rooms are very narrow and difficult to reach for example want to stand or go up to the top bed must be careful (I ordered Sky) but the service is cool")</f>
        <v>The rooms are very narrow and difficult to reach for example want to stand or go up to the top bed must be careful (I ordered Sky) but the service is cool</v>
      </c>
      <c r="D305" s="6">
        <v>1.0</v>
      </c>
      <c r="E305" s="6">
        <v>0.0</v>
      </c>
    </row>
    <row r="306" ht="15.75" customHeight="1">
      <c r="A306" s="4">
        <f t="shared" si="1"/>
        <v>305</v>
      </c>
      <c r="B306" s="12" t="s">
        <v>499</v>
      </c>
      <c r="C306" s="10" t="str">
        <f>IFERROR(__xludf.DUMMYFUNCTION("GOOGLETRANSLATE(B306,""in"", ""en"")"),"Ohhhhhh buying a tool to kill flies is very disturbing tdr dilalerinn to the ears other than everything is okay")</f>
        <v>Ohhhhhh buying a tool to kill flies is very disturbing tdr dilalerinn to the ears other than everything is okay</v>
      </c>
      <c r="D306" s="6">
        <v>3.0</v>
      </c>
      <c r="E306" s="6">
        <v>0.0</v>
      </c>
    </row>
    <row r="307" ht="15.75" customHeight="1">
      <c r="A307" s="4">
        <f t="shared" si="1"/>
        <v>306</v>
      </c>
      <c r="B307" s="12" t="s">
        <v>500</v>
      </c>
      <c r="C307" s="10" t="str">
        <f>IFERROR(__xludf.DUMMYFUNCTION("GOOGLETRANSLATE(B307,""in"", ""en"")"),"The cleanliness of the toilet really needs to be improved
Make sure guests/staff may not smoke in the toilet
When I stayed overnight, 30 Jun - 2 Jul toilet 3rd floor you cigaretically
Uncomfortable!")</f>
        <v>The cleanliness of the toilet really needs to be improved
Make sure guests/staff may not smoke in the toilet
When I stayed overnight, 30 Jun - 2 Jul toilet 3rd floor you cigaretically
Uncomfortable!</v>
      </c>
      <c r="D307" s="6">
        <v>3.0</v>
      </c>
      <c r="E307" s="6">
        <v>0.0</v>
      </c>
    </row>
    <row r="308" ht="15.75" customHeight="1">
      <c r="A308" s="4">
        <f t="shared" si="1"/>
        <v>307</v>
      </c>
      <c r="B308" s="12" t="s">
        <v>501</v>
      </c>
      <c r="C308" s="10" t="str">
        <f>IFERROR(__xludf.DUMMYFUNCTION("GOOGLETRANSLATE(B308,""in"", ""en"")"),"I forgot about the locker policy in accordance with the room number, here is not explained more when I check. As a result, I made me as long as I took it and I took the locker key number 15. Okay, I'm wrong, but I'm sorry, why is it. But, the mas are not "&amp;"apologizing for not explaining at the beginning. But I haven't slept here for more than a year, I forgot, Bad Service. Checkkin 07/07/23.")</f>
        <v>I forgot about the locker policy in accordance with the room number, here is not explained more when I check. As a result, I made me as long as I took it and I took the locker key number 15. Okay, I'm wrong, but I'm sorry, why is it. But, the mas are not apologizing for not explaining at the beginning. But I haven't slept here for more than a year, I forgot, Bad Service. Checkkin 07/07/23.</v>
      </c>
      <c r="D308" s="6">
        <v>3.0</v>
      </c>
      <c r="E308" s="6">
        <v>0.0</v>
      </c>
    </row>
    <row r="309" ht="15.75" customHeight="1">
      <c r="A309" s="4">
        <f t="shared" si="1"/>
        <v>308</v>
      </c>
      <c r="B309" s="12" t="s">
        <v>502</v>
      </c>
      <c r="C309" s="10" t="str">
        <f>IFERROR(__xludf.DUMMYFUNCTION("GOOGLETRANSLATE(B309,""in"", ""en"")"),"I died and was waiting for a long time to be generated, the bathroom lights couldn't die, ordered any long time came even an instant coffee, overall all could still be understood, next CB was repaired again, and could choose cabin, no matter how much I wo"&amp;"uld pay if I could move")</f>
        <v>I died and was waiting for a long time to be generated, the bathroom lights couldn't die, ordered any long time came even an instant coffee, overall all could still be understood, next CB was repaired again, and could choose cabin, no matter how much I would pay if I could move</v>
      </c>
      <c r="D309" s="6">
        <v>3.0</v>
      </c>
      <c r="E309" s="6">
        <v>0.0</v>
      </c>
    </row>
    <row r="310" ht="15.75" customHeight="1">
      <c r="A310" s="4">
        <f t="shared" si="1"/>
        <v>309</v>
      </c>
      <c r="B310" s="12" t="s">
        <v>503</v>
      </c>
      <c r="C310" s="10" t="str">
        <f>IFERROR(__xludf.DUMMYFUNCTION("GOOGLETRANSLATE(B310,""in"", ""en"")"),"+ Great ambience
+ nice view
+ Nature Vibes
+ Humble, Polite, Helpful Staffs
+ accessable
- Toilet still dirty
- There's still trash in the trashbin
- The floor was sticky
- The Terrace was very dirty, so many dry leaves, twigs and dead insects.
- The Ou"&amp;"tside Chairs and Tables are very dusty
- The BPADS Not Working Properly.")</f>
        <v>+ Great ambience
+ nice view
+ Nature Vibes
+ Humble, Polite, Helpful Staffs
+ accessable
- Toilet still dirty
- There's still trash in the trashbin
- The floor was sticky
- The Terrace was very dirty, so many dry leaves, twigs and dead insects.
- The Outside Chairs and Tables are very dusty
- The BPADS Not Working Properly.</v>
      </c>
      <c r="D310" s="6">
        <v>2.0</v>
      </c>
      <c r="E310" s="6">
        <v>0.0</v>
      </c>
    </row>
    <row r="311" ht="15.75" customHeight="1">
      <c r="A311" s="4">
        <f t="shared" si="1"/>
        <v>310</v>
      </c>
      <c r="B311" s="12" t="s">
        <v>504</v>
      </c>
      <c r="C311" s="10" t="str">
        <f>IFERROR(__xludf.DUMMYFUNCTION("GOOGLETRANSLATE(B311,""in"", ""en"")"),"Access in and out of the room is rather difficult, because it must use the application. Better cards, according to the number of occupants of the room. Lack of cleanliness, many smells smell bad. Especially toilets near the receptionist. There is no parki"&amp;"ng (this is really homework, maybe more suitable for travelers without vehicles). Rigid, want to check out at 11 o'clock and leave the item for a while for the afternoon, rejected. Different from the inn next to the one that is as tired (cap ** le)")</f>
        <v>Access in and out of the room is rather difficult, because it must use the application. Better cards, according to the number of occupants of the room. Lack of cleanliness, many smells smell bad. Especially toilets near the receptionist. There is no parking (this is really homework, maybe more suitable for travelers without vehicles). Rigid, want to check out at 11 o'clock and leave the item for a while for the afternoon, rejected. Different from the inn next to the one that is as tired (cap ** le)</v>
      </c>
      <c r="D311" s="6">
        <v>2.0</v>
      </c>
      <c r="E311" s="6">
        <v>1.0</v>
      </c>
    </row>
    <row r="312" ht="15.75" customHeight="1">
      <c r="A312" s="4">
        <f t="shared" si="1"/>
        <v>311</v>
      </c>
      <c r="B312" s="12" t="s">
        <v>505</v>
      </c>
      <c r="C312" s="10" t="str">
        <f>IFERROR(__xludf.DUMMYFUNCTION("GOOGLETRANSLATE(B312,""in"", ""en"")"),"The cleanliness of the toilet must be increased
")</f>
        <v>The cleanliness of the toilet must be increased
</v>
      </c>
      <c r="D312" s="6">
        <v>3.0</v>
      </c>
      <c r="E312" s="6">
        <v>0.0</v>
      </c>
    </row>
    <row r="313" ht="15.75" customHeight="1">
      <c r="A313" s="4">
        <f t="shared" si="1"/>
        <v>312</v>
      </c>
      <c r="B313" s="12" t="s">
        <v>506</v>
      </c>
      <c r="C313" s="10" t="str">
        <f>IFERROR(__xludf.DUMMYFUNCTION("GOOGLETRANSLATE(B313,""in"", ""en"")"),"All cabin should be made the same, but there are cabins that have balconies and some are not balcony, instead facing the bushes. Very disappointed")</f>
        <v>All cabin should be made the same, but there are cabins that have balconies and some are not balcony, instead facing the bushes. Very disappointed</v>
      </c>
      <c r="D313" s="6">
        <v>2.0</v>
      </c>
      <c r="E313" s="6">
        <v>0.0</v>
      </c>
    </row>
    <row r="314" ht="15.75" customHeight="1">
      <c r="A314" s="4">
        <f t="shared" si="1"/>
        <v>313</v>
      </c>
      <c r="B314" s="12" t="s">
        <v>507</v>
      </c>
      <c r="C314" s="10" t="str">
        <f>IFERROR(__xludf.DUMMYFUNCTION("GOOGLETRANSLATE(B314,""in"", ""en"")"),"Add a cabinet")</f>
        <v>Add a cabinet</v>
      </c>
      <c r="D314" s="6">
        <v>1.0</v>
      </c>
      <c r="E314" s="6">
        <v>0.0</v>
      </c>
    </row>
    <row r="315" ht="15.75" customHeight="1">
      <c r="A315" s="4">
        <f t="shared" si="1"/>
        <v>314</v>
      </c>
      <c r="B315" s="12" t="s">
        <v>508</v>
      </c>
      <c r="C315" s="10" t="str">
        <f>IFERROR(__xludf.DUMMYFUNCTION("GOOGLETRANSLATE(B315,""in"", ""en"")"),"The elevator is lacking lighting and smell")</f>
        <v>The elevator is lacking lighting and smell</v>
      </c>
      <c r="D315" s="6">
        <v>3.0</v>
      </c>
      <c r="E315" s="6">
        <v>0.0</v>
      </c>
    </row>
    <row r="316" ht="15.75" customHeight="1">
      <c r="A316" s="4">
        <f t="shared" si="1"/>
        <v>315</v>
      </c>
      <c r="B316" s="12" t="s">
        <v>509</v>
      </c>
      <c r="C316" s="10" t="str">
        <f>IFERROR(__xludf.DUMMYFUNCTION("GOOGLETRANSLATE(B316,""in"", ""en"")"),"The AC can't be closed and noisy.")</f>
        <v>The AC can't be closed and noisy.</v>
      </c>
      <c r="D316" s="6">
        <v>3.0</v>
      </c>
      <c r="E316" s="6">
        <v>0.0</v>
      </c>
    </row>
    <row r="317" ht="15.75" customHeight="1">
      <c r="A317" s="4">
        <f t="shared" si="1"/>
        <v>316</v>
      </c>
      <c r="B317" s="12" t="s">
        <v>510</v>
      </c>
      <c r="C317" s="10" t="str">
        <f>IFERROR(__xludf.DUMMYFUNCTION("GOOGLETRANSLATE(B317,""in"", ""en"")"),"The toilet is a little dirty,
While sleeping a lot of earthquakes from people who go up and down the bed")</f>
        <v>The toilet is a little dirty,
While sleeping a lot of earthquakes from people who go up and down the bed</v>
      </c>
      <c r="D317" s="6">
        <v>3.0</v>
      </c>
      <c r="E317" s="6">
        <v>0.0</v>
      </c>
    </row>
    <row r="318" ht="15.75" customHeight="1">
      <c r="A318" s="4">
        <f t="shared" si="1"/>
        <v>317</v>
      </c>
      <c r="B318" s="12" t="s">
        <v>511</v>
      </c>
      <c r="C318" s="10" t="str">
        <f>IFERROR(__xludf.DUMMYFUNCTION("GOOGLETRANSLATE(B318,""in"", ""en"")"),"Hello sis, I want to give a little advice. For bed linen and mattresses provided in Bobobox. It's good enough but in terms of cleanliness and comfort that is a little disturbed. Even more attention, thank you. Spirit sis !!")</f>
        <v>Hello sis, I want to give a little advice. For bed linen and mattresses provided in Bobobox. It's good enough but in terms of cleanliness and comfort that is a little disturbed. Even more attention, thank you. Spirit sis !!</v>
      </c>
      <c r="D318" s="6">
        <v>2.0</v>
      </c>
      <c r="E318" s="6">
        <v>0.0</v>
      </c>
    </row>
    <row r="319" ht="15.75" customHeight="1">
      <c r="A319" s="4">
        <f t="shared" si="1"/>
        <v>318</v>
      </c>
      <c r="B319" s="12" t="s">
        <v>512</v>
      </c>
      <c r="C319" s="10" t="str">
        <f>IFERROR(__xludf.DUMMYFUNCTION("GOOGLETRANSLATE(B319,""in"", ""en"")"),"Dirty and lacking, only one toliet, the elderly cannot stand to Toliet must often go to Toliet, so it's not comfortable here")</f>
        <v>Dirty and lacking, only one toliet, the elderly cannot stand to Toliet must often go to Toliet, so it's not comfortable here</v>
      </c>
      <c r="D319" s="6">
        <v>3.0</v>
      </c>
      <c r="E319" s="6">
        <v>0.0</v>
      </c>
    </row>
    <row r="320" ht="15.75" customHeight="1">
      <c r="A320" s="4">
        <f t="shared" si="1"/>
        <v>319</v>
      </c>
      <c r="B320" s="12" t="s">
        <v>512</v>
      </c>
      <c r="C320" s="10" t="str">
        <f>IFERROR(__xludf.DUMMYFUNCTION("GOOGLETRANSLATE(B320,""in"", ""en"")"),"Dirty and lacking, only one toliet, the elderly cannot stand to Toliet must often go to Toliet, so it's not comfortable here")</f>
        <v>Dirty and lacking, only one toliet, the elderly cannot stand to Toliet must often go to Toliet, so it's not comfortable here</v>
      </c>
      <c r="D320" s="6">
        <v>3.0</v>
      </c>
      <c r="E320" s="6">
        <v>0.0</v>
      </c>
    </row>
    <row r="321" ht="15.75" customHeight="1">
      <c r="A321" s="4">
        <f t="shared" si="1"/>
        <v>320</v>
      </c>
      <c r="B321" s="12" t="s">
        <v>513</v>
      </c>
      <c r="C321" s="10" t="str">
        <f>IFERROR(__xludf.DUMMYFUNCTION("GOOGLETRANSLATE(B321,""in"", ""en"")"),"Staff response must be improved")</f>
        <v>Staff response must be improved</v>
      </c>
      <c r="D321" s="6">
        <v>3.0</v>
      </c>
      <c r="E321" s="6">
        <v>0.0</v>
      </c>
    </row>
    <row r="322" ht="15.75" customHeight="1">
      <c r="A322" s="4">
        <f t="shared" si="1"/>
        <v>321</v>
      </c>
      <c r="B322" s="12" t="s">
        <v>514</v>
      </c>
      <c r="C322" s="10" t="str">
        <f>IFERROR(__xludf.DUMMYFUNCTION("GOOGLETRANSLATE(B322,""in"", ""en"")"),"even though I want to come back again, instead in checkoutin, how about")</f>
        <v>even though I want to come back again, instead in checkoutin, how about</v>
      </c>
      <c r="D322" s="6">
        <v>3.0</v>
      </c>
      <c r="E322" s="6">
        <v>1.0</v>
      </c>
    </row>
    <row r="323" ht="15.75" customHeight="1">
      <c r="A323" s="4">
        <f t="shared" si="1"/>
        <v>322</v>
      </c>
      <c r="B323" s="12" t="s">
        <v>515</v>
      </c>
      <c r="C323" s="10" t="str">
        <f>IFERROR(__xludf.DUMMYFUNCTION("GOOGLETRANSLATE(B323,""in"", ""en"")"),"The toilet was clogged a lot of the time.")</f>
        <v>The toilet was clogged a lot of the time.</v>
      </c>
      <c r="D323" s="6">
        <v>3.0</v>
      </c>
      <c r="E323" s="6">
        <v>0.0</v>
      </c>
    </row>
    <row r="324" ht="15.75" customHeight="1">
      <c r="A324" s="4">
        <f t="shared" si="1"/>
        <v>323</v>
      </c>
      <c r="B324" s="12" t="s">
        <v>516</v>
      </c>
      <c r="C324" s="10" t="str">
        <f>IFERROR(__xludf.DUMMYFUNCTION("GOOGLETRANSLATE(B324,""in"", ""en"")"),"When staying at the Bandung Alun Bed Bed Sheets and the blanket and the towel is not fragrant, usually staying in another branch fragrant like it is so laundry.")</f>
        <v>When staying at the Bandung Alun Bed Bed Sheets and the blanket and the towel is not fragrant, usually staying in another branch fragrant like it is so laundry.</v>
      </c>
      <c r="D324" s="6">
        <v>2.0</v>
      </c>
      <c r="E324" s="6">
        <v>0.0</v>
      </c>
    </row>
    <row r="325" ht="15.75" customHeight="1">
      <c r="A325" s="4">
        <f t="shared" si="1"/>
        <v>324</v>
      </c>
      <c r="B325" s="12" t="s">
        <v>517</v>
      </c>
      <c r="C325" s="10" t="str">
        <f>IFERROR(__xludf.DUMMYFUNCTION("GOOGLETRANSLATE(B325,""in"", ""en"")"),"You should include breakfast")</f>
        <v>You should include breakfast</v>
      </c>
      <c r="D325" s="6">
        <v>1.0</v>
      </c>
      <c r="E325" s="6">
        <v>0.0</v>
      </c>
    </row>
    <row r="326" ht="15.75" customHeight="1">
      <c r="A326" s="4">
        <f t="shared" si="1"/>
        <v>325</v>
      </c>
      <c r="B326" s="12" t="s">
        <v>518</v>
      </c>
      <c r="C326" s="10" t="str">
        <f>IFERROR(__xludf.DUMMYFUNCTION("GOOGLETRANSLATE(B326,""in"", ""en"")"),"The blanket was too small for 3 adult sleeping on king size.")</f>
        <v>The blanket was too small for 3 adult sleeping on king size.</v>
      </c>
      <c r="D326" s="6">
        <v>1.0</v>
      </c>
      <c r="E326" s="6">
        <v>0.0</v>
      </c>
    </row>
    <row r="327" ht="15.75" customHeight="1">
      <c r="A327" s="4">
        <f t="shared" si="1"/>
        <v>326</v>
      </c>
      <c r="B327" s="12" t="s">
        <v>519</v>
      </c>
      <c r="C327" s="10" t="str">
        <f>IFERROR(__xludf.DUMMYFUNCTION("GOOGLETRANSLATE(B327,""in"", ""en"")"),"Host Service Woman Unfriendly")</f>
        <v>Host Service Woman Unfriendly</v>
      </c>
      <c r="D327" s="6">
        <v>2.0</v>
      </c>
      <c r="E327" s="6">
        <v>0.0</v>
      </c>
    </row>
    <row r="328" ht="15.75" customHeight="1">
      <c r="A328" s="4">
        <f t="shared" si="1"/>
        <v>327</v>
      </c>
      <c r="B328" s="12" t="s">
        <v>520</v>
      </c>
      <c r="C328" s="10" t="str">
        <f>IFERROR(__xludf.DUMMYFUNCTION("GOOGLETRANSLATE(B328,""in"", ""en"")"),"Can't get a cellphone on the pod")</f>
        <v>Can't get a cellphone on the pod</v>
      </c>
      <c r="D328" s="6">
        <v>3.0</v>
      </c>
      <c r="E328" s="6">
        <v>1.0</v>
      </c>
    </row>
    <row r="329" ht="15.75" customHeight="1">
      <c r="A329" s="4">
        <f t="shared" si="1"/>
        <v>328</v>
      </c>
      <c r="B329" s="12" t="s">
        <v>521</v>
      </c>
      <c r="C329" s="10" t="str">
        <f>IFERROR(__xludf.DUMMYFUNCTION("GOOGLETRANSLATE(B329,""in"", ""en"")"),"When I put face wash in the bathroom disappear. This also includes my mistake because of the face wash behind the sink glass but as a housekeeping it should not be discarded arbitrarily because it can be stored first before I look for my items.")</f>
        <v>When I put face wash in the bathroom disappear. This also includes my mistake because of the face wash behind the sink glass but as a housekeeping it should not be discarded arbitrarily because it can be stored first before I look for my items.</v>
      </c>
      <c r="D329" s="6">
        <v>3.0</v>
      </c>
      <c r="E329" s="6">
        <v>0.0</v>
      </c>
    </row>
    <row r="330" ht="15.75" customHeight="1">
      <c r="A330" s="4">
        <f t="shared" si="1"/>
        <v>329</v>
      </c>
      <c r="B330" s="12" t="s">
        <v>522</v>
      </c>
      <c r="C330" s="10" t="str">
        <f>IFERROR(__xludf.DUMMYFUNCTION("GOOGLETRANSLATE(B330,""in"", ""en"")"),"A little disturbed because there was a sound from outside especially if there was a small child running in the corridor. Maybe given a reminder in the corridor also to stay calm in addition to automatic reminders in the pod.")</f>
        <v>A little disturbed because there was a sound from outside especially if there was a small child running in the corridor. Maybe given a reminder in the corridor also to stay calm in addition to automatic reminders in the pod.</v>
      </c>
      <c r="D330" s="6">
        <v>2.0</v>
      </c>
      <c r="E330" s="6">
        <v>0.0</v>
      </c>
    </row>
    <row r="331" ht="15.75" customHeight="1">
      <c r="A331" s="4">
        <f t="shared" si="1"/>
        <v>330</v>
      </c>
      <c r="B331" s="12" t="s">
        <v>523</v>
      </c>
      <c r="C331" s="10" t="str">
        <f>IFERROR(__xludf.DUMMYFUNCTION("GOOGLETRANSLATE(B331,""in"", ""en"")"),"The cancellation makes it really thin, the hot water is dead, there is only a lot of cabin projectors and the firewood rate is not in accordance with the list, thank you")</f>
        <v>The cancellation makes it really thin, the hot water is dead, there is only a lot of cabin projectors and the firewood rate is not in accordance with the list, thank you</v>
      </c>
      <c r="D331" s="6">
        <v>3.0</v>
      </c>
      <c r="E331" s="6">
        <v>0.0</v>
      </c>
    </row>
    <row r="332" ht="15.75" customHeight="1">
      <c r="A332" s="4">
        <f t="shared" si="1"/>
        <v>331</v>
      </c>
      <c r="B332" s="12" t="s">
        <v>524</v>
      </c>
      <c r="C332" s="10" t="str">
        <f>IFERROR(__xludf.DUMMYFUNCTION("GOOGLETRANSLATE(B332,""in"", ""en"")"),"Internet Low")</f>
        <v>Internet Low</v>
      </c>
      <c r="D332" s="6">
        <v>3.0</v>
      </c>
      <c r="E332" s="6">
        <v>1.0</v>
      </c>
    </row>
    <row r="333" ht="15.75" customHeight="1">
      <c r="A333" s="4">
        <f t="shared" si="1"/>
        <v>332</v>
      </c>
      <c r="B333" s="12" t="s">
        <v>525</v>
      </c>
      <c r="C333" s="10" t="str">
        <f>IFERROR(__xludf.DUMMYFUNCTION("GOOGLETRANSLATE(B333,""in"", ""en"")"),"2nd floor, shower was broken")</f>
        <v>2nd floor, shower was broken</v>
      </c>
      <c r="D333" s="6">
        <v>3.0</v>
      </c>
      <c r="E333" s="6">
        <v>0.0</v>
      </c>
    </row>
    <row r="334" ht="15.75" customHeight="1">
      <c r="A334" s="4">
        <f t="shared" si="1"/>
        <v>333</v>
      </c>
      <c r="B334" s="12" t="s">
        <v>526</v>
      </c>
      <c r="C334" s="10" t="str">
        <f>IFERROR(__xludf.DUMMYFUNCTION("GOOGLETRANSLATE(B334,""in"", ""en"")"),"The mattress is softer")</f>
        <v>The mattress is softer</v>
      </c>
      <c r="D334" s="6">
        <v>1.0</v>
      </c>
      <c r="E334" s="6">
        <v>0.0</v>
      </c>
    </row>
    <row r="335" ht="15.75" customHeight="1">
      <c r="A335" s="4">
        <f t="shared" si="1"/>
        <v>334</v>
      </c>
      <c r="B335" s="12" t="s">
        <v>527</v>
      </c>
      <c r="C335" s="10" t="str">
        <f>IFERROR(__xludf.DUMMYFUNCTION("GOOGLETRANSLATE(B335,""in"", ""en"")"),"Need Towel")</f>
        <v>Need Towel</v>
      </c>
      <c r="D335" s="6">
        <v>2.0</v>
      </c>
      <c r="E335" s="6">
        <v>0.0</v>
      </c>
    </row>
    <row r="336" ht="15.75" customHeight="1">
      <c r="A336" s="4">
        <f t="shared" si="1"/>
        <v>335</v>
      </c>
      <c r="B336" s="12" t="s">
        <v>528</v>
      </c>
      <c r="C336" s="10" t="str">
        <f>IFERROR(__xludf.DUMMYFUNCTION("GOOGLETRANSLATE(B336,""in"", ""en"")"),"Good")</f>
        <v>Good</v>
      </c>
      <c r="D336" s="6">
        <v>1.0</v>
      </c>
      <c r="E336" s="6">
        <v>0.0</v>
      </c>
    </row>
    <row r="337" ht="15.75" customHeight="1">
      <c r="A337" s="4">
        <f t="shared" si="1"/>
        <v>336</v>
      </c>
      <c r="B337" s="12" t="s">
        <v>529</v>
      </c>
      <c r="C337" s="10" t="str">
        <f>IFERROR(__xludf.DUMMYFUNCTION("GOOGLETRANSLATE(B337,""in"", ""en"")"),"There is no shuttle from the parking lot to the lobby")</f>
        <v>There is no shuttle from the parking lot to the lobby</v>
      </c>
      <c r="D337" s="6">
        <v>2.0</v>
      </c>
      <c r="E337" s="6">
        <v>0.0</v>
      </c>
    </row>
    <row r="338" ht="15.75" customHeight="1">
      <c r="A338" s="4">
        <f t="shared" si="1"/>
        <v>337</v>
      </c>
      <c r="B338" s="12" t="s">
        <v>530</v>
      </c>
      <c r="C338" s="10" t="str">
        <f>IFERROR(__xludf.DUMMYFUNCTION("GOOGLETRANSLATE(B338,""in"", ""en"")"),"Please fix the hairdryer, it says that can be used for 3 until 5 minutes but it was off even before 2 minutes, thank you")</f>
        <v>Please fix the hairdryer, it says that can be used for 3 until 5 minutes but it was off even before 2 minutes, thank you</v>
      </c>
      <c r="D338" s="6">
        <v>2.0</v>
      </c>
      <c r="E338" s="6">
        <v>0.0</v>
      </c>
    </row>
    <row r="339" ht="15.75" customHeight="1">
      <c r="A339" s="4">
        <f t="shared" si="1"/>
        <v>338</v>
      </c>
      <c r="B339" s="12" t="s">
        <v>531</v>
      </c>
      <c r="C339" s="10" t="str">
        <f>IFERROR(__xludf.DUMMYFUNCTION("GOOGLETRANSLATE(B339,""in"", ""en"")"),"It's not good, there's only a chocolate stain of a little child, a little fine of 100 thousand")</f>
        <v>It's not good, there's only a chocolate stain of a little child, a little fine of 100 thousand</v>
      </c>
      <c r="D339" s="6">
        <v>1.0</v>
      </c>
      <c r="E339" s="6">
        <v>0.0</v>
      </c>
    </row>
    <row r="340" ht="15.75" customHeight="1">
      <c r="A340" s="4">
        <f t="shared" si="1"/>
        <v>339</v>
      </c>
      <c r="B340" s="12" t="s">
        <v>532</v>
      </c>
      <c r="C340" s="10" t="str">
        <f>IFERROR(__xludf.DUMMYFUNCTION("GOOGLETRANSLATE(B340,""in"", ""en"")"),"Not polite")</f>
        <v>Not polite</v>
      </c>
      <c r="D340" s="6">
        <v>2.0</v>
      </c>
      <c r="E340" s="6">
        <v>0.0</v>
      </c>
    </row>
    <row r="341" ht="15.75" customHeight="1">
      <c r="A341" s="4">
        <f t="shared" si="1"/>
        <v>340</v>
      </c>
      <c r="B341" s="12" t="s">
        <v>533</v>
      </c>
      <c r="C341" s="10" t="str">
        <f>IFERROR(__xludf.DUMMYFUNCTION("GOOGLETRANSLATE(B341,""in"", ""en"")"),"The place was wonderful, opportunity for improovement are guest need help for brings their luggages to the cabin and there are many snails in the cabin")</f>
        <v>The place was wonderful, opportunity for improovement are guest need help for brings their luggages to the cabin and there are many snails in the cabin</v>
      </c>
      <c r="D341" s="6">
        <v>1.0</v>
      </c>
      <c r="E341" s="6">
        <v>0.0</v>
      </c>
    </row>
    <row r="342" ht="15.75" customHeight="1">
      <c r="A342" s="4">
        <f t="shared" si="1"/>
        <v>341</v>
      </c>
      <c r="B342" s="12" t="s">
        <v>534</v>
      </c>
      <c r="C342" s="10" t="str">
        <f>IFERROR(__xludf.DUMMYFUNCTION("GOOGLETRANSLATE(B342,""in"", ""en"")"),"Room Blinking Several Times, QR code not working even though they are tried to fix it")</f>
        <v>Room Blinking Several Times, QR code not working even though they are tried to fix it</v>
      </c>
      <c r="D342" s="6">
        <v>3.0</v>
      </c>
      <c r="E342" s="6">
        <v>1.0</v>
      </c>
    </row>
    <row r="343" ht="15.75" customHeight="1">
      <c r="A343" s="4">
        <f t="shared" si="1"/>
        <v>342</v>
      </c>
      <c r="B343" s="12" t="s">
        <v>535</v>
      </c>
      <c r="C343" s="10" t="str">
        <f>IFERROR(__xludf.DUMMYFUNCTION("GOOGLETRANSLATE(B343,""in"", ""en"")"),"The cleanliness of the room must be considered more, the facilities must be more well maintained.")</f>
        <v>The cleanliness of the room must be considered more, the facilities must be more well maintained.</v>
      </c>
      <c r="D343" s="6">
        <v>3.0</v>
      </c>
      <c r="E343" s="6">
        <v>0.0</v>
      </c>
    </row>
    <row r="344" ht="15.75" customHeight="1">
      <c r="A344" s="4">
        <f t="shared" si="1"/>
        <v>343</v>
      </c>
      <c r="B344" s="12" t="s">
        <v>536</v>
      </c>
      <c r="C344" s="10" t="str">
        <f>IFERROR(__xludf.DUMMYFUNCTION("GOOGLETRANSLATE(B344,""in"", ""en"")"),"A bit dirty, need to clean up daily. Overall OK")</f>
        <v>A bit dirty, need to clean up daily. Overall OK</v>
      </c>
      <c r="D344" s="6">
        <v>3.0</v>
      </c>
      <c r="E344" s="6">
        <v>0.0</v>
      </c>
    </row>
    <row r="345" ht="15.75" customHeight="1">
      <c r="A345" s="4">
        <f t="shared" si="1"/>
        <v>344</v>
      </c>
      <c r="B345" s="12" t="s">
        <v>537</v>
      </c>
      <c r="C345" s="10" t="str">
        <f>IFERROR(__xludf.DUMMYFUNCTION("GOOGLETRANSLATE(B345,""in"", ""en"")"),"The light system can not be turned off")</f>
        <v>The light system can not be turned off</v>
      </c>
      <c r="D345" s="6">
        <v>2.0</v>
      </c>
      <c r="E345" s="6">
        <v>0.0</v>
      </c>
    </row>
    <row r="346" ht="15.75" customHeight="1">
      <c r="A346" s="4">
        <f t="shared" si="1"/>
        <v>345</v>
      </c>
      <c r="B346" s="12" t="s">
        <v>538</v>
      </c>
      <c r="C346" s="10" t="str">
        <f>IFERROR(__xludf.DUMMYFUNCTION("GOOGLETRANSLATE(B346,""in"", ""en"")"),"No lift or escalator is not suitable for old people")</f>
        <v>No lift or escalator is not suitable for old people</v>
      </c>
      <c r="D346" s="6">
        <v>3.0</v>
      </c>
      <c r="E346" s="6">
        <v>0.0</v>
      </c>
    </row>
    <row r="347" ht="15.75" customHeight="1">
      <c r="A347" s="4">
        <f t="shared" si="1"/>
        <v>346</v>
      </c>
      <c r="B347" s="12" t="s">
        <v>539</v>
      </c>
      <c r="C347" s="10" t="str">
        <f>IFERROR(__xludf.DUMMYFUNCTION("GOOGLETRANSLATE(B347,""in"", ""en"")"),"No ad lift or exlate, not for old people")</f>
        <v>No ad lift or exlate, not for old people</v>
      </c>
      <c r="D347" s="6">
        <v>3.0</v>
      </c>
      <c r="E347" s="6">
        <v>0.0</v>
      </c>
    </row>
    <row r="348" ht="15.75" customHeight="1">
      <c r="A348" s="4">
        <f t="shared" si="1"/>
        <v>347</v>
      </c>
      <c r="B348" s="12" t="s">
        <v>540</v>
      </c>
      <c r="C348" s="10" t="str">
        <f>IFERROR(__xludf.DUMMYFUNCTION("GOOGLETRANSLATE(B348,""in"", ""en"")"),"The room is a lot of flies and mattress lice")</f>
        <v>The room is a lot of flies and mattress lice</v>
      </c>
      <c r="D348" s="6">
        <v>3.0</v>
      </c>
      <c r="E348" s="6">
        <v>0.0</v>
      </c>
    </row>
    <row r="349" ht="15.75" customHeight="1">
      <c r="A349" s="4">
        <f t="shared" si="1"/>
        <v>348</v>
      </c>
      <c r="B349" s="12" t="s">
        <v>541</v>
      </c>
      <c r="C349" s="10" t="str">
        <f>IFERROR(__xludf.DUMMYFUNCTION("GOOGLETRANSLATE(B349,""in"", ""en"")"),"I Talked with the Receptionist During the Morning Shift, I Asked Him ""Can I Entrust My Bags I-"" Even Though I'm Not Done Saying The Sentence, He Replied with ""No, You Can't"" ..
Actually I want to extend my night there, but I need to go somewhere firs"&amp;"t and entrust my bags there, so I can come back and check-in, but i changed my mind when he replied to me like that .. the hospitality is not friendly")</f>
        <v>I Talked with the Receptionist During the Morning Shift, I Asked Him "Can I Entrust My Bags I-" Even Though I'm Not Done Saying The Sentence, He Replied with "No, You Can't" ..
Actually I want to extend my night there, but I need to go somewhere first and entrust my bags there, so I can come back and check-in, but i changed my mind when he replied to me like that .. the hospitality is not friendly</v>
      </c>
      <c r="D349" s="6">
        <v>3.0</v>
      </c>
      <c r="E349" s="6">
        <v>0.0</v>
      </c>
    </row>
    <row r="350" ht="15.75" customHeight="1">
      <c r="A350" s="4">
        <f t="shared" si="1"/>
        <v>349</v>
      </c>
      <c r="B350" s="12" t="s">
        <v>542</v>
      </c>
      <c r="C350" s="10" t="str">
        <f>IFERROR(__xludf.DUMMYFUNCTION("GOOGLETRANSLATE(B350,""in"", ""en"")"),"The air conditioner is too cold even though it has been turned off, the room could not be locked")</f>
        <v>The air conditioner is too cold even though it has been turned off, the room could not be locked</v>
      </c>
      <c r="D350" s="6">
        <v>3.0</v>
      </c>
      <c r="E350" s="6">
        <v>0.0</v>
      </c>
    </row>
    <row r="351" ht="15.75" customHeight="1">
      <c r="A351" s="4">
        <f t="shared" si="1"/>
        <v>350</v>
      </c>
      <c r="B351" s="12" t="s">
        <v>543</v>
      </c>
      <c r="C351" s="10" t="str">
        <f>IFERROR(__xludf.DUMMYFUNCTION("GOOGLETRANSLATE(B351,""in"", ""en"")"),"The toilet lights are too dark")</f>
        <v>The toilet lights are too dark</v>
      </c>
      <c r="D351" s="6">
        <v>3.0</v>
      </c>
      <c r="E351" s="6">
        <v>0.0</v>
      </c>
    </row>
    <row r="352" ht="15.75" customHeight="1">
      <c r="A352" s="4">
        <f t="shared" si="1"/>
        <v>351</v>
      </c>
      <c r="B352" s="12" t="s">
        <v>544</v>
      </c>
      <c r="C352" s="10" t="str">
        <f>IFERROR(__xludf.DUMMYFUNCTION("GOOGLETRANSLATE(B352,""in"", ""en"")"),"Have a bad experience, can't sleep because under the room there is a Father ""It's cool chatting until 2 am. I have been knocked out to remind them but still not sensitive to stop chatting.")</f>
        <v>Have a bad experience, can't sleep because under the room there is a Father "It's cool chatting until 2 am. I have been knocked out to remind them but still not sensitive to stop chatting.</v>
      </c>
      <c r="D352" s="6">
        <v>3.0</v>
      </c>
      <c r="E352" s="6">
        <v>0.0</v>
      </c>
    </row>
    <row r="353" ht="15.75" customHeight="1">
      <c r="A353" s="4">
        <f t="shared" si="1"/>
        <v>352</v>
      </c>
      <c r="B353" s="12" t="s">
        <v>545</v>
      </c>
      <c r="C353" s="10" t="str">
        <f>IFERROR(__xludf.DUMMYFUNCTION("GOOGLETRANSLATE(B353,""in"", ""en"")"),"Nice experience, for Tiny Place.")</f>
        <v>Nice experience, for Tiny Place.</v>
      </c>
      <c r="D353" s="6">
        <v>1.0</v>
      </c>
      <c r="E353" s="6">
        <v>0.0</v>
      </c>
    </row>
    <row r="354" ht="15.75" customHeight="1">
      <c r="A354" s="4">
        <f t="shared" si="1"/>
        <v>353</v>
      </c>
      <c r="B354" s="12" t="s">
        <v>546</v>
      </c>
      <c r="C354" s="10" t="str">
        <f>IFERROR(__xludf.DUMMYFUNCTION("GOOGLETRANSLATE(B354,""in"", ""en"")"),"Must be cleaner even the toilet")</f>
        <v>Must be cleaner even the toilet</v>
      </c>
      <c r="D354" s="6">
        <v>2.0</v>
      </c>
      <c r="E354" s="6">
        <v>0.0</v>
      </c>
    </row>
    <row r="355" ht="15.75" customHeight="1">
      <c r="A355" s="4">
        <f t="shared" si="1"/>
        <v>354</v>
      </c>
      <c r="B355" s="12" t="s">
        <v>547</v>
      </c>
      <c r="C355" s="10" t="str">
        <f>IFERROR(__xludf.DUMMYFUNCTION("GOOGLETRANSLATE(B355,""in"", ""en"")"),"Air Conditioner and Toilet Could Be MUCH Better")</f>
        <v>Air Conditioner and Toilet Could Be MUCH Better</v>
      </c>
      <c r="D355" s="6">
        <v>2.0</v>
      </c>
      <c r="E355" s="6">
        <v>0.0</v>
      </c>
    </row>
    <row r="356" ht="15.75" customHeight="1">
      <c r="A356" s="4">
        <f t="shared" si="1"/>
        <v>355</v>
      </c>
      <c r="B356" s="12" t="s">
        <v>548</v>
      </c>
      <c r="C356" s="10" t="str">
        <f>IFERROR(__xludf.DUMMYFUNCTION("GOOGLETRANSLATE(B356,""in"", ""en"")"),"Still Got a Lot of Noises in Quite Hours")</f>
        <v>Still Got a Lot of Noises in Quite Hours</v>
      </c>
      <c r="D356" s="6">
        <v>2.0</v>
      </c>
      <c r="E356" s="6">
        <v>0.0</v>
      </c>
    </row>
    <row r="357" ht="15.75" customHeight="1">
      <c r="A357" s="4">
        <f t="shared" si="1"/>
        <v>356</v>
      </c>
      <c r="B357" s="12" t="s">
        <v>549</v>
      </c>
      <c r="C357" s="10" t="str">
        <f>IFERROR(__xludf.DUMMYFUNCTION("GOOGLETRANSLATE(B357,""in"", ""en"")"),"The room for the size of a single is too narrow and ngmbil room Earth Earth is a mourning of my nutmeg when I wake up, please increase the quality of the quality, facilities and services.")</f>
        <v>The room for the size of a single is too narrow and ngmbil room Earth Earth is a mourning of my nutmeg when I wake up, please increase the quality of the quality, facilities and services.</v>
      </c>
      <c r="D357" s="6">
        <v>2.0</v>
      </c>
      <c r="E357" s="6">
        <v>0.0</v>
      </c>
    </row>
    <row r="358" ht="15.75" customHeight="1">
      <c r="A358" s="4">
        <f t="shared" si="1"/>
        <v>357</v>
      </c>
      <c r="B358" s="12" t="s">
        <v>550</v>
      </c>
      <c r="C358" s="10" t="str">
        <f>IFERROR(__xludf.DUMMYFUNCTION("GOOGLETRANSLATE(B358,""in"", ""en"")"),"The bathroom is dirty because the curtain has not been replaced for a long time ... then for the toilet it is also not clean ... the pillow is a little dirty ... for the service ok")</f>
        <v>The bathroom is dirty because the curtain has not been replaced for a long time ... then for the toilet it is also not clean ... the pillow is a little dirty ... for the service ok</v>
      </c>
      <c r="D358" s="6">
        <v>3.0</v>
      </c>
      <c r="E358" s="6">
        <v>0.0</v>
      </c>
    </row>
    <row r="359" ht="15.75" customHeight="1">
      <c r="A359" s="4">
        <f t="shared" si="1"/>
        <v>358</v>
      </c>
      <c r="B359" s="12" t="s">
        <v>551</v>
      </c>
      <c r="C359" s="10" t="str">
        <f>IFERROR(__xludf.DUMMYFUNCTION("GOOGLETRANSLATE(B359,""in"", ""en"")"),"stay 2 days but the towel is given. When I asked for a towel 1 (because I wanted to take a shower first), I took it for a long time and asked a lot. When I asked 1 again, I even went back and down, the towel was already put on the pod, I hadn't taken it f"&amp;"or a long time. Pas MSK BBX")</f>
        <v>stay 2 days but the towel is given. When I asked for a towel 1 (because I wanted to take a shower first), I took it for a long time and asked a lot. When I asked 1 again, I even went back and down, the towel was already put on the pod, I hadn't taken it for a long time. Pas MSK BBX</v>
      </c>
      <c r="D359" s="6">
        <v>2.0</v>
      </c>
      <c r="E359" s="6">
        <v>0.0</v>
      </c>
    </row>
    <row r="360" ht="15.75" customHeight="1">
      <c r="A360" s="4">
        <f t="shared" si="1"/>
        <v>359</v>
      </c>
      <c r="B360" s="12" t="s">
        <v>552</v>
      </c>
      <c r="C360" s="10" t="str">
        <f>IFERROR(__xludf.DUMMYFUNCTION("GOOGLETRANSLATE(B360,""in"", ""en"")"),"Please channel water joke share bathroom")</f>
        <v>Please channel water joke share bathroom</v>
      </c>
      <c r="D360" s="6">
        <v>2.0</v>
      </c>
      <c r="E360" s="6">
        <v>0.0</v>
      </c>
    </row>
    <row r="361" ht="15.75" customHeight="1">
      <c r="A361" s="4">
        <f t="shared" si="1"/>
        <v>360</v>
      </c>
      <c r="B361" s="12" t="s">
        <v>553</v>
      </c>
      <c r="C361" s="10" t="str">
        <f>IFERROR(__xludf.DUMMYFUNCTION("GOOGLETRANSLATE(B361,""in"", ""en"")"),"May be a little bit upgrade for the wifi service could be better")</f>
        <v>May be a little bit upgrade for the wifi service could be better</v>
      </c>
      <c r="D361" s="6">
        <v>2.0</v>
      </c>
      <c r="E361" s="6">
        <v>1.0</v>
      </c>
    </row>
    <row r="362" ht="15.75" customHeight="1">
      <c r="A362" s="4">
        <f t="shared" si="1"/>
        <v>361</v>
      </c>
      <c r="B362" s="12" t="s">
        <v>554</v>
      </c>
      <c r="C362" s="10" t="str">
        <f>IFERROR(__xludf.DUMMYFUNCTION("GOOGLETRANSLATE(B362,""in"", ""en"")"),"Service is not excellent, if asked only answer as necessary, the direction of Pods is also not told, peper glass and tooth pastebrush are also not directed to take, rules stay also not explained differently from other bobobox that I often stay, please ser"&amp;"vice in Bobobox Bekasi is repaired, TQ")</f>
        <v>Service is not excellent, if asked only answer as necessary, the direction of Pods is also not told, peper glass and tooth pastebrush are also not directed to take, rules stay also not explained differently from other bobobox that I often stay, please service in Bobobox Bekasi is repaired, TQ</v>
      </c>
      <c r="D362" s="6">
        <v>2.0</v>
      </c>
      <c r="E362" s="6">
        <v>0.0</v>
      </c>
    </row>
    <row r="363" ht="15.75" customHeight="1">
      <c r="A363" s="4">
        <f t="shared" si="1"/>
        <v>362</v>
      </c>
      <c r="B363" s="12" t="s">
        <v>555</v>
      </c>
      <c r="C363" s="10" t="str">
        <f>IFERROR(__xludf.DUMMYFUNCTION("GOOGLETRANSLATE(B363,""in"", ""en"")"),"Maybe it needs to be added to the hot water pool")</f>
        <v>Maybe it needs to be added to the hot water pool</v>
      </c>
      <c r="D363" s="6">
        <v>1.0</v>
      </c>
      <c r="E363" s="6">
        <v>0.0</v>
      </c>
    </row>
    <row r="364" ht="15.75" customHeight="1">
      <c r="A364" s="4">
        <f t="shared" si="1"/>
        <v>363</v>
      </c>
      <c r="B364" s="12" t="s">
        <v>556</v>
      </c>
      <c r="C364" s="10" t="str">
        <f>IFERROR(__xludf.DUMMYFUNCTION("GOOGLETRANSLATE(B364,""in"", ""en"")"),"Please shower hot water can be repaired again, because when I stay here and want to take a shower in the morning the water is not warm")</f>
        <v>Please shower hot water can be repaired again, because when I stay here and want to take a shower in the morning the water is not warm</v>
      </c>
      <c r="D364" s="6">
        <v>2.0</v>
      </c>
      <c r="E364" s="6">
        <v>0.0</v>
      </c>
    </row>
    <row r="365" ht="15.75" customHeight="1">
      <c r="A365" s="4">
        <f t="shared" si="1"/>
        <v>364</v>
      </c>
      <c r="B365" s="12" t="s">
        <v>557</v>
      </c>
      <c r="C365" s="10" t="str">
        <f>IFERROR(__xludf.DUMMYFUNCTION("GOOGLETRANSLATE(B365,""in"", ""en"")"),"PODS 38 AC died, then was waiting for waiting because it was likely for a long time. Tapibudh for hours there is still no cold feeling hehehe. Then the pod door can't really be locked huh? I didn't bring my cellphone but I could open the door")</f>
        <v>PODS 38 AC died, then was waiting for waiting because it was likely for a long time. Tapibudh for hours there is still no cold feeling hehehe. Then the pod door can't really be locked huh? I didn't bring my cellphone but I could open the door</v>
      </c>
      <c r="D365" s="6">
        <v>3.0</v>
      </c>
      <c r="E365" s="6">
        <v>1.0</v>
      </c>
    </row>
    <row r="366" ht="15.75" customHeight="1">
      <c r="A366" s="4">
        <f t="shared" si="1"/>
        <v>365</v>
      </c>
      <c r="B366" s="12" t="s">
        <v>558</v>
      </c>
      <c r="C366" s="10" t="str">
        <f>IFERROR(__xludf.DUMMYFUNCTION("GOOGLETRANSLATE(B366,""in"", ""en"")"),"Access please fix it. And because it's hard to get out to find food. The menu option is reproduced and a little cheerful so that guests of BS Staycation all day")</f>
        <v>Access please fix it. And because it's hard to get out to find food. The menu option is reproduced and a little cheerful so that guests of BS Staycation all day</v>
      </c>
      <c r="D366" s="6">
        <v>2.0</v>
      </c>
      <c r="E366" s="6">
        <v>0.0</v>
      </c>
    </row>
    <row r="367" ht="15.75" customHeight="1">
      <c r="A367" s="4">
        <f t="shared" si="1"/>
        <v>366</v>
      </c>
      <c r="B367" s="12" t="s">
        <v>559</v>
      </c>
      <c r="C367" s="10" t="str">
        <f>IFERROR(__xludf.DUMMYFUNCTION("GOOGLETRANSLATE(B367,""in"", ""en"")"),"Get the 3rd floor room a bit of homework")</f>
        <v>Get the 3rd floor room a bit of homework</v>
      </c>
      <c r="D367" s="6">
        <v>1.0</v>
      </c>
      <c r="E367" s="6">
        <v>0.0</v>
      </c>
    </row>
    <row r="368" ht="15.75" customHeight="1">
      <c r="A368" s="4">
        <f t="shared" si="1"/>
        <v>367</v>
      </c>
      <c r="B368" s="12" t="s">
        <v>560</v>
      </c>
      <c r="C368" s="10" t="str">
        <f>IFERROR(__xludf.DUMMYFUNCTION("GOOGLETRANSLATE(B368,""in"", ""en"")"),"The toilet is damaged, the bathroom is clogged")</f>
        <v>The toilet is damaged, the bathroom is clogged</v>
      </c>
      <c r="D368" s="6">
        <v>3.0</v>
      </c>
      <c r="E368" s="6">
        <v>0.0</v>
      </c>
    </row>
    <row r="369" ht="15.75" customHeight="1">
      <c r="A369" s="4">
        <f t="shared" si="1"/>
        <v>368</v>
      </c>
      <c r="B369" s="12" t="s">
        <v>561</v>
      </c>
      <c r="C369" s="10" t="str">
        <f>IFERROR(__xludf.DUMMYFUNCTION("GOOGLETRANSLATE(B369,""in"", ""en"")"),"Noe Enough Space to Calm and Smoking")</f>
        <v>Noe Enough Space to Calm and Smoking</v>
      </c>
      <c r="D369" s="6">
        <v>1.0</v>
      </c>
      <c r="E369" s="6">
        <v>0.0</v>
      </c>
    </row>
    <row r="370" ht="15.75" customHeight="1">
      <c r="A370" s="4">
        <f t="shared" si="1"/>
        <v>369</v>
      </c>
      <c r="B370" s="12" t="s">
        <v>562</v>
      </c>
      <c r="C370" s="10" t="str">
        <f>IFERROR(__xludf.DUMMYFUNCTION("GOOGLETRANSLATE(B370,""in"", ""en"")"),"Pod number 10 please add up the air conditioner because of dripping")</f>
        <v>Pod number 10 please add up the air conditioner because of dripping</v>
      </c>
      <c r="D370" s="6">
        <v>3.0</v>
      </c>
      <c r="E370" s="6">
        <v>0.0</v>
      </c>
    </row>
    <row r="371" ht="15.75" customHeight="1">
      <c r="A371" s="4">
        <f t="shared" si="1"/>
        <v>370</v>
      </c>
      <c r="B371" s="12" t="s">
        <v>563</v>
      </c>
      <c r="C371" s="10" t="str">
        <f>IFERROR(__xludf.DUMMYFUNCTION("GOOGLETRANSLATE(B371,""in"", ""en"")"),"The electricity is dead :(")</f>
        <v>The electricity is dead :(</v>
      </c>
      <c r="D371" s="6">
        <v>3.0</v>
      </c>
      <c r="E371" s="6">
        <v>0.0</v>
      </c>
    </row>
    <row r="372" ht="15.75" customHeight="1">
      <c r="A372" s="4">
        <f t="shared" si="1"/>
        <v>371</v>
      </c>
      <c r="B372" s="12" t="s">
        <v>564</v>
      </c>
      <c r="C372" s="10" t="str">
        <f>IFERROR(__xludf.DUMMYFUNCTION("GOOGLETRANSLATE(B372,""in"", ""en"")"),"Minus one only. The bed linen is not clean. There is a stain and somewhat makes it gatel.")</f>
        <v>Minus one only. The bed linen is not clean. There is a stain and somewhat makes it gatel.</v>
      </c>
      <c r="D372" s="6">
        <v>2.0</v>
      </c>
      <c r="E372" s="6">
        <v>0.0</v>
      </c>
    </row>
    <row r="373" ht="15.75" customHeight="1">
      <c r="A373" s="4">
        <f t="shared" si="1"/>
        <v>372</v>
      </c>
      <c r="B373" s="12" t="s">
        <v>565</v>
      </c>
      <c r="C373" s="10" t="str">
        <f>IFERROR(__xludf.DUMMYFUNCTION("GOOGLETRANSLATE(B373,""in"", ""en"")"),"it is bigger, but many conditions are still dirty, then there is no vehicle parking lot")</f>
        <v>it is bigger, but many conditions are still dirty, then there is no vehicle parking lot</v>
      </c>
      <c r="D373" s="6">
        <v>2.0</v>
      </c>
      <c r="E373" s="6">
        <v>0.0</v>
      </c>
    </row>
    <row r="374" ht="15.75" customHeight="1">
      <c r="A374" s="4">
        <f t="shared" si="1"/>
        <v>373</v>
      </c>
      <c r="B374" s="12" t="s">
        <v>566</v>
      </c>
      <c r="C374" s="10" t="str">
        <f>IFERROR(__xludf.DUMMYFUNCTION("GOOGLETRANSLATE(B374,""in"", ""en"")"),"Not wort it to staycation, and bad room!")</f>
        <v>Not wort it to staycation, and bad room!</v>
      </c>
      <c r="D374" s="6">
        <v>3.0</v>
      </c>
      <c r="E374" s="6">
        <v>0.0</v>
      </c>
    </row>
    <row r="375" ht="15.75" customHeight="1">
      <c r="A375" s="4">
        <f t="shared" si="1"/>
        <v>374</v>
      </c>
      <c r="B375" s="12" t="s">
        <v>567</v>
      </c>
      <c r="C375" s="10" t="str">
        <f>IFERROR(__xludf.DUMMYFUNCTION("GOOGLETRANSLATE(B375,""in"", ""en"")"),"AC died")</f>
        <v>AC died</v>
      </c>
      <c r="D375" s="6">
        <v>3.0</v>
      </c>
      <c r="E375" s="6">
        <v>0.0</v>
      </c>
    </row>
    <row r="376" ht="15.75" customHeight="1">
      <c r="A376" s="4">
        <f t="shared" si="1"/>
        <v>375</v>
      </c>
      <c r="B376" s="12" t="s">
        <v>568</v>
      </c>
      <c r="C376" s="10" t="str">
        <f>IFERROR(__xludf.DUMMYFUNCTION("GOOGLETRANSLATE(B376,""in"", ""en"")"),"Less clean sprai ... there is a bloodstain stain")</f>
        <v>Less clean sprai ... there is a bloodstain stain</v>
      </c>
      <c r="D376" s="6">
        <v>3.0</v>
      </c>
      <c r="E376" s="6">
        <v>0.0</v>
      </c>
    </row>
    <row r="377" ht="15.75" customHeight="1">
      <c r="A377" s="4">
        <f t="shared" si="1"/>
        <v>376</v>
      </c>
      <c r="B377" s="12" t="s">
        <v>569</v>
      </c>
      <c r="C377" s="10" t="str">
        <f>IFERROR(__xludf.DUMMYFUNCTION("GOOGLETRANSLATE(B377,""in"", ""en"")"),"The parking lot is far")</f>
        <v>The parking lot is far</v>
      </c>
      <c r="D377" s="6">
        <v>1.0</v>
      </c>
      <c r="E377" s="6">
        <v>0.0</v>
      </c>
    </row>
    <row r="378" ht="15.75" customHeight="1">
      <c r="A378" s="4">
        <f t="shared" si="1"/>
        <v>377</v>
      </c>
      <c r="B378" s="12" t="s">
        <v>570</v>
      </c>
      <c r="C378" s="10" t="str">
        <f>IFERROR(__xludf.DUMMYFUNCTION("GOOGLETRANSLATE(B378,""in"", ""en"")"),"Good, Comfort, Suitable for Travelers")</f>
        <v>Good, Comfort, Suitable for Travelers</v>
      </c>
      <c r="D378" s="6">
        <v>1.0</v>
      </c>
      <c r="E378" s="6">
        <v>0.0</v>
      </c>
    </row>
    <row r="379" ht="15.75" customHeight="1">
      <c r="A379" s="4">
        <f t="shared" si="1"/>
        <v>378</v>
      </c>
      <c r="B379" s="12" t="s">
        <v>571</v>
      </c>
      <c r="C379" s="10" t="str">
        <f>IFERROR(__xludf.DUMMYFUNCTION("GOOGLETRANSLATE(B379,""in"", ""en"")"),"Hot water in Deluxe Cabin for a while, food outside fast food can only be ordered before 5 pm it would be better to close or at 7 pm, even so initially delivered at 7 pm but practically the field was only at 5 pm")</f>
        <v>Hot water in Deluxe Cabin for a while, food outside fast food can only be ordered before 5 pm it would be better to close or at 7 pm, even so initially delivered at 7 pm but practically the field was only at 5 pm</v>
      </c>
      <c r="D379" s="6">
        <v>1.0</v>
      </c>
      <c r="E379" s="6">
        <v>0.0</v>
      </c>
    </row>
    <row r="380" ht="15.75" customHeight="1">
      <c r="A380" s="4">
        <f t="shared" si="1"/>
        <v>379</v>
      </c>
      <c r="B380" s="12" t="s">
        <v>572</v>
      </c>
      <c r="C380" s="10" t="str">
        <f>IFERROR(__xludf.DUMMYFUNCTION("GOOGLETRANSLATE(B380,""in"", ""en"")"),"WC is so far from Cabin and even at night the lights are turned off. Wc please add it.
The price of the cabin is quite expensive and the price of food and drinks is also expensive. Sometimes also in the room feels rather hot.
Then the room isn't too cle"&amp;"an. There is a nod of profit above. Plus, the toilet is also not too clean. Lacking fragrant. Tlg provides hand sanitizer and tissue for lap toilet. Provide more sandals. Thx")</f>
        <v>WC is so far from Cabin and even at night the lights are turned off. Wc please add it.
The price of the cabin is quite expensive and the price of food and drinks is also expensive. Sometimes also in the room feels rather hot.
Then the room isn't too clean. There is a nod of profit above. Plus, the toilet is also not too clean. Lacking fragrant. Tlg provides hand sanitizer and tissue for lap toilet. Provide more sandals. Thx</v>
      </c>
      <c r="D380" s="6">
        <v>2.0</v>
      </c>
      <c r="E380" s="6">
        <v>0.0</v>
      </c>
    </row>
    <row r="381" ht="15.75" customHeight="1">
      <c r="A381" s="4">
        <f t="shared" si="1"/>
        <v>380</v>
      </c>
      <c r="B381" s="12" t="s">
        <v>573</v>
      </c>
      <c r="C381" s="10" t="str">
        <f>IFERROR(__xludf.DUMMYFUNCTION("GOOGLETRANSLATE(B381,""in"", ""en"")"),"Too noisy for 12s")</f>
        <v>Too noisy for 12s</v>
      </c>
      <c r="D381" s="6">
        <v>2.0</v>
      </c>
      <c r="E381" s="6">
        <v>0.0</v>
      </c>
    </row>
    <row r="382" ht="15.75" customHeight="1">
      <c r="A382" s="4">
        <f t="shared" si="1"/>
        <v>381</v>
      </c>
      <c r="B382" s="12" t="s">
        <v>325</v>
      </c>
      <c r="C382" s="10" t="str">
        <f>IFERROR(__xludf.DUMMYFUNCTION("GOOGLETRANSLATE(B382,""in"", ""en"")"),"Ok")</f>
        <v>Ok</v>
      </c>
      <c r="D382" s="6">
        <v>1.0</v>
      </c>
      <c r="E382" s="6">
        <v>0.0</v>
      </c>
    </row>
    <row r="383" ht="15.75" customHeight="1">
      <c r="A383" s="4">
        <f t="shared" si="1"/>
        <v>382</v>
      </c>
      <c r="B383" s="12" t="s">
        <v>325</v>
      </c>
      <c r="C383" s="10" t="str">
        <f>IFERROR(__xludf.DUMMYFUNCTION("GOOGLETRANSLATE(B383,""in"", ""en"")"),"Ok")</f>
        <v>Ok</v>
      </c>
      <c r="D383" s="6">
        <v>1.0</v>
      </c>
      <c r="E383" s="6">
        <v>0.0</v>
      </c>
    </row>
    <row r="384" ht="15.75" customHeight="1">
      <c r="A384" s="4">
        <f t="shared" si="1"/>
        <v>383</v>
      </c>
      <c r="B384" s="12" t="s">
        <v>574</v>
      </c>
      <c r="C384" s="10" t="str">
        <f>IFERROR(__xludf.DUMMYFUNCTION("GOOGLETRANSLATE(B384,""in"", ""en"")"),"Uncomfortable uncomfortable dirty blankets")</f>
        <v>Uncomfortable uncomfortable dirty blankets</v>
      </c>
      <c r="D384" s="6">
        <v>3.0</v>
      </c>
      <c r="E384" s="6">
        <v>0.0</v>
      </c>
    </row>
    <row r="385" ht="15.75" customHeight="1">
      <c r="A385" s="4">
        <f t="shared" si="1"/>
        <v>384</v>
      </c>
      <c r="B385" s="12" t="s">
        <v>575</v>
      </c>
      <c r="C385" s="10" t="str">
        <f>IFERROR(__xludf.DUMMYFUNCTION("GOOGLETRANSLATE(B385,""in"", ""en"")"),"When I check in, I see in the mattress area, there are still hair, there is a hair on the pillow even though I haven't been lying down and not what to do with it")</f>
        <v>When I check in, I see in the mattress area, there are still hair, there is a hair on the pillow even though I haven't been lying down and not what to do with it</v>
      </c>
      <c r="D385" s="6">
        <v>3.0</v>
      </c>
      <c r="E385" s="6">
        <v>0.0</v>
      </c>
    </row>
    <row r="386" ht="15.75" customHeight="1">
      <c r="A386" s="4">
        <f t="shared" si="1"/>
        <v>385</v>
      </c>
      <c r="B386" s="12" t="s">
        <v>576</v>
      </c>
      <c r="C386" s="10" t="str">
        <f>IFERROR(__xludf.DUMMYFUNCTION("GOOGLETRANSLATE(B386,""in"", ""en"")"),"dirty toilet, the toilet is a little")</f>
        <v>dirty toilet, the toilet is a little</v>
      </c>
      <c r="D386" s="6">
        <v>3.0</v>
      </c>
      <c r="E386" s="6">
        <v>0.0</v>
      </c>
    </row>
    <row r="387" ht="15.75" customHeight="1">
      <c r="A387" s="4">
        <f t="shared" si="1"/>
        <v>386</v>
      </c>
      <c r="B387" s="12" t="s">
        <v>577</v>
      </c>
      <c r="C387" s="10" t="str">
        <f>IFERROR(__xludf.DUMMYFUNCTION("GOOGLETRANSLATE(B387,""in"", ""en"")"),"The water heater is always long to make the water hot")</f>
        <v>The water heater is always long to make the water hot</v>
      </c>
      <c r="D387" s="6">
        <v>2.0</v>
      </c>
      <c r="E387" s="6">
        <v>0.0</v>
      </c>
    </row>
    <row r="388" ht="15.75" customHeight="1">
      <c r="A388" s="4">
        <f t="shared" si="1"/>
        <v>387</v>
      </c>
      <c r="B388" s="12" t="s">
        <v>578</v>
      </c>
      <c r="C388" s="10" t="str">
        <f>IFERROR(__xludf.DUMMYFUNCTION("GOOGLETRANSLATE(B388,""in"", ""en"")"),"Damaged")</f>
        <v>Damaged</v>
      </c>
      <c r="D388" s="6">
        <v>3.0</v>
      </c>
      <c r="E388" s="6">
        <v>0.0</v>
      </c>
    </row>
    <row r="389" ht="15.75" customHeight="1">
      <c r="A389" s="4">
        <f t="shared" si="1"/>
        <v>388</v>
      </c>
      <c r="B389" s="12" t="s">
        <v>579</v>
      </c>
      <c r="C389" s="10" t="str">
        <f>IFERROR(__xludf.DUMMYFUNCTION("GOOGLETRANSLATE(B389,""in"", ""en"")"),"Room Neighbor")</f>
        <v>Room Neighbor</v>
      </c>
      <c r="D389" s="6">
        <v>1.0</v>
      </c>
      <c r="E389" s="6">
        <v>0.0</v>
      </c>
    </row>
    <row r="390" ht="15.75" customHeight="1">
      <c r="A390" s="4">
        <f t="shared" si="1"/>
        <v>389</v>
      </c>
      <c r="B390" s="12" t="s">
        <v>580</v>
      </c>
      <c r="C390" s="10" t="str">
        <f>IFERROR(__xludf.DUMMYFUNCTION("GOOGLETRANSLATE(B390,""in"", ""en"")"),"Access to a very narrow place, for a very good place")</f>
        <v>Access to a very narrow place, for a very good place</v>
      </c>
      <c r="D390" s="6">
        <v>1.0</v>
      </c>
      <c r="E390" s="6">
        <v>0.0</v>
      </c>
    </row>
    <row r="391" ht="15.75" customHeight="1">
      <c r="A391" s="4">
        <f t="shared" si="1"/>
        <v>390</v>
      </c>
      <c r="B391" s="12" t="s">
        <v>581</v>
      </c>
      <c r="C391" s="10" t="str">
        <f>IFERROR(__xludf.DUMMYFUNCTION("GOOGLETRANSLATE(B391,""in"", ""en"")"),"The single staircase whose single pods are too risky for the massage, which resulted in me falling in the room and the semoat experienced a pretty wide blister on the arm")</f>
        <v>The single staircase whose single pods are too risky for the massage, which resulted in me falling in the room and the semoat experienced a pretty wide blister on the arm</v>
      </c>
      <c r="D391" s="6">
        <v>2.0</v>
      </c>
      <c r="E391" s="6">
        <v>0.0</v>
      </c>
    </row>
    <row r="392" ht="15.75" customHeight="1">
      <c r="A392" s="4">
        <f t="shared" si="1"/>
        <v>391</v>
      </c>
      <c r="B392" s="12" t="s">
        <v>582</v>
      </c>
      <c r="C392" s="10" t="str">
        <f>IFERROR(__xludf.DUMMYFUNCTION("GOOGLETRANSLATE(B392,""in"", ""en"")"),"Reception Lesshelful")</f>
        <v>Reception Lesshelful</v>
      </c>
      <c r="D392" s="6">
        <v>2.0</v>
      </c>
      <c r="E392" s="6">
        <v>0.0</v>
      </c>
    </row>
    <row r="393" ht="15.75" customHeight="1">
      <c r="A393" s="4">
        <f t="shared" si="1"/>
        <v>392</v>
      </c>
      <c r="B393" s="12" t="s">
        <v>583</v>
      </c>
      <c r="C393" s="10" t="str">
        <f>IFERROR(__xludf.DUMMYFUNCTION("GOOGLETRANSLATE(B393,""in"", ""en"")"),"Cold food")</f>
        <v>Cold food</v>
      </c>
      <c r="D393" s="6">
        <v>2.0</v>
      </c>
      <c r="E393" s="6">
        <v>0.0</v>
      </c>
    </row>
    <row r="394" ht="15.75" customHeight="1">
      <c r="A394" s="4">
        <f t="shared" si="1"/>
        <v>393</v>
      </c>
      <c r="B394" s="12" t="s">
        <v>584</v>
      </c>
      <c r="C394" s="10" t="str">
        <f>IFERROR(__xludf.DUMMYFUNCTION("GOOGLETRANSLATE(B394,""in"", ""en"")"),"Long and expensive")</f>
        <v>Long and expensive</v>
      </c>
      <c r="D394" s="6">
        <v>1.0</v>
      </c>
      <c r="E394" s="6">
        <v>0.0</v>
      </c>
    </row>
    <row r="395" ht="15.75" customHeight="1">
      <c r="A395" s="4">
        <f t="shared" si="1"/>
        <v>394</v>
      </c>
      <c r="B395" s="12" t="s">
        <v>585</v>
      </c>
      <c r="C395" s="10" t="str">
        <f>IFERROR(__xludf.DUMMYFUNCTION("GOOGLETRANSLATE(B395,""in"", ""en"")"),"Provide alcohol spray in every toilet so that it can be cleaned before being used.")</f>
        <v>Provide alcohol spray in every toilet so that it can be cleaned before being used.</v>
      </c>
      <c r="D395" s="6">
        <v>1.0</v>
      </c>
      <c r="E395" s="6">
        <v>0.0</v>
      </c>
    </row>
    <row r="396" ht="15.75" customHeight="1">
      <c r="A396" s="4">
        <f t="shared" si="1"/>
        <v>395</v>
      </c>
      <c r="B396" s="12" t="s">
        <v>586</v>
      </c>
      <c r="C396" s="10" t="str">
        <f>IFERROR(__xludf.DUMMYFUNCTION("GOOGLETRANSLATE(B396,""in"", ""en"")"),"pod 67 has many errors")</f>
        <v>pod 67 has many errors</v>
      </c>
      <c r="D396" s="6">
        <v>3.0</v>
      </c>
      <c r="E396" s="6">
        <v>1.0</v>
      </c>
    </row>
    <row r="397" ht="15.75" customHeight="1">
      <c r="A397" s="4">
        <f t="shared" si="1"/>
        <v>396</v>
      </c>
      <c r="B397" s="12" t="s">
        <v>587</v>
      </c>
      <c r="C397" s="10" t="str">
        <f>IFERROR(__xludf.DUMMYFUNCTION("GOOGLETRANSLATE(B397,""in"", ""en"")"),"1. For room facility is inconsistent, I have been here. There used to be a box of wet tissue contents and so on now there is no. What is a new soup
2. Order the chat room food afterwards")</f>
        <v>1. For room facility is inconsistent, I have been here. There used to be a box of wet tissue contents and so on now there is no. What is a new soup
2. Order the chat room food afterwards</v>
      </c>
      <c r="D397" s="6">
        <v>3.0</v>
      </c>
      <c r="E397" s="6">
        <v>0.0</v>
      </c>
    </row>
    <row r="398" ht="15.75" customHeight="1">
      <c r="A398" s="4">
        <f t="shared" si="1"/>
        <v>397</v>
      </c>
      <c r="B398" s="12" t="s">
        <v>588</v>
      </c>
      <c r="C398" s="10" t="str">
        <f>IFERROR(__xludf.DUMMYFUNCTION("GOOGLETRANSLATE(B398,""in"", ""en"")"),"AC is not cold enough")</f>
        <v>AC is not cold enough</v>
      </c>
      <c r="D398" s="6">
        <v>3.0</v>
      </c>
      <c r="E398" s="6">
        <v>0.0</v>
      </c>
    </row>
    <row r="399" ht="15.75" customHeight="1">
      <c r="A399" s="4">
        <f t="shared" si="1"/>
        <v>398</v>
      </c>
      <c r="B399" s="12" t="s">
        <v>589</v>
      </c>
      <c r="C399" s="10" t="str">
        <f>IFERROR(__xludf.DUMMYFUNCTION("GOOGLETRANSLATE(B399,""in"", ""en"")"),"Need a lot of repair, and less comfortable")</f>
        <v>Need a lot of repair, and less comfortable</v>
      </c>
      <c r="D399" s="6">
        <v>3.0</v>
      </c>
      <c r="E399" s="6">
        <v>0.0</v>
      </c>
    </row>
    <row r="400" ht="15.75" customHeight="1">
      <c r="A400" s="4">
        <f t="shared" si="1"/>
        <v>399</v>
      </c>
      <c r="B400" s="12" t="s">
        <v>590</v>
      </c>
      <c r="C400" s="10" t="str">
        <f>IFERROR(__xludf.DUMMYFUNCTION("GOOGLETRANSLATE(B400,""in"", ""en"")"),"Play Stair to Front Office ... are not safe: to elevated and high")</f>
        <v>Play Stair to Front Office ... are not safe: to elevated and high</v>
      </c>
      <c r="D400" s="6">
        <v>2.0</v>
      </c>
      <c r="E400" s="6">
        <v>0.0</v>
      </c>
    </row>
    <row r="401" ht="15.75" customHeight="1">
      <c r="A401" s="4">
        <f t="shared" si="1"/>
        <v>400</v>
      </c>
      <c r="B401" s="12" t="s">
        <v>591</v>
      </c>
      <c r="C401" s="10" t="str">
        <f>IFERROR(__xludf.DUMMYFUNCTION("GOOGLETRANSLATE(B401,""in"", ""en"")"),"No light in the room, dictionult communication in english")</f>
        <v>No light in the room, dictionult communication in english</v>
      </c>
      <c r="D401" s="6">
        <v>2.0</v>
      </c>
      <c r="E401" s="6">
        <v>0.0</v>
      </c>
    </row>
    <row r="402" ht="15.75" customHeight="1">
      <c r="A402" s="4">
        <f t="shared" si="1"/>
        <v>401</v>
      </c>
      <c r="B402" s="12" t="s">
        <v>592</v>
      </c>
      <c r="C402" s="10" t="str">
        <f>IFERROR(__xludf.DUMMYFUNCTION("GOOGLETRANSLATE(B402,""in"", ""en"")"),"The bathroom floor is slippery if you get hit by water, truss the floor in the closet is dry but dirty on the cloth using the dirty tissue, more good.")</f>
        <v>The bathroom floor is slippery if you get hit by water, truss the floor in the closet is dry but dirty on the cloth using the dirty tissue, more good.</v>
      </c>
      <c r="D402" s="6">
        <v>2.0</v>
      </c>
      <c r="E402" s="6">
        <v>0.0</v>
      </c>
    </row>
    <row r="403" ht="15.75" customHeight="1">
      <c r="A403" s="4">
        <f t="shared" si="1"/>
        <v>402</v>
      </c>
      <c r="B403" s="12" t="s">
        <v>593</v>
      </c>
      <c r="C403" s="10" t="str">
        <f>IFERROR(__xludf.DUMMYFUNCTION("GOOGLETRANSLATE(B403,""in"", ""en"")"),"One of the sinks is not functioning and there is a leaky part so that there is stagnant water making the floor slippery and the risk of slipping. Hair dryer is broken.")</f>
        <v>One of the sinks is not functioning and there is a leaky part so that there is stagnant water making the floor slippery and the risk of slipping. Hair dryer is broken.</v>
      </c>
      <c r="D403" s="6">
        <v>3.0</v>
      </c>
      <c r="E403" s="6">
        <v>0.0</v>
      </c>
    </row>
    <row r="404" ht="15.75" customHeight="1">
      <c r="A404" s="4">
        <f t="shared" si="1"/>
        <v>403</v>
      </c>
      <c r="B404" s="12" t="s">
        <v>594</v>
      </c>
      <c r="C404" s="10" t="str">
        <f>IFERROR(__xludf.DUMMYFUNCTION("GOOGLETRANSLATE(B404,""in"", ""en"")"),"There can be more other interesting activity packages for children and family play. Then the food hrg is not too expensive. Thanx")</f>
        <v>There can be more other interesting activity packages for children and family play. Then the food hrg is not too expensive. Thanx</v>
      </c>
      <c r="D404" s="6">
        <v>1.0</v>
      </c>
      <c r="E404" s="6">
        <v>0.0</v>
      </c>
    </row>
    <row r="405" ht="15.75" customHeight="1">
      <c r="A405" s="4">
        <f t="shared" si="1"/>
        <v>404</v>
      </c>
      <c r="B405" s="12" t="s">
        <v>595</v>
      </c>
      <c r="C405" s="10" t="str">
        <f>IFERROR(__xludf.DUMMYFUNCTION("GOOGLETRANSLATE(B405,""in"", ""en"")"),"Okay")</f>
        <v>Okay</v>
      </c>
      <c r="D405" s="6">
        <v>1.0</v>
      </c>
      <c r="E405" s="6">
        <v>0.0</v>
      </c>
    </row>
    <row r="406" ht="15.75" customHeight="1">
      <c r="A406" s="4">
        <f t="shared" si="1"/>
        <v>405</v>
      </c>
      <c r="B406" s="12" t="s">
        <v>596</v>
      </c>
      <c r="C406" s="10" t="str">
        <f>IFERROR(__xludf.DUMMYFUNCTION("GOOGLETRANSLATE(B406,""in"", ""en"")"),"QR Code Does Not Appear For The 2nd Person")</f>
        <v>QR Code Does Not Appear For The 2nd Person</v>
      </c>
      <c r="D406" s="6">
        <v>2.0</v>
      </c>
      <c r="E406" s="6">
        <v>1.0</v>
      </c>
    </row>
    <row r="407" ht="15.75" customHeight="1">
      <c r="A407" s="4">
        <f t="shared" si="1"/>
        <v>406</v>
      </c>
      <c r="B407" s="12" t="s">
        <v>597</v>
      </c>
      <c r="C407" s="10" t="str">
        <f>IFERROR(__xludf.DUMMYFUNCTION("GOOGLETRANSLATE(B407,""in"", ""en"")"),"Air in the palace and outside the pod pod area, make a flu")</f>
        <v>Air in the palace and outside the pod pod area, make a flu</v>
      </c>
      <c r="D407" s="6">
        <v>3.0</v>
      </c>
      <c r="E407" s="6">
        <v>0.0</v>
      </c>
    </row>
    <row r="408" ht="15.75" customHeight="1">
      <c r="A408" s="4">
        <f t="shared" si="1"/>
        <v>407</v>
      </c>
      <c r="B408" s="12" t="s">
        <v>598</v>
      </c>
      <c r="C408" s="10" t="str">
        <f>IFERROR(__xludf.DUMMYFUNCTION("GOOGLETRANSLATE(B408,""in"", ""en"")"),"Cleanliness of the cabin glass can be repaired. Hot water is lacking.")</f>
        <v>Cleanliness of the cabin glass can be repaired. Hot water is lacking.</v>
      </c>
      <c r="D408" s="6">
        <v>3.0</v>
      </c>
      <c r="E408" s="6">
        <v>0.0</v>
      </c>
    </row>
    <row r="409" ht="15.75" customHeight="1">
      <c r="A409" s="4">
        <f t="shared" si="1"/>
        <v>408</v>
      </c>
      <c r="B409" s="12" t="s">
        <v>599</v>
      </c>
      <c r="C409" s="10" t="str">
        <f>IFERROR(__xludf.DUMMYFUNCTION("GOOGLETRANSLATE(B409,""in"", ""en"")"),"Really dirty, noisy")</f>
        <v>Really dirty, noisy</v>
      </c>
      <c r="D409" s="6">
        <v>3.0</v>
      </c>
      <c r="E409" s="6">
        <v>0.0</v>
      </c>
    </row>
    <row r="410" ht="15.75" customHeight="1">
      <c r="A410" s="4">
        <f t="shared" si="1"/>
        <v>409</v>
      </c>
      <c r="B410" s="12" t="s">
        <v>600</v>
      </c>
      <c r="C410" s="10" t="str">
        <f>IFERROR(__xludf.DUMMYFUNCTION("GOOGLETRANSLATE(B410,""in"", ""en"")"),"Bed sheet is dirty")</f>
        <v>Bed sheet is dirty</v>
      </c>
      <c r="D410" s="6">
        <v>3.0</v>
      </c>
      <c r="E410" s="6">
        <v>0.0</v>
      </c>
    </row>
    <row r="411" ht="15.75" customHeight="1">
      <c r="A411" s="4">
        <f t="shared" si="1"/>
        <v>410</v>
      </c>
      <c r="B411" s="12" t="s">
        <v>601</v>
      </c>
      <c r="C411" s="10" t="str">
        <f>IFERROR(__xludf.DUMMYFUNCTION("GOOGLETRANSLATE(B411,""in"", ""en"")"),"There are a lot of trash in everywhere, tissue, mask, plastic, etc. Cleaning service boys did not care to take it. Less Professional and Skill Front Desk Staff. They input wrongly, so it shop long to get door access, etc.")</f>
        <v>There are a lot of trash in everywhere, tissue, mask, plastic, etc. Cleaning service boys did not care to take it. Less Professional and Skill Front Desk Staff. They input wrongly, so it shop long to get door access, etc.</v>
      </c>
      <c r="D411" s="6">
        <v>3.0</v>
      </c>
      <c r="E411" s="6">
        <v>0.0</v>
      </c>
    </row>
    <row r="412" ht="15.75" customHeight="1">
      <c r="A412" s="4">
        <f t="shared" si="1"/>
        <v>411</v>
      </c>
      <c r="B412" s="12" t="s">
        <v>602</v>
      </c>
      <c r="C412" s="10" t="str">
        <f>IFERROR(__xludf.DUMMYFUNCTION("GOOGLETRANSLATE(B412,""in"", ""en"")"),"I've been using bobobox for my travel needs since pandemic. It was great experience. The room was clean and the whole facility was in top condition.
Unfortunately The Standard has gone downhill since. Now, The Bed Sheet Doesn't Feel Clean (Stains are Vis"&amp;"ible), The Shower Head Not Well Functioned, and Lack of Hot Water.
Hope u guys can improve before before")</f>
        <v>I've been using bobobox for my travel needs since pandemic. It was great experience. The room was clean and the whole facility was in top condition.
Unfortunately The Standard has gone downhill since. Now, The Bed Sheet Doesn't Feel Clean (Stains are Visible), The Shower Head Not Well Functioned, and Lack of Hot Water.
Hope u guys can improve before before</v>
      </c>
      <c r="D412" s="6">
        <v>2.0</v>
      </c>
      <c r="E412" s="6">
        <v>0.0</v>
      </c>
    </row>
    <row r="413" ht="15.75" customHeight="1">
      <c r="A413" s="4">
        <f t="shared" si="1"/>
        <v>412</v>
      </c>
      <c r="B413" s="12" t="s">
        <v>603</v>
      </c>
      <c r="C413" s="10" t="str">
        <f>IFERROR(__xludf.DUMMYFUNCTION("GOOGLETRANSLATE(B413,""in"", ""en"")"),"My item was lost at the shoe locker, the host also lied to say that not the shift he was tidying the item. Until now I have not received CCTV footage.")</f>
        <v>My item was lost at the shoe locker, the host also lied to say that not the shift he was tidying the item. Until now I have not received CCTV footage.</v>
      </c>
      <c r="D413" s="6">
        <v>3.0</v>
      </c>
      <c r="E413" s="6">
        <v>0.0</v>
      </c>
    </row>
    <row r="414" ht="15.75" customHeight="1">
      <c r="A414" s="4">
        <f t="shared" si="1"/>
        <v>413</v>
      </c>
      <c r="B414" s="12" t="s">
        <v>604</v>
      </c>
      <c r="C414" s="10" t="str">
        <f>IFERROR(__xludf.DUMMYFUNCTION("GOOGLETRANSLATE(B414,""in"", ""en"")"),"not bad but the features are lacking and the sound is less hard")</f>
        <v>not bad but the features are lacking and the sound is less hard</v>
      </c>
      <c r="D414" s="6">
        <v>1.0</v>
      </c>
      <c r="E414" s="6">
        <v>0.0</v>
      </c>
    </row>
    <row r="415" ht="15.75" customHeight="1">
      <c r="A415" s="4">
        <f t="shared" si="1"/>
        <v>414</v>
      </c>
      <c r="B415" s="12" t="s">
        <v>605</v>
      </c>
      <c r="C415" s="10" t="str">
        <f>IFERROR(__xludf.DUMMYFUNCTION("GOOGLETRANSLATE(B415,""in"", ""en"")"),"Tell before you need the app if you are new to bobobox.
The Speaker Inside The Box Made Some Noise Even Though It Was Off.
The smoke detector made a ""beep"" noise once every minute. Maybe Change/Check the Batteries More Off.
Still was a great stay.")</f>
        <v>Tell before you need the app if you are new to bobobox.
The Speaker Inside The Box Made Some Noise Even Though It Was Off.
The smoke detector made a "beep" noise once every minute. Maybe Change/Check the Batteries More Off.
Still was a great stay.</v>
      </c>
      <c r="D415" s="6">
        <v>2.0</v>
      </c>
      <c r="E415" s="6">
        <v>1.0</v>
      </c>
    </row>
    <row r="416" ht="15.75" customHeight="1">
      <c r="A416" s="4">
        <f t="shared" si="1"/>
        <v>415</v>
      </c>
      <c r="B416" s="12" t="s">
        <v>606</v>
      </c>
      <c r="C416" s="10" t="str">
        <f>IFERROR(__xludf.DUMMYFUNCTION("GOOGLETRANSLATE(B416,""in"", ""en"")"),"Access to the way out car, please use paving or other")</f>
        <v>Access to the way out car, please use paving or other</v>
      </c>
      <c r="D416" s="6">
        <v>2.0</v>
      </c>
      <c r="E416" s="6">
        <v>0.0</v>
      </c>
    </row>
    <row r="417" ht="15.75" customHeight="1">
      <c r="A417" s="4">
        <f t="shared" si="1"/>
        <v>416</v>
      </c>
      <c r="B417" s="12" t="s">
        <v>607</v>
      </c>
      <c r="C417" s="10" t="str">
        <f>IFERROR(__xludf.DUMMYFUNCTION("GOOGLETRANSLATE(B417,""in"", ""en"")"),"It's a bit disappointed when in the socket room for electricity as if it is difficult to connect to death, besides the sound of the speaker is very small or even not heard, when staying overnight can not use wifi because it says it has a disturbance, besi"&amp;"des that when it regulates room temperature seems to have obstacles too , for the toilet, ok, just have to share with others")</f>
        <v>It's a bit disappointed when in the socket room for electricity as if it is difficult to connect to death, besides the sound of the speaker is very small or even not heard, when staying overnight can not use wifi because it says it has a disturbance, besides that when it regulates room temperature seems to have obstacles too , for the toilet, ok, just have to share with others</v>
      </c>
      <c r="D417" s="6">
        <v>3.0</v>
      </c>
      <c r="E417" s="6">
        <v>1.0</v>
      </c>
    </row>
    <row r="418" ht="15.75" customHeight="1">
      <c r="A418" s="4">
        <f t="shared" si="1"/>
        <v>417</v>
      </c>
      <c r="B418" s="12" t="s">
        <v>608</v>
      </c>
      <c r="C418" s="10" t="str">
        <f>IFERROR(__xludf.DUMMYFUNCTION("GOOGLETRANSLATE(B418,""in"", ""en"")"),"The bathroom corners, please brush it.")</f>
        <v>The bathroom corners, please brush it.</v>
      </c>
      <c r="D418" s="6">
        <v>3.0</v>
      </c>
      <c r="E418" s="6">
        <v>0.0</v>
      </c>
    </row>
    <row r="419" ht="15.75" customHeight="1">
      <c r="A419" s="4">
        <f t="shared" si="1"/>
        <v>418</v>
      </c>
      <c r="B419" s="12" t="s">
        <v>609</v>
      </c>
      <c r="C419" s="10" t="str">
        <f>IFERROR(__xludf.DUMMYFUNCTION("GOOGLETRANSLATE(B419,""in"", ""en"")"),"The noise at 6 in the morning on the Sunday was quite quite annoying.")</f>
        <v>The noise at 6 in the morning on the Sunday was quite quite annoying.</v>
      </c>
      <c r="D419" s="6">
        <v>2.0</v>
      </c>
      <c r="E419" s="6">
        <v>0.0</v>
      </c>
    </row>
    <row r="420" ht="15.75" customHeight="1">
      <c r="A420" s="4">
        <f t="shared" si="1"/>
        <v>419</v>
      </c>
      <c r="B420" s="12" t="s">
        <v>610</v>
      </c>
      <c r="C420" s="10" t="str">
        <f>IFERROR(__xludf.DUMMYFUNCTION("GOOGLETRANSLATE(B420,""in"", ""en"")"),"1. The sink leaks so that the water is kmn2
2. The food I ordered, there is an ant in the chili sauce")</f>
        <v>1. The sink leaks so that the water is kmn2
2. The food I ordered, there is an ant in the chili sauce</v>
      </c>
      <c r="D420" s="6">
        <v>3.0</v>
      </c>
      <c r="E420" s="6">
        <v>0.0</v>
      </c>
    </row>
    <row r="421" ht="15.75" customHeight="1">
      <c r="A421" s="4">
        <f t="shared" si="1"/>
        <v>420</v>
      </c>
      <c r="B421" s="12" t="s">
        <v>611</v>
      </c>
      <c r="C421" s="10" t="str">
        <f>IFERROR(__xludf.DUMMYFUNCTION("GOOGLETRANSLATE(B421,""in"", ""en"")"),"Hot water runs out quickly")</f>
        <v>Hot water runs out quickly</v>
      </c>
      <c r="D421" s="6">
        <v>3.0</v>
      </c>
      <c r="E421" s="6">
        <v>0.0</v>
      </c>
    </row>
    <row r="422" ht="15.75" customHeight="1">
      <c r="A422" s="4">
        <f t="shared" si="1"/>
        <v>421</v>
      </c>
      <c r="B422" s="12" t="s">
        <v>612</v>
      </c>
      <c r="C422" s="10" t="str">
        <f>IFERROR(__xludf.DUMMYFUNCTION("GOOGLETRANSLATE(B422,""in"", ""en"")"),"still under repair")</f>
        <v>still under repair</v>
      </c>
      <c r="D422" s="6">
        <v>2.0</v>
      </c>
      <c r="E422" s="6">
        <v>0.0</v>
      </c>
    </row>
    <row r="423" ht="15.75" customHeight="1">
      <c r="A423" s="4">
        <f t="shared" si="1"/>
        <v>422</v>
      </c>
      <c r="B423" s="12" t="s">
        <v>613</v>
      </c>
      <c r="C423" s="10" t="str">
        <f>IFERROR(__xludf.DUMMYFUNCTION("GOOGLETRANSLATE(B423,""in"", ""en"")"),"Dirty Ga Cleany in Kuningan")</f>
        <v>Dirty Ga Cleany in Kuningan</v>
      </c>
      <c r="D423" s="6">
        <v>3.0</v>
      </c>
      <c r="E423" s="6">
        <v>0.0</v>
      </c>
    </row>
    <row r="424" ht="15.75" customHeight="1">
      <c r="A424" s="4">
        <f t="shared" si="1"/>
        <v>423</v>
      </c>
      <c r="B424" s="12" t="s">
        <v>614</v>
      </c>
      <c r="C424" s="10" t="str">
        <f>IFERROR(__xludf.DUMMYFUNCTION("GOOGLETRANSLATE(B424,""in"", ""en"")"),"Parking is Annoying ... come directly billed 10 thousand, after that it is info must move the car before 5 because of the CFD ... but it was informed after arriving at the hotel, not before booking")</f>
        <v>Parking is Annoying ... come directly billed 10 thousand, after that it is info must move the car before 5 because of the CFD ... but it was informed after arriving at the hotel, not before booking</v>
      </c>
      <c r="D424" s="6">
        <v>3.0</v>
      </c>
      <c r="E424" s="6">
        <v>0.0</v>
      </c>
    </row>
    <row r="425" ht="15.75" customHeight="1">
      <c r="A425" s="4">
        <f t="shared" si="1"/>
        <v>424</v>
      </c>
      <c r="B425" s="12" t="s">
        <v>615</v>
      </c>
      <c r="C425" s="10" t="str">
        <f>IFERROR(__xludf.DUMMYFUNCTION("GOOGLETRANSLATE(B425,""in"", ""en"")"),"AC CLOSING, AC NOT COLD")</f>
        <v>AC CLOSING, AC NOT COLD</v>
      </c>
      <c r="D425" s="6">
        <v>2.0</v>
      </c>
      <c r="E425" s="6">
        <v>0.0</v>
      </c>
    </row>
    <row r="426" ht="15.75" customHeight="1">
      <c r="A426" s="4">
        <f t="shared" si="1"/>
        <v>425</v>
      </c>
      <c r="B426" s="12" t="s">
        <v>616</v>
      </c>
      <c r="C426" s="10" t="str">
        <f>IFERROR(__xludf.DUMMYFUNCTION("GOOGLETRANSLATE(B426,""in"", ""en"")"),"Improve product quality")</f>
        <v>Improve product quality</v>
      </c>
      <c r="D426" s="6">
        <v>1.0</v>
      </c>
      <c r="E426" s="6">
        <v>0.0</v>
      </c>
    </row>
    <row r="427" ht="15.75" customHeight="1">
      <c r="A427" s="4">
        <f t="shared" si="1"/>
        <v>426</v>
      </c>
      <c r="B427" s="12" t="s">
        <v>617</v>
      </c>
      <c r="C427" s="10" t="str">
        <f>IFERROR(__xludf.DUMMYFUNCTION("GOOGLETRANSLATE(B427,""in"", ""en"")"),"Tidsk Available Umbrellas")</f>
        <v>Tidsk Available Umbrellas</v>
      </c>
      <c r="D427" s="6">
        <v>2.0</v>
      </c>
      <c r="E427" s="6">
        <v>0.0</v>
      </c>
    </row>
    <row r="428" ht="15.75" customHeight="1">
      <c r="A428" s="4">
        <f t="shared" si="1"/>
        <v>427</v>
      </c>
      <c r="B428" s="12" t="s">
        <v>618</v>
      </c>
      <c r="C428" s="10" t="str">
        <f>IFERROR(__xludf.DUMMYFUNCTION("GOOGLETRANSLATE(B428,""in"", ""en"")"),"Comfortable clean neatly")</f>
        <v>Comfortable clean neatly</v>
      </c>
      <c r="D428" s="6">
        <v>1.0</v>
      </c>
      <c r="E428" s="6">
        <v>0.0</v>
      </c>
    </row>
    <row r="429" ht="15.75" customHeight="1">
      <c r="A429" s="4">
        <f t="shared" si="1"/>
        <v>428</v>
      </c>
      <c r="B429" s="12" t="s">
        <v>619</v>
      </c>
      <c r="C429" s="10" t="str">
        <f>IFERROR(__xludf.DUMMYFUNCTION("GOOGLETRANSLATE(B429,""in"", ""en"")"),"there a lot of stain on bedsheet")</f>
        <v>there a lot of stain on bedsheet</v>
      </c>
      <c r="D429" s="6">
        <v>3.0</v>
      </c>
      <c r="E429" s="6">
        <v>0.0</v>
      </c>
    </row>
    <row r="430" ht="15.75" customHeight="1">
      <c r="A430" s="4">
        <f t="shared" si="1"/>
        <v>429</v>
      </c>
      <c r="B430" s="12" t="s">
        <v>620</v>
      </c>
      <c r="C430" s="10" t="str">
        <f>IFERROR(__xludf.DUMMYFUNCTION("GOOGLETRANSLATE(B430,""in"", ""en"")"),"Messed up Lighting System, Cant Off Properly. Door lock not working Properly. Not worth the price")</f>
        <v>Messed up Lighting System, Cant Off Properly. Door lock not working Properly. Not worth the price</v>
      </c>
      <c r="D430" s="6">
        <v>3.0</v>
      </c>
      <c r="E430" s="6">
        <v>1.0</v>
      </c>
    </row>
    <row r="431" ht="15.75" customHeight="1">
      <c r="A431" s="4">
        <f t="shared" si="1"/>
        <v>430</v>
      </c>
      <c r="B431" s="12" t="s">
        <v>621</v>
      </c>
      <c r="C431" s="10" t="str">
        <f>IFERROR(__xludf.DUMMYFUNCTION("GOOGLETRANSLATE(B431,""in"", ""en"")"),"Smell")</f>
        <v>Smell</v>
      </c>
      <c r="D431" s="6">
        <v>3.0</v>
      </c>
      <c r="E431" s="6">
        <v>0.0</v>
      </c>
    </row>
    <row r="432" ht="15.75" customHeight="1">
      <c r="A432" s="4">
        <f t="shared" si="1"/>
        <v>431</v>
      </c>
      <c r="B432" s="12" t="s">
        <v>622</v>
      </c>
      <c r="C432" s="10" t="str">
        <f>IFERROR(__xludf.DUMMYFUNCTION("GOOGLETRANSLATE(B432,""in"", ""en"")"),"Please improve the toilet toilet. CMN 1 period that can be used :(")</f>
        <v>Please improve the toilet toilet. CMN 1 period that can be used :(</v>
      </c>
      <c r="D432" s="6">
        <v>3.0</v>
      </c>
      <c r="E432" s="6">
        <v>0.0</v>
      </c>
    </row>
    <row r="433" ht="15.75" customHeight="1">
      <c r="A433" s="4">
        <f t="shared" si="1"/>
        <v>432</v>
      </c>
      <c r="B433" s="12" t="s">
        <v>623</v>
      </c>
      <c r="C433" s="10" t="str">
        <f>IFERROR(__xludf.DUMMYFUNCTION("GOOGLETRANSLATE(B433,""in"", ""en"")"),"told to pay charge even though the stain is not my fault")</f>
        <v>told to pay charge even though the stain is not my fault</v>
      </c>
      <c r="D433" s="6">
        <v>3.0</v>
      </c>
      <c r="E433" s="6">
        <v>0.0</v>
      </c>
    </row>
    <row r="434" ht="15.75" customHeight="1">
      <c r="A434" s="4">
        <f t="shared" si="1"/>
        <v>433</v>
      </c>
      <c r="B434" s="12" t="s">
        <v>624</v>
      </c>
      <c r="C434" s="10" t="str">
        <f>IFERROR(__xludf.DUMMYFUNCTION("GOOGLETRANSLATE(B434,""in"", ""en"")"),"Checked the function of the room facilities, the bathroom does not lock")</f>
        <v>Checked the function of the room facilities, the bathroom does not lock</v>
      </c>
      <c r="D434" s="6">
        <v>3.0</v>
      </c>
      <c r="E434" s="6">
        <v>0.0</v>
      </c>
    </row>
    <row r="435" ht="15.75" customHeight="1">
      <c r="A435" s="4">
        <f t="shared" si="1"/>
        <v>434</v>
      </c>
      <c r="B435" s="12" t="s">
        <v>625</v>
      </c>
      <c r="C435" s="10" t="str">
        <f>IFERROR(__xludf.DUMMYFUNCTION("GOOGLETRANSLATE(B435,""in"", ""en"")"),"more bathrooms/toilets")</f>
        <v>more bathrooms/toilets</v>
      </c>
      <c r="D435" s="6">
        <v>1.0</v>
      </c>
      <c r="E435" s="6">
        <v>0.0</v>
      </c>
    </row>
    <row r="436" ht="15.75" customHeight="1">
      <c r="A436" s="4">
        <f t="shared" si="1"/>
        <v>435</v>
      </c>
      <c r="B436" s="12" t="s">
        <v>626</v>
      </c>
      <c r="C436" s="10" t="str">
        <f>IFERROR(__xludf.DUMMYFUNCTION("GOOGLETRANSLATE(B436,""in"", ""en"")"),"Many toilets can not be locked sad")</f>
        <v>Many toilets can not be locked sad</v>
      </c>
      <c r="D436" s="6">
        <v>2.0</v>
      </c>
      <c r="E436" s="6">
        <v>0.0</v>
      </c>
    </row>
    <row r="437" ht="15.75" customHeight="1">
      <c r="A437" s="4">
        <f t="shared" si="1"/>
        <v>436</v>
      </c>
      <c r="B437" s="12" t="s">
        <v>627</v>
      </c>
      <c r="C437" s="10" t="str">
        <f>IFERROR(__xludf.DUMMYFUNCTION("GOOGLETRANSLATE(B437,""in"", ""en"")"),"Some cockroaches appeared")</f>
        <v>Some cockroaches appeared</v>
      </c>
      <c r="D437" s="6">
        <v>3.0</v>
      </c>
      <c r="E437" s="6">
        <v>0.0</v>
      </c>
    </row>
    <row r="438" ht="15.75" customHeight="1">
      <c r="A438" s="4">
        <f t="shared" si="1"/>
        <v>437</v>
      </c>
      <c r="B438" s="12" t="s">
        <v>628</v>
      </c>
      <c r="C438" s="10" t="str">
        <f>IFERROR(__xludf.DUMMYFUNCTION("GOOGLETRANSLATE(B438,""in"", ""en"")"),"I Wasted Two hours of my time because the air conditioning unit was out of order")</f>
        <v>I Wasted Two hours of my time because the air conditioning unit was out of order</v>
      </c>
      <c r="D438" s="6">
        <v>3.0</v>
      </c>
      <c r="E438" s="6">
        <v>0.0</v>
      </c>
    </row>
    <row r="439" ht="15.75" customHeight="1">
      <c r="A439" s="4">
        <f t="shared" si="1"/>
        <v>438</v>
      </c>
      <c r="B439" s="12" t="s">
        <v>629</v>
      </c>
      <c r="C439" s="10" t="str">
        <f>IFERROR(__xludf.DUMMYFUNCTION("GOOGLETRANSLATE(B439,""in"", ""en"")"),"I got a blanket and dirty pillow there are still blood spots, the quality of the mattress is very uncomfortable too hard")</f>
        <v>I got a blanket and dirty pillow there are still blood spots, the quality of the mattress is very uncomfortable too hard</v>
      </c>
      <c r="D439" s="6">
        <v>3.0</v>
      </c>
      <c r="E439" s="6">
        <v>0.0</v>
      </c>
    </row>
    <row r="440" ht="15.75" customHeight="1">
      <c r="A440" s="4">
        <f t="shared" si="1"/>
        <v>439</v>
      </c>
      <c r="B440" s="12" t="s">
        <v>630</v>
      </c>
      <c r="C440" s="10" t="str">
        <f>IFERROR(__xludf.DUMMYFUNCTION("GOOGLETRANSLATE(B440,""in"", ""en"")"),"The capsule wall is rather cracked, the door is also a little problematic, the air conditioner is not cold as usual, the toilet is damaged. Hopefully in the future it can be further improved and can be comfortable as before :)")</f>
        <v>The capsule wall is rather cracked, the door is also a little problematic, the air conditioner is not cold as usual, the toilet is damaged. Hopefully in the future it can be further improved and can be comfortable as before :)</v>
      </c>
      <c r="D440" s="6">
        <v>3.0</v>
      </c>
      <c r="E440" s="6">
        <v>0.0</v>
      </c>
    </row>
    <row r="441" ht="15.75" customHeight="1">
      <c r="A441" s="4">
        <f t="shared" si="1"/>
        <v>440</v>
      </c>
      <c r="B441" s="12" t="s">
        <v>631</v>
      </c>
      <c r="C441" s="10" t="str">
        <f>IFERROR(__xludf.DUMMYFUNCTION("GOOGLETRANSLATE(B441,""in"", ""en"")"),"Water System was broken during my stay. Not all bathroom functioning. The ac in my pod too cold at first. Then its not working at all")</f>
        <v>Water System was broken during my stay. Not all bathroom functioning. The ac in my pod too cold at first. Then its not working at all</v>
      </c>
      <c r="D441" s="6">
        <v>3.0</v>
      </c>
      <c r="E441" s="6">
        <v>0.0</v>
      </c>
    </row>
    <row r="442" ht="15.75" customHeight="1">
      <c r="A442" s="4">
        <f t="shared" si="1"/>
        <v>441</v>
      </c>
      <c r="B442" s="12" t="s">
        <v>632</v>
      </c>
      <c r="C442" s="10" t="str">
        <f>IFERROR(__xludf.DUMMYFUNCTION("GOOGLETRANSLATE(B442,""in"", ""en"")"),"The elevator is dead")</f>
        <v>The elevator is dead</v>
      </c>
      <c r="D442" s="6">
        <v>3.0</v>
      </c>
      <c r="E442" s="6">
        <v>0.0</v>
      </c>
    </row>
    <row r="443" ht="15.75" customHeight="1">
      <c r="A443" s="4">
        <f t="shared" si="1"/>
        <v>442</v>
      </c>
      <c r="B443" s="12" t="s">
        <v>633</v>
      </c>
      <c r="C443" s="10" t="str">
        <f>IFERROR(__xludf.DUMMYFUNCTION("GOOGLETRANSLATE(B443,""in"", ""en"")"),"The elevator is dead.
Sorry for women, to go up and down the stairs ...
What if you are pregnant!")</f>
        <v>The elevator is dead.
Sorry for women, to go up and down the stairs ...
What if you are pregnant!</v>
      </c>
      <c r="D443" s="6">
        <v>3.0</v>
      </c>
      <c r="E443" s="6">
        <v>0.0</v>
      </c>
    </row>
    <row r="444" ht="15.75" customHeight="1">
      <c r="A444" s="4">
        <f t="shared" si="1"/>
        <v>443</v>
      </c>
      <c r="B444" s="12" t="s">
        <v>634</v>
      </c>
      <c r="C444" s="10" t="str">
        <f>IFERROR(__xludf.DUMMYFUNCTION("GOOGLETRANSLATE(B444,""in"", ""en"")"),"Tolilet smells of urine, on the mattress a lot of hair")</f>
        <v>Tolilet smells of urine, on the mattress a lot of hair</v>
      </c>
      <c r="D444" s="6">
        <v>3.0</v>
      </c>
      <c r="E444" s="6">
        <v>0.0</v>
      </c>
    </row>
    <row r="445" ht="15.75" customHeight="1">
      <c r="A445" s="4">
        <f t="shared" si="1"/>
        <v>444</v>
      </c>
      <c r="B445" s="12" t="s">
        <v>635</v>
      </c>
      <c r="C445" s="10" t="str">
        <f>IFERROR(__xludf.DUMMYFUNCTION("GOOGLETRANSLATE(B445,""in"", ""en"")"),"The sheets and bedding are rather musty, maybe there needs to be dehumidifier so that it doesn't damp")</f>
        <v>The sheets and bedding are rather musty, maybe there needs to be dehumidifier so that it doesn't damp</v>
      </c>
      <c r="D445" s="6">
        <v>3.0</v>
      </c>
      <c r="E445" s="6">
        <v>0.0</v>
      </c>
    </row>
    <row r="446" ht="15.75" customHeight="1">
      <c r="A446" s="4">
        <f t="shared" si="1"/>
        <v>445</v>
      </c>
      <c r="B446" s="12" t="s">
        <v>636</v>
      </c>
      <c r="C446" s="10" t="str">
        <f>IFERROR(__xludf.DUMMYFUNCTION("GOOGLETRANSLATE(B446,""in"", ""en"")"),"Water Heater Didnt Work. Bad Wifi Connection")</f>
        <v>Water Heater Didnt Work. Bad Wifi Connection</v>
      </c>
      <c r="D446" s="6">
        <v>3.0</v>
      </c>
      <c r="E446" s="6">
        <v>1.0</v>
      </c>
    </row>
    <row r="447" ht="15.75" customHeight="1">
      <c r="A447" s="4">
        <f t="shared" si="1"/>
        <v>446</v>
      </c>
      <c r="B447" s="12" t="s">
        <v>637</v>
      </c>
      <c r="C447" s="10" t="str">
        <f>IFERROR(__xludf.DUMMYFUNCTION("GOOGLETRANSLATE(B447,""in"", ""en"")"),"Wifi lagging, bed linen and color pillow already broken white, the toilet spray voltage up and down")</f>
        <v>Wifi lagging, bed linen and color pillow already broken white, the toilet spray voltage up and down</v>
      </c>
      <c r="D447" s="6">
        <v>3.0</v>
      </c>
      <c r="E447" s="6">
        <v>1.0</v>
      </c>
    </row>
    <row r="448" ht="15.75" customHeight="1">
      <c r="A448" s="4">
        <f t="shared" si="1"/>
        <v>447</v>
      </c>
      <c r="B448" s="12" t="s">
        <v>638</v>
      </c>
      <c r="C448" s="10" t="str">
        <f>IFERROR(__xludf.DUMMYFUNCTION("GOOGLETRANSLATE(B448,""in"", ""en"")"),"Air Conditioner is not cool enough.")</f>
        <v>Air Conditioner is not cool enough.</v>
      </c>
      <c r="D448" s="6">
        <v>3.0</v>
      </c>
      <c r="E448" s="6">
        <v>0.0</v>
      </c>
    </row>
    <row r="449" ht="15.75" customHeight="1">
      <c r="A449" s="4">
        <f t="shared" si="1"/>
        <v>448</v>
      </c>
      <c r="B449" s="12" t="s">
        <v>639</v>
      </c>
      <c r="C449" s="10" t="str">
        <f>IFERROR(__xludf.DUMMYFUNCTION("GOOGLETRANSLATE(B449,""in"", ""en"")"),"Connection Wifi")</f>
        <v>Connection Wifi</v>
      </c>
      <c r="D449" s="6">
        <v>3.0</v>
      </c>
      <c r="E449" s="6">
        <v>1.0</v>
      </c>
    </row>
    <row r="450" ht="15.75" customHeight="1">
      <c r="A450" s="4">
        <f t="shared" si="1"/>
        <v>449</v>
      </c>
      <c r="B450" s="12" t="s">
        <v>640</v>
      </c>
      <c r="C450" s="10" t="str">
        <f>IFERROR(__xludf.DUMMYFUNCTION("GOOGLETRANSLATE(B450,""in"", ""en"")"),"Good enough")</f>
        <v>Good enough</v>
      </c>
      <c r="D450" s="6">
        <v>1.0</v>
      </c>
      <c r="E450" s="6">
        <v>0.0</v>
      </c>
    </row>
    <row r="451" ht="15.75" customHeight="1">
      <c r="A451" s="4">
        <f t="shared" si="1"/>
        <v>450</v>
      </c>
      <c r="B451" s="12" t="s">
        <v>641</v>
      </c>
      <c r="C451" s="10" t="str">
        <f>IFERROR(__xludf.DUMMYFUNCTION("GOOGLETRANSLATE(B451,""in"", ""en"")"),"Better for the bathroom sharing shower that can be moved because it is rather difficult to bring a small child to rinse the chapter/tub ... hopefully in the future the toilet has a shower in the toilet and in the bath")</f>
        <v>Better for the bathroom sharing shower that can be moved because it is rather difficult to bring a small child to rinse the chapter/tub ... hopefully in the future the toilet has a shower in the toilet and in the bath</v>
      </c>
      <c r="D451" s="6">
        <v>2.0</v>
      </c>
      <c r="E451" s="6">
        <v>0.0</v>
      </c>
    </row>
    <row r="452" ht="15.75" customHeight="1">
      <c r="A452" s="4">
        <f t="shared" si="1"/>
        <v>451</v>
      </c>
      <c r="B452" s="12" t="s">
        <v>642</v>
      </c>
      <c r="C452" s="10" t="str">
        <f>IFERROR(__xludf.DUMMYFUNCTION("GOOGLETRANSLATE(B452,""in"", ""en"")"),"Please have a smoking area")</f>
        <v>Please have a smoking area</v>
      </c>
      <c r="D452" s="6">
        <v>1.0</v>
      </c>
      <c r="E452" s="6">
        <v>0.0</v>
      </c>
    </row>
    <row r="453" ht="15.75" customHeight="1">
      <c r="A453" s="4">
        <f t="shared" si="1"/>
        <v>452</v>
      </c>
      <c r="B453" s="12" t="s">
        <v>643</v>
      </c>
      <c r="C453" s="10" t="str">
        <f>IFERROR(__xludf.DUMMYFUNCTION("GOOGLETRANSLATE(B453,""in"", ""en"")"),"Nothing Smoking Room")</f>
        <v>Nothing Smoking Room</v>
      </c>
      <c r="D453" s="6">
        <v>1.0</v>
      </c>
      <c r="E453" s="6">
        <v>0.0</v>
      </c>
    </row>
    <row r="454" ht="15.75" customHeight="1">
      <c r="A454" s="4">
        <f t="shared" si="1"/>
        <v>453</v>
      </c>
      <c r="B454" s="12" t="s">
        <v>644</v>
      </c>
      <c r="C454" s="10" t="str">
        <f>IFERROR(__xludf.DUMMYFUNCTION("GOOGLETRANSLATE(B454,""in"", ""en"")"),"Stayed at POD 72 (3rd floor), AC not cold enough even already fully opented, there are some ants inside pod, bed cover was not really clean and make skin itchy.")</f>
        <v>Stayed at POD 72 (3rd floor), AC not cold enough even already fully opented, there are some ants inside pod, bed cover was not really clean and make skin itchy.</v>
      </c>
      <c r="D454" s="6">
        <v>3.0</v>
      </c>
      <c r="E454" s="6">
        <v>0.0</v>
      </c>
    </row>
    <row r="455" ht="15.75" customHeight="1">
      <c r="A455" s="4">
        <f t="shared" si="1"/>
        <v>454</v>
      </c>
      <c r="B455" s="12" t="s">
        <v>645</v>
      </c>
      <c r="C455" s="10" t="str">
        <f>IFERROR(__xludf.DUMMYFUNCTION("GOOGLETRANSLATE(B455,""in"", ""en"")"),"It's a bit disappointed when I want to check this, just order 2 rooms from far away, but just ready 1 room, and must also wait for 1 hour. The rest is safe, the facilities are comfortable, the bed is comfortable.")</f>
        <v>It's a bit disappointed when I want to check this, just order 2 rooms from far away, but just ready 1 room, and must also wait for 1 hour. The rest is safe, the facilities are comfortable, the bed is comfortable.</v>
      </c>
      <c r="D455" s="6">
        <v>2.0</v>
      </c>
      <c r="E455" s="6">
        <v>0.0</v>
      </c>
    </row>
    <row r="456" ht="15.75" customHeight="1">
      <c r="A456" s="4">
        <f t="shared" si="1"/>
        <v>455</v>
      </c>
      <c r="B456" s="12" t="s">
        <v>646</v>
      </c>
      <c r="C456" s="10" t="str">
        <f>IFERROR(__xludf.DUMMYFUNCTION("GOOGLETRANSLATE(B456,""in"", ""en"")"),"Privacy")</f>
        <v>Privacy</v>
      </c>
      <c r="D456" s="6">
        <v>2.0</v>
      </c>
      <c r="E456" s="6">
        <v>0.0</v>
      </c>
    </row>
    <row r="457" ht="15.75" customHeight="1">
      <c r="A457" s="4">
        <f t="shared" si="1"/>
        <v>456</v>
      </c>
      <c r="B457" s="12" t="s">
        <v>647</v>
      </c>
      <c r="C457" s="10" t="str">
        <f>IFERROR(__xludf.DUMMYFUNCTION("GOOGLETRANSLATE(B457,""in"", ""en"")"),"The price went up is double in a year ..")</f>
        <v>The price went up is double in a year ..</v>
      </c>
      <c r="D457" s="6">
        <v>1.0</v>
      </c>
      <c r="E457" s="6">
        <v>0.0</v>
      </c>
    </row>
    <row r="458" ht="15.75" customHeight="1">
      <c r="A458" s="4">
        <f t="shared" si="1"/>
        <v>457</v>
      </c>
      <c r="B458" s="12" t="s">
        <v>648</v>
      </c>
      <c r="C458" s="10" t="str">
        <f>IFERROR(__xludf.DUMMYFUNCTION("GOOGLETRANSLATE(B458,""in"", ""en"")"),"All okay.
What needs to be fixed, the curtain cannot be closed tightly and there are lights that are still on even though they have pressed the off button, on POD 70.
Thank You.")</f>
        <v>All okay.
What needs to be fixed, the curtain cannot be closed tightly and there are lights that are still on even though they have pressed the off button, on POD 70.
Thank You.</v>
      </c>
      <c r="D458" s="6">
        <v>1.0</v>
      </c>
      <c r="E458" s="6">
        <v>0.0</v>
      </c>
    </row>
    <row r="459" ht="15.75" customHeight="1">
      <c r="A459" s="4">
        <f t="shared" si="1"/>
        <v>458</v>
      </c>
      <c r="B459" s="12" t="s">
        <v>649</v>
      </c>
      <c r="C459" s="10" t="str">
        <f>IFERROR(__xludf.DUMMYFUNCTION("GOOGLETRANSLATE(B459,""in"", ""en"")"),"Please info Is there a wireless pods headset in room 01 left? Vivo brand")</f>
        <v>Please info Is there a wireless pods headset in room 01 left? Vivo brand</v>
      </c>
      <c r="D459" s="6">
        <v>2.0</v>
      </c>
      <c r="E459" s="6">
        <v>0.0</v>
      </c>
    </row>
    <row r="460" ht="15.75" customHeight="1">
      <c r="A460" s="4">
        <f t="shared" si="1"/>
        <v>459</v>
      </c>
      <c r="B460" s="12" t="s">
        <v>650</v>
      </c>
      <c r="C460" s="10" t="str">
        <f>IFERROR(__xludf.DUMMYFUNCTION("GOOGLETRANSLATE(B460,""in"", ""en"")"),"There needs to be decisive action for some customers who seem to be enough to ignore the provisions as explained when checking in.
For the service of So Far Pretty well officers. keep improving.
Thanks")</f>
        <v>There needs to be decisive action for some customers who seem to be enough to ignore the provisions as explained when checking in.
For the service of So Far Pretty well officers. keep improving.
Thanks</v>
      </c>
      <c r="D460" s="6">
        <v>2.0</v>
      </c>
      <c r="E460" s="6">
        <v>0.0</v>
      </c>
    </row>
    <row r="461" ht="15.75" customHeight="1">
      <c r="A461" s="4">
        <f t="shared" si="1"/>
        <v>460</v>
      </c>
      <c r="B461" s="12" t="s">
        <v>651</v>
      </c>
      <c r="C461" s="10" t="str">
        <f>IFERROR(__xludf.DUMMYFUNCTION("GOOGLETRANSLATE(B461,""in"", ""en"")"),"Dusty bed sheets and pillows. Toilet smells, toilet the corner of many animals such as mosquitoes, it seems that the corner toilet is rarely brushed/cleaned.")</f>
        <v>Dusty bed sheets and pillows. Toilet smells, toilet the corner of many animals such as mosquitoes, it seems that the corner toilet is rarely brushed/cleaned.</v>
      </c>
      <c r="D461" s="6">
        <v>3.0</v>
      </c>
      <c r="E461" s="6">
        <v>0.0</v>
      </c>
    </row>
    <row r="462" ht="15.75" customHeight="1">
      <c r="A462" s="4">
        <f t="shared" si="1"/>
        <v>461</v>
      </c>
      <c r="B462" s="12" t="s">
        <v>652</v>
      </c>
      <c r="C462" s="10" t="str">
        <f>IFERROR(__xludf.DUMMYFUNCTION("GOOGLETRANSLATE(B462,""in"", ""en"")"),"The toilet smells very very bad .. smell of the toilet lt 1 to the bathroom door can not be locked broken")</f>
        <v>The toilet smells very very bad .. smell of the toilet lt 1 to the bathroom door can not be locked broken</v>
      </c>
      <c r="D462" s="6">
        <v>3.0</v>
      </c>
      <c r="E462" s="6">
        <v>0.0</v>
      </c>
    </row>
    <row r="463" ht="15.75" customHeight="1">
      <c r="A463" s="4">
        <f t="shared" si="1"/>
        <v>462</v>
      </c>
      <c r="B463" s="12" t="s">
        <v>653</v>
      </c>
      <c r="C463" s="10" t="str">
        <f>IFERROR(__xludf.DUMMYFUNCTION("GOOGLETRANSLATE(B463,""in"", ""en"")"),"The toilet floor is sticky, but if wet it wet it is slippery
When cleaning the rooms that have been completed are too embedded in the embed with the embedoms. I was in an earth room that was disturbed right at Sky (over me) again
Then the lack of sign for"&amp;" each floor, especially the mosque")</f>
        <v>The toilet floor is sticky, but if wet it wet it is slippery
When cleaning the rooms that have been completed are too embedded in the embed with the embedoms. I was in an earth room that was disturbed right at Sky (over me) again
Then the lack of sign for each floor, especially the mosque</v>
      </c>
      <c r="D463" s="6">
        <v>3.0</v>
      </c>
      <c r="E463" s="6">
        <v>0.0</v>
      </c>
    </row>
    <row r="464" ht="15.75" customHeight="1">
      <c r="A464" s="4">
        <f t="shared" si="1"/>
        <v>463</v>
      </c>
      <c r="B464" s="12" t="s">
        <v>654</v>
      </c>
      <c r="C464" s="10" t="str">
        <f>IFERROR(__xludf.DUMMYFUNCTION("GOOGLETRANSLATE(B464,""in"", ""en"")"),"Not good")</f>
        <v>Not good</v>
      </c>
      <c r="D464" s="6">
        <v>1.0</v>
      </c>
      <c r="E464" s="6">
        <v>0.0</v>
      </c>
    </row>
    <row r="465" ht="15.75" customHeight="1">
      <c r="A465" s="4">
        <f t="shared" si="1"/>
        <v>464</v>
      </c>
      <c r="B465" s="12" t="s">
        <v>655</v>
      </c>
      <c r="C465" s="10" t="str">
        <f>IFERROR(__xludf.DUMMYFUNCTION("GOOGLETRANSLATE(B465,""in"", ""en"")"),"The host service is less friendly, the toilet is a lot of puddles to come out, and the minus can't check out at 1 pm! Unlike other bobobox that can check out at 1 pm.")</f>
        <v>The host service is less friendly, the toilet is a lot of puddles to come out, and the minus can't check out at 1 pm! Unlike other bobobox that can check out at 1 pm.</v>
      </c>
      <c r="D465" s="6">
        <v>3.0</v>
      </c>
      <c r="E465" s="6">
        <v>0.0</v>
      </c>
    </row>
    <row r="466" ht="15.75" customHeight="1">
      <c r="A466" s="4">
        <f t="shared" si="1"/>
        <v>465</v>
      </c>
      <c r="B466" s="12" t="s">
        <v>656</v>
      </c>
      <c r="C466" s="10" t="str">
        <f>IFERROR(__xludf.DUMMYFUNCTION("GOOGLETRANSLATE(B466,""in"", ""en"")"),"Facilities do not match the price")</f>
        <v>Facilities do not match the price</v>
      </c>
      <c r="D466" s="6">
        <v>3.0</v>
      </c>
      <c r="E466" s="6">
        <v>0.0</v>
      </c>
    </row>
    <row r="467" ht="15.75" customHeight="1">
      <c r="A467" s="4">
        <f t="shared" si="1"/>
        <v>466</v>
      </c>
      <c r="B467" s="12" t="s">
        <v>657</v>
      </c>
      <c r="C467" s="10" t="str">
        <f>IFERROR(__xludf.DUMMYFUNCTION("GOOGLETRANSLATE(B467,""in"", ""en"")"),"Lack of mattress clean")</f>
        <v>Lack of mattress clean</v>
      </c>
      <c r="D467" s="6">
        <v>3.0</v>
      </c>
      <c r="E467" s="6">
        <v>0.0</v>
      </c>
    </row>
    <row r="468" ht="15.75" customHeight="1">
      <c r="A468" s="4">
        <f t="shared" si="1"/>
        <v>467</v>
      </c>
      <c r="B468" s="12" t="s">
        <v>658</v>
      </c>
      <c r="C468" s="10" t="str">
        <f>IFERROR(__xludf.DUMMYFUNCTION("GOOGLETRANSLATE(B468,""in"", ""en"")"),"Good but lack of drinking water")</f>
        <v>Good but lack of drinking water</v>
      </c>
      <c r="D468" s="6">
        <v>1.0</v>
      </c>
      <c r="E468" s="6">
        <v>0.0</v>
      </c>
    </row>
    <row r="469" ht="15.75" customHeight="1">
      <c r="A469" s="4">
        <f t="shared" si="1"/>
        <v>468</v>
      </c>
      <c r="B469" s="12" t="s">
        <v>659</v>
      </c>
      <c r="C469" s="10" t="str">
        <f>IFERROR(__xludf.DUMMYFUNCTION("GOOGLETRANSLATE(B469,""in"", ""en"")"),"The Overall Experience 4/5
But, you could add ceiling fan, cause it gets hotter during the day.")</f>
        <v>The Overall Experience 4/5
But, you could add ceiling fan, cause it gets hotter during the day.</v>
      </c>
      <c r="D469" s="6">
        <v>2.0</v>
      </c>
      <c r="E469" s="6">
        <v>0.0</v>
      </c>
    </row>
    <row r="470" ht="15.75" customHeight="1">
      <c r="A470" s="4">
        <f t="shared" si="1"/>
        <v>469</v>
      </c>
      <c r="B470" s="12" t="s">
        <v>660</v>
      </c>
      <c r="C470" s="10" t="str">
        <f>IFERROR(__xludf.DUMMYFUNCTION("GOOGLETRANSLATE(B470,""in"", ""en"")"),"Bathroom 2nd floor and 1 clogged closet, dirty towel")</f>
        <v>Bathroom 2nd floor and 1 clogged closet, dirty towel</v>
      </c>
      <c r="D470" s="6">
        <v>3.0</v>
      </c>
      <c r="E470" s="6">
        <v>0.0</v>
      </c>
    </row>
    <row r="471" ht="15.75" customHeight="1">
      <c r="A471" s="4">
        <f t="shared" si="1"/>
        <v>470</v>
      </c>
      <c r="B471" s="12" t="s">
        <v>661</v>
      </c>
      <c r="C471" s="10" t="str">
        <f>IFERROR(__xludf.DUMMYFUNCTION("GOOGLETRANSLATE(B471,""in"", ""en"")"),"The service was good, and I really like the location. But the bedsheet was very very dirty, the rooftop was slippery and the floor was not soundproof so even in its quiet hours, we still get disturbed by the sound step. But overall, it's all good.")</f>
        <v>The service was good, and I really like the location. But the bedsheet was very very dirty, the rooftop was slippery and the floor was not soundproof so even in its quiet hours, we still get disturbed by the sound step. But overall, it's all good.</v>
      </c>
      <c r="D471" s="6">
        <v>1.0</v>
      </c>
      <c r="E471" s="6">
        <v>0.0</v>
      </c>
    </row>
    <row r="472" ht="15.75" customHeight="1">
      <c r="A472" s="4">
        <f t="shared" si="1"/>
        <v>471</v>
      </c>
      <c r="B472" s="12" t="s">
        <v>662</v>
      </c>
      <c r="C472" s="10" t="str">
        <f>IFERROR(__xludf.DUMMYFUNCTION("GOOGLETRANSLATE(B472,""in"", ""en"")"),"Suddenly open the room at 7 in the morning without prior notice!, Next time the attitude host correct it first")</f>
        <v>Suddenly open the room at 7 in the morning without prior notice!, Next time the attitude host correct it first</v>
      </c>
      <c r="D472" s="6">
        <v>2.0</v>
      </c>
      <c r="E472" s="6">
        <v>0.0</v>
      </c>
    </row>
    <row r="473" ht="15.75" customHeight="1">
      <c r="A473" s="4">
        <f t="shared" si="1"/>
        <v>472</v>
      </c>
      <c r="B473" s="12" t="s">
        <v>663</v>
      </c>
      <c r="C473" s="10" t="str">
        <f>IFERROR(__xludf.DUMMYFUNCTION("GOOGLETRANSLATE(B473,""in"", ""en"")"),"The cold water is not there, the time of the Cebok uses hot water, dirty, small cockroaches die, hot air conditioners like sauna, pillows and hard mattresses, soap places are damaged and cannot be removed")</f>
        <v>The cold water is not there, the time of the Cebok uses hot water, dirty, small cockroaches die, hot air conditioners like sauna, pillows and hard mattresses, soap places are damaged and cannot be removed</v>
      </c>
      <c r="D473" s="6">
        <v>3.0</v>
      </c>
      <c r="E473" s="6">
        <v>0.0</v>
      </c>
    </row>
    <row r="474" ht="15.75" customHeight="1">
      <c r="A474" s="4">
        <f t="shared" si="1"/>
        <v>473</v>
      </c>
      <c r="B474" s="12" t="s">
        <v>664</v>
      </c>
      <c r="C474" s="10" t="str">
        <f>IFERROR(__xludf.DUMMYFUNCTION("GOOGLETRANSLATE(B474,""in"", ""en"")"),"Everything is ok except for the staff who answered the TLFON for me to ask for confirmation of Early Check in. I TLFON around 11:35 to ask for Early Check in at 13:00 the staff confirmed that and please come at 13:00 he said. But when it comes, apparently"&amp;" can't and told to wait to check in normal. Can't be held.")</f>
        <v>Everything is ok except for the staff who answered the TLFON for me to ask for confirmation of Early Check in. I TLFON around 11:35 to ask for Early Check in at 13:00 the staff confirmed that and please come at 13:00 he said. But when it comes, apparently can't and told to wait to check in normal. Can't be held.</v>
      </c>
      <c r="D474" s="6">
        <v>3.0</v>
      </c>
      <c r="E474" s="6">
        <v>0.0</v>
      </c>
    </row>
    <row r="475" ht="15.75" customHeight="1">
      <c r="A475" s="4">
        <f t="shared" si="1"/>
        <v>474</v>
      </c>
      <c r="B475" s="12" t="s">
        <v>665</v>
      </c>
      <c r="C475" s="10" t="str">
        <f>IFERROR(__xludf.DUMMYFUNCTION("GOOGLETRANSLATE(B475,""in"", ""en"")"),"Please clean it for the closet")</f>
        <v>Please clean it for the closet</v>
      </c>
      <c r="D475" s="6">
        <v>3.0</v>
      </c>
      <c r="E475" s="6">
        <v>0.0</v>
      </c>
    </row>
    <row r="476" ht="15.75" customHeight="1">
      <c r="A476" s="4">
        <f t="shared" si="1"/>
        <v>475</v>
      </c>
      <c r="B476" s="12" t="s">
        <v>666</v>
      </c>
      <c r="C476" s="10" t="str">
        <f>IFERROR(__xludf.DUMMYFUNCTION("GOOGLETRANSLATE(B476,""in"", ""en"")"),"the room is very dirty, sleeping too much because of the gatel, pdhl usually doesn't know")</f>
        <v>the room is very dirty, sleeping too much because of the gatel, pdhl usually doesn't know</v>
      </c>
      <c r="D476" s="6">
        <v>3.0</v>
      </c>
      <c r="E476" s="6">
        <v>0.0</v>
      </c>
    </row>
    <row r="477" ht="15.75" customHeight="1">
      <c r="A477" s="4">
        <f t="shared" si="1"/>
        <v>476</v>
      </c>
      <c r="B477" s="12" t="s">
        <v>667</v>
      </c>
      <c r="C477" s="10" t="str">
        <f>IFERROR(__xludf.DUMMYFUNCTION("GOOGLETRANSLATE(B477,""in"", ""en"")"),"KFC lid, so fast")</f>
        <v>KFC lid, so fast</v>
      </c>
      <c r="D477" s="6">
        <v>1.0</v>
      </c>
      <c r="E477" s="6">
        <v>0.0</v>
      </c>
    </row>
    <row r="478" ht="15.75" customHeight="1">
      <c r="A478" s="4">
        <f t="shared" si="1"/>
        <v>477</v>
      </c>
      <c r="B478" s="12" t="s">
        <v>668</v>
      </c>
      <c r="C478" s="10" t="str">
        <f>IFERROR(__xludf.DUMMYFUNCTION("GOOGLETRANSLATE(B478,""in"", ""en"")"),"Poor service")</f>
        <v>Poor service</v>
      </c>
      <c r="D478" s="6">
        <v>2.0</v>
      </c>
      <c r="E478" s="6">
        <v>0.0</v>
      </c>
    </row>
    <row r="479" ht="15.75" customHeight="1">
      <c r="A479" s="4">
        <f t="shared" si="1"/>
        <v>478</v>
      </c>
      <c r="B479" s="12" t="s">
        <v>669</v>
      </c>
      <c r="C479" s="10" t="str">
        <f>IFERROR(__xludf.DUMMYFUNCTION("GOOGLETRANSLATE(B479,""in"", ""en"")"),"I love staying in bobobox..i twice stay hetw and love it ..")</f>
        <v>I love staying in bobobox..i twice stay hetw and love it ..</v>
      </c>
      <c r="D479" s="6">
        <v>1.0</v>
      </c>
      <c r="E479" s="6">
        <v>0.0</v>
      </c>
    </row>
    <row r="480" ht="15.75" customHeight="1">
      <c r="A480" s="4">
        <f t="shared" si="1"/>
        <v>479</v>
      </c>
      <c r="B480" s="12" t="s">
        <v>670</v>
      </c>
      <c r="C480" s="10" t="str">
        <f>IFERROR(__xludf.DUMMYFUNCTION("GOOGLETRANSLATE(B480,""in"", ""en"")"),"Cant Reschedule")</f>
        <v>Cant Reschedule</v>
      </c>
      <c r="D480" s="6">
        <v>2.0</v>
      </c>
      <c r="E480" s="6">
        <v>1.0</v>
      </c>
    </row>
    <row r="481" ht="15.75" customHeight="1">
      <c r="A481" s="4">
        <f t="shared" si="1"/>
        <v>480</v>
      </c>
      <c r="B481" s="12" t="s">
        <v>671</v>
      </c>
      <c r="C481" s="10" t="str">
        <f>IFERROR(__xludf.DUMMYFUNCTION("GOOGLETRANSLATE(B481,""in"", ""en"")"),"Stop contact loose, so I don't want to enter the charger")</f>
        <v>Stop contact loose, so I don't want to enter the charger</v>
      </c>
      <c r="D481" s="6">
        <v>3.0</v>
      </c>
      <c r="E481" s="6">
        <v>1.0</v>
      </c>
    </row>
    <row r="482" ht="15.75" customHeight="1">
      <c r="A482" s="4">
        <f t="shared" si="1"/>
        <v>481</v>
      </c>
      <c r="B482" s="12" t="s">
        <v>672</v>
      </c>
      <c r="C482" s="10" t="str">
        <f>IFERROR(__xludf.DUMMYFUNCTION("GOOGLETRANSLATE(B482,""in"", ""en"")"),"The toilet is not clean")</f>
        <v>The toilet is not clean</v>
      </c>
      <c r="D482" s="6">
        <v>3.0</v>
      </c>
      <c r="E482" s="6">
        <v>0.0</v>
      </c>
    </row>
    <row r="483" ht="15.75" customHeight="1">
      <c r="A483" s="4">
        <f t="shared" si="1"/>
        <v>482</v>
      </c>
      <c r="B483" s="12" t="s">
        <v>673</v>
      </c>
      <c r="C483" s="10" t="str">
        <f>IFERROR(__xludf.DUMMYFUNCTION("GOOGLETRANSLATE(B483,""in"", ""en"")"),"Host Services are less friendly, the toilet is also less clean and smelly. Even though sharing but I have been staying in the hotel with a concept like this is much better")</f>
        <v>Host Services are less friendly, the toilet is also less clean and smelly. Even though sharing but I have been staying in the hotel with a concept like this is much better</v>
      </c>
      <c r="D483" s="6">
        <v>3.0</v>
      </c>
      <c r="E483" s="6">
        <v>0.0</v>
      </c>
    </row>
    <row r="484" ht="15.75" customHeight="1">
      <c r="A484" s="4">
        <f t="shared" si="1"/>
        <v>483</v>
      </c>
      <c r="B484" s="12" t="s">
        <v>674</v>
      </c>
      <c r="C484" s="10" t="str">
        <f>IFERROR(__xludf.DUMMYFUNCTION("GOOGLETRANSLATE(B484,""in"", ""en"")"),"Less toilet")</f>
        <v>Less toilet</v>
      </c>
      <c r="D484" s="6">
        <v>2.0</v>
      </c>
      <c r="E484" s="6">
        <v>0.0</v>
      </c>
    </row>
    <row r="485" ht="15.75" customHeight="1">
      <c r="A485" s="4">
        <f t="shared" si="1"/>
        <v>484</v>
      </c>
      <c r="B485" s="12" t="s">
        <v>675</v>
      </c>
      <c r="C485" s="10" t="str">
        <f>IFERROR(__xludf.DUMMYFUNCTION("GOOGLETRANSLATE(B485,""in"", ""en"")"),"Maybe the admin can be more responsive when chatting via live chat in the application")</f>
        <v>Maybe the admin can be more responsive when chatting via live chat in the application</v>
      </c>
      <c r="D485" s="6">
        <v>2.0</v>
      </c>
      <c r="E485" s="6">
        <v>0.0</v>
      </c>
    </row>
    <row r="486" ht="15.75" customHeight="1">
      <c r="A486" s="4">
        <f t="shared" si="1"/>
        <v>485</v>
      </c>
      <c r="B486" s="12" t="s">
        <v>676</v>
      </c>
      <c r="C486" s="10" t="str">
        <f>IFERROR(__xludf.DUMMYFUNCTION("GOOGLETRANSLATE(B486,""in"", ""en"")"),"pnas")</f>
        <v>pnas</v>
      </c>
      <c r="D486" s="6">
        <v>3.0</v>
      </c>
      <c r="E486" s="6">
        <v>0.0</v>
      </c>
    </row>
    <row r="487" ht="15.75" customHeight="1">
      <c r="A487" s="4">
        <f t="shared" si="1"/>
        <v>486</v>
      </c>
      <c r="B487" s="12" t="s">
        <v>677</v>
      </c>
      <c r="C487" s="10" t="str">
        <f>IFERROR(__xludf.DUMMYFUNCTION("GOOGLETRANSLATE(B487,""in"", ""en"")"),"The bathroom tends to be dirty (arguably the dirty Bobobox branch I have ever been inepin). The water in the toilet is yellow and the smell of urine (the beginning thought that there were those who had not been watering, it turned out that the color of th"&amp;"e water was yellow). The floor also seems unclean. Try the toilet on other floors also turned out to be the condition is not much different. The dining room on the ground floor also tends to be dirty. Besides that, it can still be tolerated")</f>
        <v>The bathroom tends to be dirty (arguably the dirty Bobobox branch I have ever been inepin). The water in the toilet is yellow and the smell of urine (the beginning thought that there were those who had not been watering, it turned out that the color of the water was yellow). The floor also seems unclean. Try the toilet on other floors also turned out to be the condition is not much different. The dining room on the ground floor also tends to be dirty. Besides that, it can still be tolerated</v>
      </c>
      <c r="D487" s="6">
        <v>3.0</v>
      </c>
      <c r="E487" s="6">
        <v>0.0</v>
      </c>
    </row>
    <row r="488" ht="15.75" customHeight="1">
      <c r="A488" s="4">
        <f t="shared" si="1"/>
        <v>487</v>
      </c>
      <c r="B488" s="12" t="s">
        <v>678</v>
      </c>
      <c r="C488" s="10" t="str">
        <f>IFERROR(__xludf.DUMMYFUNCTION("GOOGLETRANSLATE(B488,""in"", ""en"")"),"Swing is not friendly")</f>
        <v>Swing is not friendly</v>
      </c>
      <c r="D488" s="6">
        <v>2.0</v>
      </c>
      <c r="E488" s="6">
        <v>0.0</v>
      </c>
    </row>
    <row r="489" ht="15.75" customHeight="1">
      <c r="A489" s="4">
        <f t="shared" si="1"/>
        <v>488</v>
      </c>
      <c r="B489" s="12" t="s">
        <v>679</v>
      </c>
      <c r="C489" s="10" t="str">
        <f>IFERROR(__xludf.DUMMYFUNCTION("GOOGLETRANSLATE(B489,""in"", ""en"")"),"It was not bad")</f>
        <v>It was not bad</v>
      </c>
      <c r="D489" s="6">
        <v>1.0</v>
      </c>
      <c r="E489" s="6">
        <v>0.0</v>
      </c>
    </row>
    <row r="490" ht="15.75" customHeight="1">
      <c r="A490" s="4">
        <f t="shared" si="1"/>
        <v>489</v>
      </c>
      <c r="B490" s="12" t="s">
        <v>680</v>
      </c>
      <c r="C490" s="10" t="str">
        <f>IFERROR(__xludf.DUMMYFUNCTION("GOOGLETRANSLATE(B490,""in"", ""en"")"),"The service is not friendly for the kaka whose parking lot is also not free for a while for a while in the padlock who is guarding the loby and keeps calling you")</f>
        <v>The service is not friendly for the kaka whose parking lot is also not free for a while for a while in the padlock who is guarding the loby and keeps calling you</v>
      </c>
      <c r="D490" s="6">
        <v>2.0</v>
      </c>
      <c r="E490" s="6">
        <v>0.0</v>
      </c>
    </row>
    <row r="491" ht="15.75" customHeight="1">
      <c r="A491" s="4">
        <f t="shared" si="1"/>
        <v>490</v>
      </c>
      <c r="B491" s="12" t="s">
        <v>681</v>
      </c>
      <c r="C491" s="10" t="str">
        <f>IFERROR(__xludf.DUMMYFUNCTION("GOOGLETRANSLATE(B491,""in"", ""en"")"),"The worst Bobobox so far. Messy management. POD with AC does not function but instead sold. Sleep the stuffy sleep on the small pod that doesn't use AC. Told to wait for the clarity of the front office officers from the first time the complaint (around 16"&amp;".30) to 22.00, there was still no solution. Finally decided to move the hotel. Apes bgt.
Read Google Maps Reviews Many Similar Complents. No wonder.")</f>
        <v>The worst Bobobox so far. Messy management. POD with AC does not function but instead sold. Sleep the stuffy sleep on the small pod that doesn't use AC. Told to wait for the clarity of the front office officers from the first time the complaint (around 16.30) to 22.00, there was still no solution. Finally decided to move the hotel. Apes bgt.
Read Google Maps Reviews Many Similar Complents. No wonder.</v>
      </c>
      <c r="D491" s="6">
        <v>3.0</v>
      </c>
      <c r="E491" s="6">
        <v>0.0</v>
      </c>
    </row>
    <row r="492" ht="15.75" customHeight="1">
      <c r="A492" s="4">
        <f t="shared" si="1"/>
        <v>491</v>
      </c>
      <c r="B492" s="12" t="s">
        <v>682</v>
      </c>
      <c r="C492" s="10" t="str">
        <f>IFERROR(__xludf.DUMMYFUNCTION("GOOGLETRANSLATE(B492,""in"", ""en"")"),"sorry but sleep a bit annoyed because the thread is the one next to the one")</f>
        <v>sorry but sleep a bit annoyed because the thread is the one next to the one</v>
      </c>
      <c r="D492" s="6">
        <v>2.0</v>
      </c>
      <c r="E492" s="6">
        <v>0.0</v>
      </c>
    </row>
    <row r="493" ht="15.75" customHeight="1">
      <c r="A493" s="4">
        <f t="shared" si="1"/>
        <v>492</v>
      </c>
      <c r="B493" s="12" t="s">
        <v>683</v>
      </c>
      <c r="C493" s="10" t="str">
        <f>IFERROR(__xludf.DUMMYFUNCTION("GOOGLETRANSLATE(B493,""in"", ""en"")"),"The sharing toilet please reproduce")</f>
        <v>The sharing toilet please reproduce</v>
      </c>
      <c r="D493" s="6">
        <v>2.0</v>
      </c>
      <c r="E493" s="6">
        <v>0.0</v>
      </c>
    </row>
    <row r="494" ht="15.75" customHeight="1">
      <c r="A494" s="4">
        <f t="shared" si="1"/>
        <v>493</v>
      </c>
      <c r="B494" s="12" t="s">
        <v>684</v>
      </c>
      <c r="C494" s="10" t="str">
        <f>IFERROR(__xludf.DUMMYFUNCTION("GOOGLETRANSLATE(B494,""in"", ""en"")"),"Can't leave the item for a while. Even though I just want to come out for a while.")</f>
        <v>Can't leave the item for a while. Even though I just want to come out for a while.</v>
      </c>
      <c r="D494" s="6">
        <v>2.0</v>
      </c>
      <c r="E494" s="6">
        <v>0.0</v>
      </c>
    </row>
    <row r="495" ht="15.75" customHeight="1">
      <c r="A495" s="4">
        <f t="shared" si="1"/>
        <v>494</v>
      </c>
      <c r="B495" s="12" t="s">
        <v>685</v>
      </c>
      <c r="C495" s="10" t="str">
        <f>IFERROR(__xludf.DUMMYFUNCTION("GOOGLETRANSLATE(B495,""in"", ""en"")"),"The toilet smells really uncomfortable and dirty bathing, the smell of the water is messy everywhere. The bedroom smelled really when the first came the smell of the ketek brother so uncomfortable")</f>
        <v>The toilet smells really uncomfortable and dirty bathing, the smell of the water is messy everywhere. The bedroom smelled really when the first came the smell of the ketek brother so uncomfortable</v>
      </c>
      <c r="D495" s="6">
        <v>3.0</v>
      </c>
      <c r="E495" s="6">
        <v>0.0</v>
      </c>
    </row>
    <row r="496" ht="15.75" customHeight="1">
      <c r="A496" s="4">
        <f t="shared" si="1"/>
        <v>495</v>
      </c>
      <c r="B496" s="12" t="s">
        <v>686</v>
      </c>
      <c r="C496" s="10" t="str">
        <f>IFERROR(__xludf.DUMMYFUNCTION("GOOGLETRANSLATE(B496,""in"", ""en"")"),"There is no strict role where people can not talk so loudly. Our Last Experience, we got two neighbors, front and back cabin who talked so loud. The back one, Talked Until 1,30 PM.")</f>
        <v>There is no strict role where people can not talk so loudly. Our Last Experience, we got two neighbors, front and back cabin who talked so loud. The back one, Talked Until 1,30 PM.</v>
      </c>
      <c r="D496" s="6">
        <v>2.0</v>
      </c>
      <c r="E496" s="6">
        <v>0.0</v>
      </c>
    </row>
    <row r="497" ht="15.75" customHeight="1">
      <c r="A497" s="4">
        <f t="shared" si="1"/>
        <v>496</v>
      </c>
      <c r="B497" s="12" t="s">
        <v>687</v>
      </c>
      <c r="C497" s="10" t="str">
        <f>IFERROR(__xludf.DUMMYFUNCTION("GOOGLETRANSLATE(B497,""in"", ""en"")"),"The room should be cleaner, the bed linen is replaced if it's dirty")</f>
        <v>The room should be cleaner, the bed linen is replaced if it's dirty</v>
      </c>
      <c r="D497" s="6">
        <v>3.0</v>
      </c>
      <c r="E497" s="6">
        <v>0.0</v>
      </c>
    </row>
    <row r="498" ht="15.75" customHeight="1">
      <c r="A498" s="4">
        <f t="shared" si="1"/>
        <v>497</v>
      </c>
      <c r="B498" s="12" t="s">
        <v>688</v>
      </c>
      <c r="C498" s="10" t="str">
        <f>IFERROR(__xludf.DUMMYFUNCTION("GOOGLETRANSLATE(B498,""in"", ""en"")"),"The mattress is very loud, lacking soundproof and there is no AC setting. If it's already improved the value of 1000/100")</f>
        <v>The mattress is very loud, lacking soundproof and there is no AC setting. If it's already improved the value of 1000/100</v>
      </c>
      <c r="D498" s="6">
        <v>2.0</v>
      </c>
      <c r="E498" s="6">
        <v>0.0</v>
      </c>
    </row>
    <row r="499" ht="15.75" customHeight="1">
      <c r="A499" s="4">
        <f t="shared" si="1"/>
        <v>498</v>
      </c>
      <c r="B499" s="12" t="s">
        <v>689</v>
      </c>
      <c r="C499" s="10" t="str">
        <f>IFERROR(__xludf.DUMMYFUNCTION("GOOGLETRANSLATE(B499,""in"", ""en"")"),"The floor of the bathroom is slippery and smells of urine")</f>
        <v>The floor of the bathroom is slippery and smells of urine</v>
      </c>
      <c r="D499" s="6">
        <v>3.0</v>
      </c>
      <c r="E499" s="6">
        <v>0.0</v>
      </c>
    </row>
    <row r="500" ht="15.75" customHeight="1">
      <c r="A500" s="4">
        <f t="shared" si="1"/>
        <v>499</v>
      </c>
      <c r="B500" s="12" t="s">
        <v>690</v>
      </c>
      <c r="C500" s="10" t="str">
        <f>IFERROR(__xludf.DUMMYFUNCTION("GOOGLETRANSLATE(B500,""in"", ""en"")"),"No Activity. Surrounding sounds too loud")</f>
        <v>No Activity. Surrounding sounds too loud</v>
      </c>
      <c r="D500" s="6">
        <v>2.0</v>
      </c>
      <c r="E500" s="6">
        <v>0.0</v>
      </c>
    </row>
    <row r="501" ht="15.75" customHeight="1">
      <c r="A501" s="4">
        <f t="shared" si="1"/>
        <v>500</v>
      </c>
      <c r="B501" s="12" t="s">
        <v>691</v>
      </c>
      <c r="C501" s="10" t="str">
        <f>IFERROR(__xludf.DUMMYFUNCTION("GOOGLETRANSLATE(B501,""in"", ""en"")"),"In the application is not listed price, after telephone, just come to the location, it will be assisted, after the location is not in accordance with what is said, we are forced to book a room that does not make sense, we cannot return, because the road t"&amp;"o this location is very extreme, Sangta is not recommended, the price does not make sense to the existing facilities, very disappointing!")</f>
        <v>In the application is not listed price, after telephone, just come to the location, it will be assisted, after the location is not in accordance with what is said, we are forced to book a room that does not make sense, we cannot return, because the road to this location is very extreme, Sangta is not recommended, the price does not make sense to the existing facilities, very disappointing!</v>
      </c>
      <c r="D501" s="6">
        <v>2.0</v>
      </c>
      <c r="E501" s="6">
        <v>1.0</v>
      </c>
    </row>
    <row r="502" ht="15.75" customHeight="1">
      <c r="A502" s="4">
        <f t="shared" si="1"/>
        <v>501</v>
      </c>
      <c r="B502" s="12" t="s">
        <v>692</v>
      </c>
      <c r="C502" s="10" t="str">
        <f>IFERROR(__xludf.DUMMYFUNCTION("GOOGLETRANSLATE(B502,""in"", ""en"")"),"TBH, I don't like the morning-night shift receptionist. The way to explains it is impatient, rushed, and gives the impression of conductive to people who are trying the experience of staying here for the first time. I like the night-morning staff, friendl"&amp;"y and cute❣️")</f>
        <v>TBH, I don't like the morning-night shift receptionist. The way to explains it is impatient, rushed, and gives the impression of conductive to people who are trying the experience of staying here for the first time. I like the night-morning staff, friendly and cute❣️</v>
      </c>
      <c r="D502" s="6">
        <v>2.0</v>
      </c>
      <c r="E502" s="6">
        <v>0.0</v>
      </c>
    </row>
    <row r="503" ht="15.75" customHeight="1">
      <c r="A503" s="4">
        <f t="shared" si="1"/>
        <v>502</v>
      </c>
      <c r="B503" s="12" t="s">
        <v>693</v>
      </c>
      <c r="C503" s="10" t="str">
        <f>IFERROR(__xludf.DUMMYFUNCTION("GOOGLETRANSLATE(B503,""in"", ""en"")"),"Jeduk's upper room")</f>
        <v>Jeduk's upper room</v>
      </c>
      <c r="D503" s="6">
        <v>1.0</v>
      </c>
      <c r="E503" s="6">
        <v>0.0</v>
      </c>
    </row>
    <row r="504" ht="15.75" customHeight="1">
      <c r="A504" s="4">
        <f t="shared" si="1"/>
        <v>503</v>
      </c>
      <c r="B504" s="12" t="s">
        <v>694</v>
      </c>
      <c r="C504" s="10" t="str">
        <f>IFERROR(__xludf.DUMMYFUNCTION("GOOGLETRANSLATE(B504,""in"", ""en"")"),"A lot of dust in between in the room")</f>
        <v>A lot of dust in between in the room</v>
      </c>
      <c r="D504" s="6">
        <v>2.0</v>
      </c>
      <c r="E504" s="6">
        <v>0.0</v>
      </c>
    </row>
    <row r="505" ht="15.75" customHeight="1">
      <c r="A505" s="4">
        <f t="shared" si="1"/>
        <v>504</v>
      </c>
      <c r="B505" s="12" t="s">
        <v>695</v>
      </c>
      <c r="C505" s="10" t="str">
        <f>IFERROR(__xludf.DUMMYFUNCTION("GOOGLETRANSLATE(B505,""in"", ""en"")"),"Incidentally the position is close to the dispenser, so many are passing by. When someone passed by, it must feel really a bit shake. In addition, there is information snacks above the dispenser, but it doesn't be info how to order it")</f>
        <v>Incidentally the position is close to the dispenser, so many are passing by. When someone passed by, it must feel really a bit shake. In addition, there is information snacks above the dispenser, but it doesn't be info how to order it</v>
      </c>
      <c r="D505" s="6">
        <v>2.0</v>
      </c>
      <c r="E505" s="6">
        <v>0.0</v>
      </c>
    </row>
    <row r="506" ht="15.75" customHeight="1">
      <c r="A506" s="4">
        <f t="shared" si="1"/>
        <v>505</v>
      </c>
      <c r="B506" s="12" t="s">
        <v>696</v>
      </c>
      <c r="C506" s="10" t="str">
        <f>IFERROR(__xludf.DUMMYFUNCTION("GOOGLETRANSLATE(B506,""in"", ""en"")"),"The staff there is not friendly, the bathroom is really engaging ... not like kebayoran. The rest is safe")</f>
        <v>The staff there is not friendly, the bathroom is really engaging ... not like kebayoran. The rest is safe</v>
      </c>
      <c r="D506" s="6">
        <v>3.0</v>
      </c>
      <c r="E506" s="6">
        <v>0.0</v>
      </c>
    </row>
    <row r="507" ht="15.75" customHeight="1">
      <c r="A507" s="4">
        <f t="shared" si="1"/>
        <v>506</v>
      </c>
      <c r="B507" s="12" t="s">
        <v>697</v>
      </c>
      <c r="C507" s="10" t="str">
        <f>IFERROR(__xludf.DUMMYFUNCTION("GOOGLETRANSLATE(B507,""in"", ""en"")"),"Noise pollution from the street
")</f>
        <v>Noise pollution from the street
</v>
      </c>
      <c r="D507" s="6">
        <v>1.0</v>
      </c>
      <c r="E507" s="6">
        <v>0.0</v>
      </c>
    </row>
    <row r="508" ht="15.75" customHeight="1">
      <c r="A508" s="4">
        <f t="shared" si="1"/>
        <v>507</v>
      </c>
      <c r="B508" s="12" t="s">
        <v>698</v>
      </c>
      <c r="C508" s="10" t="str">
        <f>IFERROR(__xludf.DUMMYFUNCTION("GOOGLETRANSLATE(B508,""in"", ""en"")"),"Urinating it is difficult to nap using water")</f>
        <v>Urinating it is difficult to nap using water</v>
      </c>
      <c r="D508" s="6">
        <v>2.0</v>
      </c>
      <c r="E508" s="6">
        <v>0.0</v>
      </c>
    </row>
    <row r="509" ht="15.75" customHeight="1">
      <c r="A509" s="4">
        <f t="shared" si="1"/>
        <v>508</v>
      </c>
      <c r="B509" s="12" t="s">
        <v>699</v>
      </c>
      <c r="C509" s="10" t="str">
        <f>IFERROR(__xludf.DUMMYFUNCTION("GOOGLETRANSLATE(B509,""in"", ""en"")"),"POD 6 Worst Ever, Udh noisy one of the water, asking for speakers to not be worked on a month too. I want to move POD. Even though before previously on another pod it was comfortable")</f>
        <v>POD 6 Worst Ever, Udh noisy one of the water, asking for speakers to not be worked on a month too. I want to move POD. Even though before previously on another pod it was comfortable</v>
      </c>
      <c r="D509" s="6">
        <v>3.0</v>
      </c>
      <c r="E509" s="6">
        <v>0.0</v>
      </c>
    </row>
    <row r="510" ht="15.75" customHeight="1">
      <c r="A510" s="4">
        <f t="shared" si="1"/>
        <v>509</v>
      </c>
      <c r="B510" s="12" t="s">
        <v>700</v>
      </c>
      <c r="C510" s="10" t="str">
        <f>IFERROR(__xludf.DUMMYFUNCTION("GOOGLETRANSLATE(B510,""in"", ""en"")"),"Help the management, to park the car can be thought of again.")</f>
        <v>Help the management, to park the car can be thought of again.</v>
      </c>
      <c r="D510" s="6">
        <v>2.0</v>
      </c>
      <c r="E510" s="6">
        <v>0.0</v>
      </c>
    </row>
    <row r="511" ht="15.75" customHeight="1">
      <c r="A511" s="4">
        <f t="shared" si="1"/>
        <v>510</v>
      </c>
      <c r="B511" s="12" t="s">
        <v>701</v>
      </c>
      <c r="C511" s="10" t="str">
        <f>IFERROR(__xludf.DUMMYFUNCTION("GOOGLETRANSLATE(B511,""in"", ""en"")"),"Unfortunately it can't be rescheduled and refined funds if it can be canceled or can't be present, severe!")</f>
        <v>Unfortunately it can't be rescheduled and refined funds if it can be canceled or can't be present, severe!</v>
      </c>
      <c r="D511" s="6">
        <v>2.0</v>
      </c>
      <c r="E511" s="6">
        <v>1.0</v>
      </c>
    </row>
    <row r="512" ht="15.75" customHeight="1">
      <c r="A512" s="4">
        <f t="shared" si="1"/>
        <v>511</v>
      </c>
      <c r="B512" s="12" t="s">
        <v>702</v>
      </c>
      <c r="C512" s="10" t="str">
        <f>IFERROR(__xludf.DUMMYFUNCTION("GOOGLETRANSLATE(B512,""in"", ""en"")"),"The bed was too hard.")</f>
        <v>The bed was too hard.</v>
      </c>
      <c r="D512" s="6">
        <v>3.0</v>
      </c>
      <c r="E512" s="6">
        <v>0.0</v>
      </c>
    </row>
    <row r="513" ht="15.75" customHeight="1">
      <c r="A513" s="4">
        <f t="shared" si="1"/>
        <v>512</v>
      </c>
      <c r="B513" s="12" t="s">
        <v>703</v>
      </c>
      <c r="C513" s="10" t="str">
        <f>IFERROR(__xludf.DUMMYFUNCTION("GOOGLETRANSLATE(B513,""in"", ""en"")"),"The motor parking area can be made closer to access. Can be through the elevator or other. If far, visitors are tired of wanting to rest still bother the road from the parking area to the hotel. The same for the availability of goods sold in hotels can be"&amp;" made more diverse. Hotels are far from shopping access such as Indomart so the sale value if you want to sell goods or needs. For example sanitary napkins, soap, etc.")</f>
        <v>The motor parking area can be made closer to access. Can be through the elevator or other. If far, visitors are tired of wanting to rest still bother the road from the parking area to the hotel. The same for the availability of goods sold in hotels can be made more diverse. Hotels are far from shopping access such as Indomart so the sale value if you want to sell goods or needs. For example sanitary napkins, soap, etc.</v>
      </c>
      <c r="D513" s="6">
        <v>2.0</v>
      </c>
      <c r="E513" s="6">
        <v>0.0</v>
      </c>
    </row>
    <row r="514" ht="15.75" customHeight="1">
      <c r="A514" s="4">
        <f t="shared" si="1"/>
        <v>513</v>
      </c>
      <c r="B514" s="12" t="s">
        <v>704</v>
      </c>
      <c r="C514" s="10" t="str">
        <f>IFERROR(__xludf.DUMMYFUNCTION("GOOGLETRANSLATE(B514,""in"", ""en"")"),"Far away accessing the car parking huhu")</f>
        <v>Far away accessing the car parking huhu</v>
      </c>
      <c r="D514" s="6">
        <v>2.0</v>
      </c>
      <c r="E514" s="6">
        <v>0.0</v>
      </c>
    </row>
    <row r="515" ht="15.75" customHeight="1">
      <c r="A515" s="4">
        <f t="shared" si="1"/>
        <v>514</v>
      </c>
      <c r="B515" s="12" t="s">
        <v>705</v>
      </c>
      <c r="C515" s="10" t="str">
        <f>IFERROR(__xludf.DUMMYFUNCTION("GOOGLETRANSLATE(B515,""in"", ""en"")"),"Food is more enhanced :)")</f>
        <v>Food is more enhanced :)</v>
      </c>
      <c r="D515" s="6">
        <v>2.0</v>
      </c>
      <c r="E515" s="6">
        <v>0.0</v>
      </c>
    </row>
    <row r="516" ht="15.75" customHeight="1">
      <c r="A516" s="4">
        <f t="shared" si="1"/>
        <v>515</v>
      </c>
      <c r="B516" s="12" t="s">
        <v>706</v>
      </c>
      <c r="C516" s="10" t="str">
        <f>IFERROR(__xludf.DUMMYFUNCTION("GOOGLETRANSLATE(B516,""in"", ""en"")"),"The road is far. The rest is 100, very friendly and excellent service")</f>
        <v>The road is far. The rest is 100, very friendly and excellent service</v>
      </c>
      <c r="D516" s="6">
        <v>1.0</v>
      </c>
      <c r="E516" s="6">
        <v>0.0</v>
      </c>
    </row>
    <row r="517" ht="15.75" customHeight="1">
      <c r="A517" s="4">
        <f t="shared" si="1"/>
        <v>516</v>
      </c>
      <c r="B517" s="12" t="s">
        <v>707</v>
      </c>
      <c r="C517" s="10" t="str">
        <f>IFERROR(__xludf.DUMMYFUNCTION("GOOGLETRANSLATE(B517,""in"", ""en"")"),"Bobobox Cipaganti There is no anget water :(")</f>
        <v>Bobobox Cipaganti There is no anget water :(</v>
      </c>
      <c r="D517" s="6">
        <v>2.0</v>
      </c>
      <c r="E517" s="6">
        <v>0.0</v>
      </c>
    </row>
    <row r="518" ht="15.75" customHeight="1">
      <c r="A518" s="4">
        <f t="shared" si="1"/>
        <v>517</v>
      </c>
      <c r="B518" s="12" t="s">
        <v>708</v>
      </c>
      <c r="C518" s="10" t="str">
        <f>IFERROR(__xludf.DUMMYFUNCTION("GOOGLETRANSLATE(B518,""in"", ""en"")"),"Facilities must always be maintained")</f>
        <v>Facilities must always be maintained</v>
      </c>
      <c r="D518" s="6">
        <v>1.0</v>
      </c>
      <c r="E518" s="6">
        <v>0.0</v>
      </c>
    </row>
    <row r="519" ht="15.75" customHeight="1">
      <c r="A519" s="4">
        <f t="shared" si="1"/>
        <v>518</v>
      </c>
      <c r="B519" s="12" t="s">
        <v>709</v>
      </c>
      <c r="C519" s="10" t="str">
        <f>IFERROR(__xludf.DUMMYFUNCTION("GOOGLETRANSLATE(B519,""in"", ""en"")"),"Access to Bobobox Old City is very difficult because many road closures and car park areas are very limited. Besides that, the outside corridor should be dimly made at night so we can sleep more soundly on the canar. Because the light from outside is stil"&amp;"l bright and enters the window of the room.")</f>
        <v>Access to Bobobox Old City is very difficult because many road closures and car park areas are very limited. Besides that, the outside corridor should be dimly made at night so we can sleep more soundly on the canar. Because the light from outside is still bright and enters the window of the room.</v>
      </c>
      <c r="D519" s="6">
        <v>2.0</v>
      </c>
      <c r="E519" s="6">
        <v>0.0</v>
      </c>
    </row>
    <row r="520" ht="15.75" customHeight="1">
      <c r="A520" s="4">
        <f t="shared" si="1"/>
        <v>519</v>
      </c>
      <c r="B520" s="12" t="s">
        <v>710</v>
      </c>
      <c r="C520" s="10" t="str">
        <f>IFERROR(__xludf.DUMMYFUNCTION("GOOGLETRANSLATE(B520,""in"", ""en"")"),"Get the room at 1 o'clock in the evening and assisted by the receptionist who is friendly and polite. Comfortable rooms only access to the toilet far from the 3rd floor have to go down to the 1st floor because there are improvements.")</f>
        <v>Get the room at 1 o'clock in the evening and assisted by the receptionist who is friendly and polite. Comfortable rooms only access to the toilet far from the 3rd floor have to go down to the 1st floor because there are improvements.</v>
      </c>
      <c r="D520" s="6">
        <v>1.0</v>
      </c>
      <c r="E520" s="6">
        <v>0.0</v>
      </c>
    </row>
    <row r="521" ht="15.75" customHeight="1">
      <c r="A521" s="4">
        <f t="shared" si="1"/>
        <v>520</v>
      </c>
      <c r="B521" s="12" t="s">
        <v>711</v>
      </c>
      <c r="C521" s="10" t="str">
        <f>IFERROR(__xludf.DUMMYFUNCTION("GOOGLETRANSLATE(B521,""in"", ""en"")"),"The mattress is rather hard")</f>
        <v>The mattress is rather hard</v>
      </c>
      <c r="D521" s="6">
        <v>2.0</v>
      </c>
      <c r="E521" s="6">
        <v>0.0</v>
      </c>
    </row>
    <row r="522" ht="15.75" customHeight="1">
      <c r="A522" s="4">
        <f t="shared" si="1"/>
        <v>521</v>
      </c>
      <c r="B522" s="12" t="s">
        <v>712</v>
      </c>
      <c r="C522" s="10" t="str">
        <f>IFERROR(__xludf.DUMMYFUNCTION("GOOGLETRANSLATE(B522,""in"", ""en"")"),"The lights go out on my floor for a long time")</f>
        <v>The lights go out on my floor for a long time</v>
      </c>
      <c r="D522" s="6">
        <v>3.0</v>
      </c>
      <c r="E522" s="6">
        <v>0.0</v>
      </c>
    </row>
    <row r="523" ht="15.75" customHeight="1">
      <c r="A523" s="4">
        <f t="shared" si="1"/>
        <v>522</v>
      </c>
      <c r="B523" s="12" t="s">
        <v>713</v>
      </c>
      <c r="C523" s="10" t="str">
        <f>IFERROR(__xludf.DUMMYFUNCTION("GOOGLETRANSLATE(B523,""in"", ""en"")"),"Many can not be used and once the water can be very small")</f>
        <v>Many can not be used and once the water can be very small</v>
      </c>
      <c r="D523" s="6">
        <v>3.0</v>
      </c>
      <c r="E523" s="6">
        <v>0.0</v>
      </c>
    </row>
    <row r="524" ht="15.75" customHeight="1">
      <c r="A524" s="4">
        <f t="shared" si="1"/>
        <v>523</v>
      </c>
      <c r="B524" s="12" t="s">
        <v>714</v>
      </c>
      <c r="C524" s="10" t="str">
        <f>IFERROR(__xludf.DUMMYFUNCTION("GOOGLETRANSLATE(B524,""in"", ""en"")"),"Hot water in the bathroom women are not hot at all, rooms smell bad and room no 9 smells of animals.
")</f>
        <v>Hot water in the bathroom women are not hot at all, rooms smell bad and room no 9 smells of animals.
</v>
      </c>
      <c r="D524" s="6">
        <v>3.0</v>
      </c>
      <c r="E524" s="6">
        <v>0.0</v>
      </c>
    </row>
    <row r="525" ht="15.75" customHeight="1">
      <c r="A525" s="4">
        <f t="shared" si="1"/>
        <v>524</v>
      </c>
      <c r="B525" s="12" t="s">
        <v>715</v>
      </c>
      <c r="C525" s="10" t="str">
        <f>IFERROR(__xludf.DUMMYFUNCTION("GOOGLETRANSLATE(B525,""in"", ""en"")"),"I stayed at the Bobobox Hotel Alun-alun Bandung, the place was cozy and suitable for those who went or sleep alone. But please sheets and the blanket when washed, given a fragrance so that it does not smell musty when used. And more importantly, please ma"&amp;"intain the toilet and bathroom because the water is not clean, and flows very small even until it doesn't come out at all.")</f>
        <v>I stayed at the Bobobox Hotel Alun-alun Bandung, the place was cozy and suitable for those who went or sleep alone. But please sheets and the blanket when washed, given a fragrance so that it does not smell musty when used. And more importantly, please maintain the toilet and bathroom because the water is not clean, and flows very small even until it doesn't come out at all.</v>
      </c>
      <c r="D525" s="6">
        <v>2.0</v>
      </c>
      <c r="E525" s="6">
        <v>0.0</v>
      </c>
    </row>
    <row r="526" ht="15.75" customHeight="1">
      <c r="A526" s="4">
        <f t="shared" si="1"/>
        <v>525</v>
      </c>
      <c r="B526" s="12" t="s">
        <v>716</v>
      </c>
      <c r="C526" s="10" t="str">
        <f>IFERROR(__xludf.DUMMYFUNCTION("GOOGLETRANSLATE(B526,""in"", ""en"")"),"Wifinnya is crazy. The bed is smelly :( the ones on the side of the window. So ssh disappeared. Make a family room, the hot water capacity is really good. And the hot water is very long.")</f>
        <v>Wifinnya is crazy. The bed is smelly :( the ones on the side of the window. So ssh disappeared. Make a family room, the hot water capacity is really good. And the hot water is very long.</v>
      </c>
      <c r="D526" s="6">
        <v>2.0</v>
      </c>
      <c r="E526" s="6">
        <v>0.0</v>
      </c>
    </row>
    <row r="527" ht="15.75" customHeight="1">
      <c r="A527" s="4">
        <f t="shared" si="1"/>
        <v>526</v>
      </c>
      <c r="B527" s="12" t="s">
        <v>717</v>
      </c>
      <c r="C527" s="10" t="str">
        <f>IFERROR(__xludf.DUMMYFUNCTION("GOOGLETRANSLATE(B527,""in"", ""en"")"),"Super bad wifi not stable a little broken. I tried the same 3 devices.")</f>
        <v>Super bad wifi not stable a little broken. I tried the same 3 devices.</v>
      </c>
      <c r="D527" s="6">
        <v>3.0</v>
      </c>
      <c r="E527" s="6">
        <v>1.0</v>
      </c>
    </row>
    <row r="528" ht="15.75" customHeight="1">
      <c r="A528" s="4">
        <f t="shared" si="1"/>
        <v>527</v>
      </c>
      <c r="B528" s="12" t="s">
        <v>718</v>
      </c>
      <c r="C528" s="10" t="str">
        <f>IFERROR(__xludf.DUMMYFUNCTION("GOOGLETRANSLATE(B528,""in"", ""en"")"),"Dirty toilet must be diligent in cleaning")</f>
        <v>Dirty toilet must be diligent in cleaning</v>
      </c>
      <c r="D528" s="6">
        <v>3.0</v>
      </c>
      <c r="E528" s="6">
        <v>0.0</v>
      </c>
    </row>
    <row r="529" ht="15.75" customHeight="1">
      <c r="A529" s="4">
        <f t="shared" si="1"/>
        <v>528</v>
      </c>
      <c r="B529" s="12" t="s">
        <v>719</v>
      </c>
      <c r="C529" s="10" t="str">
        <f>IFERROR(__xludf.DUMMYFUNCTION("GOOGLETRANSLATE(B529,""in"", ""en"")"),"the water is dirty")</f>
        <v>the water is dirty</v>
      </c>
      <c r="D529" s="6">
        <v>3.0</v>
      </c>
      <c r="E529" s="6">
        <v>0.0</v>
      </c>
    </row>
    <row r="530" ht="15.75" customHeight="1">
      <c r="A530" s="4">
        <f t="shared" si="1"/>
        <v>529</v>
      </c>
      <c r="B530" s="12" t="s">
        <v>720</v>
      </c>
      <c r="C530" s="10" t="str">
        <f>IFERROR(__xludf.DUMMYFUNCTION("GOOGLETRANSLATE(B530,""in"", ""en"")"),"Pls fix the wifi")</f>
        <v>Pls fix the wifi</v>
      </c>
      <c r="D530" s="6">
        <v>3.0</v>
      </c>
      <c r="E530" s="6">
        <v>1.0</v>
      </c>
    </row>
    <row r="531" ht="15.75" customHeight="1">
      <c r="A531" s="4">
        <f t="shared" si="1"/>
        <v>530</v>
      </c>
      <c r="B531" s="12" t="s">
        <v>721</v>
      </c>
      <c r="C531" s="10" t="str">
        <f>IFERROR(__xludf.DUMMYFUNCTION("GOOGLETRANSLATE(B531,""in"", ""en"")"),"The water is finished")</f>
        <v>The water is finished</v>
      </c>
      <c r="D531" s="6">
        <v>2.0</v>
      </c>
      <c r="E531" s="6">
        <v>0.0</v>
      </c>
    </row>
    <row r="532" ht="15.75" customHeight="1">
      <c r="A532" s="4">
        <f t="shared" si="1"/>
        <v>531</v>
      </c>
      <c r="B532" s="12" t="s">
        <v>722</v>
      </c>
      <c r="C532" s="10" t="str">
        <f>IFERROR(__xludf.DUMMYFUNCTION("GOOGLETRANSLATE(B532,""in"", ""en"")"),"The toilet is very far. Because it has to go up to the 2ndth floor. Poor those who want to want to defecate. Please increase it again. Overall already comfortable in Bobobox")</f>
        <v>The toilet is very far. Because it has to go up to the 2ndth floor. Poor those who want to want to defecate. Please increase it again. Overall already comfortable in Bobobox</v>
      </c>
      <c r="D532" s="6">
        <v>1.0</v>
      </c>
      <c r="E532" s="6">
        <v>0.0</v>
      </c>
    </row>
    <row r="533" ht="15.75" customHeight="1">
      <c r="A533" s="4">
        <f t="shared" si="1"/>
        <v>532</v>
      </c>
      <c r="B533" s="12" t="s">
        <v>723</v>
      </c>
      <c r="C533" s="10" t="str">
        <f>IFERROR(__xludf.DUMMYFUNCTION("GOOGLETRANSLATE(B533,""in"", ""en"")"),"The internet very slowwwww")</f>
        <v>The internet very slowwwww</v>
      </c>
      <c r="D533" s="6">
        <v>2.0</v>
      </c>
      <c r="E533" s="6">
        <v>1.0</v>
      </c>
    </row>
    <row r="534" ht="15.75" customHeight="1">
      <c r="A534" s="4">
        <f t="shared" si="1"/>
        <v>533</v>
      </c>
      <c r="B534" s="12" t="s">
        <v>724</v>
      </c>
      <c r="C534" s="10" t="str">
        <f>IFERROR(__xludf.DUMMYFUNCTION("GOOGLETRANSLATE(B534,""in"", ""en"")"),"Need to be made more soundproof because the activities of people outside the room are very heard, especially in a room that is attached to my room.")</f>
        <v>Need to be made more soundproof because the activities of people outside the room are very heard, especially in a room that is attached to my room.</v>
      </c>
      <c r="D534" s="6">
        <v>2.0</v>
      </c>
      <c r="E534" s="6">
        <v>0.0</v>
      </c>
    </row>
    <row r="535" ht="15.75" customHeight="1">
      <c r="A535" s="4">
        <f t="shared" si="1"/>
        <v>534</v>
      </c>
      <c r="B535" s="12" t="s">
        <v>725</v>
      </c>
      <c r="C535" s="10" t="str">
        <f>IFERROR(__xludf.DUMMYFUNCTION("GOOGLETRANSLATE(B535,""in"", ""en"")"),"Toilet floods and lots of hair on the toilet floor when Br Check In. On the glass of the roof many nursing nests2. Dirty floors, especially elbows between floors and mattresses.")</f>
        <v>Toilet floods and lots of hair on the toilet floor when Br Check In. On the glass of the roof many nursing nests2. Dirty floors, especially elbows between floors and mattresses.</v>
      </c>
      <c r="D535" s="6">
        <v>3.0</v>
      </c>
      <c r="E535" s="6">
        <v>0.0</v>
      </c>
    </row>
    <row r="536" ht="15.75" customHeight="1">
      <c r="A536" s="4">
        <f t="shared" si="1"/>
        <v>535</v>
      </c>
      <c r="B536" s="12" t="s">
        <v>726</v>
      </c>
      <c r="C536" s="10" t="str">
        <f>IFERROR(__xludf.DUMMYFUNCTION("GOOGLETRANSLATE(B536,""in"", ""en"")"),"Hot air conditioning isn't cold at all ..")</f>
        <v>Hot air conditioning isn't cold at all ..</v>
      </c>
      <c r="D536" s="6">
        <v>2.0</v>
      </c>
      <c r="E536" s="6">
        <v>0.0</v>
      </c>
    </row>
    <row r="537" ht="15.75" customHeight="1">
      <c r="A537" s="4">
        <f t="shared" si="1"/>
        <v>536</v>
      </c>
      <c r="B537" s="12" t="s">
        <v>727</v>
      </c>
      <c r="C537" s="10" t="str">
        <f>IFERROR(__xludf.DUMMYFUNCTION("GOOGLETRANSLATE(B537,""in"", ""en"")"),"AC NY is not cold room number 3.")</f>
        <v>AC NY is not cold room number 3.</v>
      </c>
      <c r="D537" s="6">
        <v>3.0</v>
      </c>
      <c r="E537" s="6">
        <v>0.0</v>
      </c>
    </row>
    <row r="538" ht="15.75" customHeight="1">
      <c r="A538" s="4">
        <f t="shared" si="1"/>
        <v>537</v>
      </c>
      <c r="B538" s="12" t="s">
        <v>728</v>
      </c>
      <c r="C538" s="10" t="str">
        <f>IFERROR(__xludf.DUMMYFUNCTION("GOOGLETRANSLATE(B538,""in"", ""en"")"),"The shower wall is black and the water from the shower is very small")</f>
        <v>The shower wall is black and the water from the shower is very small</v>
      </c>
      <c r="D538" s="6">
        <v>3.0</v>
      </c>
      <c r="E538" s="6">
        <v>0.0</v>
      </c>
    </row>
    <row r="539" ht="15.75" customHeight="1">
      <c r="A539" s="4">
        <f t="shared" si="1"/>
        <v>538</v>
      </c>
      <c r="B539" s="12" t="s">
        <v>729</v>
      </c>
      <c r="C539" s="10" t="str">
        <f>IFERROR(__xludf.DUMMYFUNCTION("GOOGLETRANSLATE(B539,""in"", ""en"")"),"Sleep comfort is enhanced in the quality of the pillow, the aroma of the elevator smells")</f>
        <v>Sleep comfort is enhanced in the quality of the pillow, the aroma of the elevator smells</v>
      </c>
      <c r="D539" s="6">
        <v>2.0</v>
      </c>
      <c r="E539" s="6">
        <v>0.0</v>
      </c>
    </row>
    <row r="540" ht="15.75" customHeight="1">
      <c r="A540" s="4">
        <f t="shared" si="1"/>
        <v>539</v>
      </c>
      <c r="B540" s="12" t="s">
        <v>730</v>
      </c>
      <c r="C540" s="10" t="str">
        <f>IFERROR(__xludf.DUMMYFUNCTION("GOOGLETRANSLATE(B540,""in"", ""en"")"),"1. AC is less cold
2. No breakfast")</f>
        <v>1. AC is less cold
2. No breakfast</v>
      </c>
      <c r="D540" s="6">
        <v>2.0</v>
      </c>
      <c r="E540" s="6">
        <v>0.0</v>
      </c>
    </row>
    <row r="541" ht="15.75" customHeight="1">
      <c r="A541" s="4">
        <f t="shared" si="1"/>
        <v>540</v>
      </c>
      <c r="B541" s="12" t="s">
        <v>731</v>
      </c>
      <c r="C541" s="10" t="str">
        <f>IFERROR(__xludf.DUMMYFUNCTION("GOOGLETRANSLATE(B541,""in"", ""en"")"),"receptionist guy who is rewarding when I check in less friendly")</f>
        <v>receptionist guy who is rewarding when I check in less friendly</v>
      </c>
      <c r="D541" s="6">
        <v>2.0</v>
      </c>
      <c r="E541" s="6">
        <v>0.0</v>
      </c>
    </row>
    <row r="542" ht="15.75" customHeight="1">
      <c r="A542" s="4">
        <f t="shared" si="1"/>
        <v>541</v>
      </c>
      <c r="B542" s="12" t="s">
        <v>732</v>
      </c>
      <c r="C542" s="10" t="str">
        <f>IFERROR(__xludf.DUMMYFUNCTION("GOOGLETRANSLATE(B542,""in"", ""en"")"),"Toilet sharing is not clean, hairdyer dies, daaaaaan there is no water! Please fix it")</f>
        <v>Toilet sharing is not clean, hairdyer dies, daaaaaan there is no water! Please fix it</v>
      </c>
      <c r="D542" s="6">
        <v>2.0</v>
      </c>
      <c r="E542" s="6">
        <v>0.0</v>
      </c>
    </row>
    <row r="543" ht="15.75" customHeight="1">
      <c r="A543" s="4">
        <f t="shared" si="1"/>
        <v>542</v>
      </c>
      <c r="B543" s="12" t="s">
        <v>733</v>
      </c>
      <c r="C543" s="10" t="str">
        <f>IFERROR(__xludf.DUMMYFUNCTION("GOOGLETRANSLATE(B543,""in"", ""en"")"),"Stop contact pods 22 Ga on")</f>
        <v>Stop contact pods 22 Ga on</v>
      </c>
      <c r="D543" s="6">
        <v>3.0</v>
      </c>
      <c r="E543" s="6">
        <v>0.0</v>
      </c>
    </row>
    <row r="544" ht="15.75" customHeight="1">
      <c r="A544" s="4">
        <f t="shared" si="1"/>
        <v>543</v>
      </c>
      <c r="B544" s="12" t="s">
        <v>734</v>
      </c>
      <c r="C544" s="10" t="str">
        <f>IFERROR(__xludf.DUMMYFUNCTION("GOOGLETRANSLATE(B544,""in"", ""en"")"),"Expensive Parking Charge!")</f>
        <v>Expensive Parking Charge!</v>
      </c>
      <c r="D544" s="6">
        <v>2.0</v>
      </c>
      <c r="E544" s="6">
        <v>0.0</v>
      </c>
    </row>
    <row r="545" ht="15.75" customHeight="1">
      <c r="A545" s="4">
        <f t="shared" si="1"/>
        <v>544</v>
      </c>
      <c r="B545" s="12" t="s">
        <v>735</v>
      </c>
      <c r="C545" s="10" t="str">
        <f>IFERROR(__xludf.DUMMYFUNCTION("GOOGLETRANSLATE(B545,""in"", ""en"")"),"Maybe it's better if every room is given a trash can and toilet in one floor is on the right and left")</f>
        <v>Maybe it's better if every room is given a trash can and toilet in one floor is on the right and left</v>
      </c>
      <c r="D545" s="6">
        <v>1.0</v>
      </c>
      <c r="E545" s="6">
        <v>0.0</v>
      </c>
    </row>
    <row r="546" ht="15.75" customHeight="1">
      <c r="A546" s="4">
        <f t="shared" si="1"/>
        <v>545</v>
      </c>
      <c r="B546" s="12" t="s">
        <v>736</v>
      </c>
      <c r="C546" s="10" t="str">
        <f>IFERROR(__xludf.DUMMYFUNCTION("GOOGLETRANSLATE(B546,""in"", ""en"")"),"The atmosphere is calm and comfortable. The front road access is not good, the mattress is rather hard, access to eating is quite difficult, maybe you can add a caffe or a place to eat in the middle that is easy to access")</f>
        <v>The atmosphere is calm and comfortable. The front road access is not good, the mattress is rather hard, access to eating is quite difficult, maybe you can add a caffe or a place to eat in the middle that is easy to access</v>
      </c>
      <c r="D546" s="6">
        <v>1.0</v>
      </c>
      <c r="E546" s="6">
        <v>0.0</v>
      </c>
    </row>
    <row r="547" ht="15.75" customHeight="1">
      <c r="A547" s="4">
        <f t="shared" si="1"/>
        <v>546</v>
      </c>
      <c r="B547" s="12" t="s">
        <v>737</v>
      </c>
      <c r="C547" s="10" t="str">
        <f>IFERROR(__xludf.DUMMYFUNCTION("GOOGLETRANSLATE(B547,""in"", ""en"")"),"Used to be cheap now expensive bob :(")</f>
        <v>Used to be cheap now expensive bob :(</v>
      </c>
      <c r="D547" s="6">
        <v>1.0</v>
      </c>
      <c r="E547" s="6">
        <v>0.0</v>
      </c>
    </row>
    <row r="548" ht="15.75" customHeight="1">
      <c r="A548" s="4">
        <f t="shared" si="1"/>
        <v>547</v>
      </c>
      <c r="B548" s="12" t="s">
        <v>738</v>
      </c>
      <c r="C548" s="10" t="str">
        <f>IFERROR(__xludf.DUMMYFUNCTION("GOOGLETRANSLATE(B548,""in"", ""en"")"),"The room is dirty")</f>
        <v>The room is dirty</v>
      </c>
      <c r="D548" s="6">
        <v>3.0</v>
      </c>
      <c r="E548" s="6">
        <v>0.0</v>
      </c>
    </row>
    <row r="549" ht="15.75" customHeight="1">
      <c r="A549" s="4">
        <f t="shared" si="1"/>
        <v>548</v>
      </c>
      <c r="B549" s="12" t="s">
        <v>739</v>
      </c>
      <c r="C549" s="10" t="str">
        <f>IFERROR(__xludf.DUMMYFUNCTION("GOOGLETRANSLATE(B549,""in"", ""en"")"),"Already often stay in Bobobox, but only there is no water in the bathroom or sink, even if there is really small and it's really long the water is not there, until I check to the lower floor back and forth because I want to take a shower, the bath is long"&amp;" because the water is not always out already a small mah huh: (((")</f>
        <v>Already often stay in Bobobox, but only there is no water in the bathroom or sink, even if there is really small and it's really long the water is not there, until I check to the lower floor back and forth because I want to take a shower, the bath is long because the water is not always out already a small mah huh: (((</v>
      </c>
      <c r="D549" s="6">
        <v>3.0</v>
      </c>
      <c r="E549" s="6">
        <v>0.0</v>
      </c>
    </row>
    <row r="550" ht="15.75" customHeight="1">
      <c r="A550" s="4">
        <f t="shared" si="1"/>
        <v>549</v>
      </c>
      <c r="B550" s="12" t="s">
        <v>740</v>
      </c>
      <c r="C550" s="10" t="str">
        <f>IFERROR(__xludf.DUMMYFUNCTION("GOOGLETRANSLATE(B550,""in"", ""en"")"),"In the bed there are some strands of women's hair while I enter alone ???")</f>
        <v>In the bed there are some strands of women's hair while I enter alone ???</v>
      </c>
      <c r="D550" s="6">
        <v>2.0</v>
      </c>
      <c r="E550" s="6">
        <v>0.0</v>
      </c>
    </row>
    <row r="551" ht="15.75" customHeight="1">
      <c r="A551" s="4">
        <f t="shared" si="1"/>
        <v>550</v>
      </c>
      <c r="B551" s="12" t="s">
        <v>741</v>
      </c>
      <c r="C551" s="10" t="str">
        <f>IFERROR(__xludf.DUMMYFUNCTION("GOOGLETRANSLATE(B551,""in"", ""en"")"),"Water for bathing and toilets is difficult")</f>
        <v>Water for bathing and toilets is difficult</v>
      </c>
      <c r="D551" s="6">
        <v>3.0</v>
      </c>
      <c r="E551" s="6">
        <v>0.0</v>
      </c>
    </row>
    <row r="552" ht="15.75" customHeight="1">
      <c r="A552" s="4">
        <f t="shared" si="1"/>
        <v>551</v>
      </c>
      <c r="B552" s="12" t="s">
        <v>742</v>
      </c>
      <c r="C552" s="10" t="str">
        <f>IFERROR(__xludf.DUMMYFUNCTION("GOOGLETRANSLATE(B552,""in"", ""en"")"),"Cleaning service as long as you just enter the room in Wakyu Jam Check Out instead of being knocked on first to me I also want to extend the check in")</f>
        <v>Cleaning service as long as you just enter the room in Wakyu Jam Check Out instead of being knocked on first to me I also want to extend the check in</v>
      </c>
      <c r="D552" s="6">
        <v>2.0</v>
      </c>
      <c r="E552" s="6">
        <v>0.0</v>
      </c>
    </row>
    <row r="553" ht="15.75" customHeight="1">
      <c r="A553" s="4">
        <f t="shared" si="1"/>
        <v>552</v>
      </c>
      <c r="B553" s="12" t="s">
        <v>743</v>
      </c>
      <c r="C553" s="10" t="str">
        <f>IFERROR(__xludf.DUMMYFUNCTION("GOOGLETRANSLATE(B553,""in"", ""en"")"),"POD on the pod I was having sex until it was heard to my pod.")</f>
        <v>POD on the pod I was having sex until it was heard to my pod.</v>
      </c>
      <c r="D553" s="6">
        <v>2.0</v>
      </c>
      <c r="E553" s="6">
        <v>0.0</v>
      </c>
    </row>
    <row r="554" ht="15.75" customHeight="1">
      <c r="A554" s="4">
        <f t="shared" si="1"/>
        <v>553</v>
      </c>
      <c r="B554" s="12" t="s">
        <v>744</v>
      </c>
      <c r="C554" s="10" t="str">
        <f>IFERROR(__xludf.DUMMYFUNCTION("GOOGLETRANSLATE(B554,""in"", ""en"")"),"There is a cockroach in the room, please be more aware of the cleanliness of the room. Very disappointed at this point. Then, the water heater site is dirty because there are noodles from previous visitors. AC is also difficult to rotate so it is difficul"&amp;"t to regulate the temperature in the pod. Even though I want to try it because I am curious, but it ends up disappointed with fundamental things. Apart from that the experience that was fooled and fun.")</f>
        <v>There is a cockroach in the room, please be more aware of the cleanliness of the room. Very disappointed at this point. Then, the water heater site is dirty because there are noodles from previous visitors. AC is also difficult to rotate so it is difficult to regulate the temperature in the pod. Even though I want to try it because I am curious, but it ends up disappointed with fundamental things. Apart from that the experience that was fooled and fun.</v>
      </c>
      <c r="D554" s="6">
        <v>3.0</v>
      </c>
      <c r="E554" s="6">
        <v>0.0</v>
      </c>
    </row>
    <row r="555" ht="15.75" customHeight="1">
      <c r="A555" s="4">
        <f t="shared" si="1"/>
        <v>554</v>
      </c>
      <c r="B555" s="12" t="s">
        <v>745</v>
      </c>
      <c r="C555" s="10" t="str">
        <f>IFERROR(__xludf.DUMMYFUNCTION("GOOGLETRANSLATE(B555,""in"", ""en"")"),"The smell of new facilities makes a stuffy, maybe you need exhaust installation")</f>
        <v>The smell of new facilities makes a stuffy, maybe you need exhaust installation</v>
      </c>
      <c r="D555" s="6">
        <v>2.0</v>
      </c>
      <c r="E555" s="6">
        <v>0.0</v>
      </c>
    </row>
    <row r="556" ht="15.75" customHeight="1">
      <c r="A556" s="4">
        <f t="shared" si="1"/>
        <v>555</v>
      </c>
      <c r="B556" s="12" t="s">
        <v>746</v>
      </c>
      <c r="C556" s="10" t="str">
        <f>IFERROR(__xludf.DUMMYFUNCTION("GOOGLETRANSLATE(B556,""in"", ""en"")"),"Cleaning service is very severe, just go straight to the mace, but the door is tap it even though I already know when the check out schedule is and I also when I want to check in again to renew the bsa can be called sexual harassment if I am the situation"&amp;" again in KMR")</f>
        <v>Cleaning service is very severe, just go straight to the mace, but the door is tap it even though I already know when the check out schedule is and I also when I want to check in again to renew the bsa can be called sexual harassment if I am the situation again in KMR</v>
      </c>
      <c r="D556" s="6">
        <v>3.0</v>
      </c>
      <c r="E556" s="6">
        <v>0.0</v>
      </c>
    </row>
    <row r="557" ht="15.75" customHeight="1">
      <c r="A557" s="4">
        <f t="shared" si="1"/>
        <v>556</v>
      </c>
      <c r="B557" s="12" t="s">
        <v>747</v>
      </c>
      <c r="C557" s="10" t="str">
        <f>IFERROR(__xludf.DUMMYFUNCTION("GOOGLETRANSLATE(B557,""in"", ""en"")"),"Hot water doesn't work")</f>
        <v>Hot water doesn't work</v>
      </c>
      <c r="D557" s="6">
        <v>3.0</v>
      </c>
      <c r="E557" s="6">
        <v>0.0</v>
      </c>
    </row>
    <row r="558" ht="15.75" customHeight="1">
      <c r="A558" s="4">
        <f t="shared" si="1"/>
        <v>557</v>
      </c>
      <c r="B558" s="12" t="s">
        <v>748</v>
      </c>
      <c r="C558" s="10" t="str">
        <f>IFERROR(__xludf.DUMMYFUNCTION("GOOGLETRANSLATE(B558,""in"", ""en"")"),"Bad really, the service is already close when I gave me, not to be knocked out, the room was immediately in the book, which else was changing the clothes, including sexual hacking? cleaning service")</f>
        <v>Bad really, the service is already close when I gave me, not to be knocked out, the room was immediately in the book, which else was changing the clothes, including sexual hacking? cleaning service</v>
      </c>
      <c r="D558" s="6">
        <v>3.0</v>
      </c>
      <c r="E558" s="6">
        <v>0.0</v>
      </c>
    </row>
    <row r="559" ht="15.75" customHeight="1">
      <c r="A559" s="4">
        <f t="shared" si="1"/>
        <v>558</v>
      </c>
      <c r="B559" s="12" t="s">
        <v>749</v>
      </c>
      <c r="C559" s="10" t="str">
        <f>IFERROR(__xludf.DUMMYFUNCTION("GOOGLETRANSLATE(B559,""in"", ""en"")"),"Can't sleep soundly, the sound of the door and footsteps. In my opinion it's better to wear sound dampening")</f>
        <v>Can't sleep soundly, the sound of the door and footsteps. In my opinion it's better to wear sound dampening</v>
      </c>
      <c r="D559" s="6">
        <v>2.0</v>
      </c>
      <c r="E559" s="6">
        <v>0.0</v>
      </c>
    </row>
    <row r="560" ht="15.75" customHeight="1">
      <c r="A560" s="4">
        <f t="shared" si="1"/>
        <v>559</v>
      </c>
      <c r="B560" s="12" t="s">
        <v>750</v>
      </c>
      <c r="C560" s="10" t="str">
        <f>IFERROR(__xludf.DUMMYFUNCTION("GOOGLETRANSLATE(B560,""in"", ""en"")"),"Basement toilet is damaged")</f>
        <v>Basement toilet is damaged</v>
      </c>
      <c r="D560" s="6">
        <v>3.0</v>
      </c>
      <c r="E560" s="6">
        <v>0.0</v>
      </c>
    </row>
    <row r="561" ht="15.75" customHeight="1">
      <c r="A561" s="4">
        <f t="shared" si="1"/>
        <v>560</v>
      </c>
      <c r="B561" s="12" t="s">
        <v>751</v>
      </c>
      <c r="C561" s="10" t="str">
        <f>IFERROR(__xludf.DUMMYFUNCTION("GOOGLETRANSLATE(B561,""in"", ""en"")"),"The parking is really far")</f>
        <v>The parking is really far</v>
      </c>
      <c r="D561" s="6">
        <v>1.0</v>
      </c>
      <c r="E561" s="6">
        <v>0.0</v>
      </c>
    </row>
    <row r="562" ht="15.75" customHeight="1">
      <c r="A562" s="4">
        <f t="shared" si="1"/>
        <v>561</v>
      </c>
      <c r="B562" s="12" t="s">
        <v>752</v>
      </c>
      <c r="C562" s="10" t="str">
        <f>IFERROR(__xludf.DUMMYFUNCTION("GOOGLETRANSLATE(B562,""in"", ""en"")"),"On the 3rd floor of the wifi is ugly")</f>
        <v>On the 3rd floor of the wifi is ugly</v>
      </c>
      <c r="D562" s="6">
        <v>2.0</v>
      </c>
      <c r="E562" s="6">
        <v>1.0</v>
      </c>
    </row>
    <row r="563" ht="15.75" customHeight="1">
      <c r="A563" s="4">
        <f t="shared" si="1"/>
        <v>562</v>
      </c>
      <c r="B563" s="12" t="s">
        <v>753</v>
      </c>
      <c r="C563" s="10" t="str">
        <f>IFERROR(__xludf.DUMMYFUNCTION("GOOGLETRANSLATE(B563,""in"", ""en"")"),"Tumben the towel smells musty 😕")</f>
        <v>Tumben the towel smells musty 😕</v>
      </c>
      <c r="D563" s="6">
        <v>3.0</v>
      </c>
      <c r="E563" s="6">
        <v>0.0</v>
      </c>
    </row>
    <row r="564" ht="15.75" customHeight="1">
      <c r="A564" s="4">
        <f t="shared" si="1"/>
        <v>563</v>
      </c>
      <c r="B564" s="12" t="s">
        <v>754</v>
      </c>
      <c r="C564" s="10" t="str">
        <f>IFERROR(__xludf.DUMMYFUNCTION("GOOGLETRANSLATE(B564,""in"", ""en"")"),"Toilet trllu is far from Kmar 06 ksana, if you can dilet the chapter and tub is provided soap. Haha
If the room is delicious clean, the mattress is comfortable, fragrant. Thanks ...")</f>
        <v>Toilet trllu is far from Kmar 06 ksana, if you can dilet the chapter and tub is provided soap. Haha
If the room is delicious clean, the mattress is comfortable, fragrant. Thanks ...</v>
      </c>
      <c r="D564" s="6">
        <v>1.0</v>
      </c>
      <c r="E564" s="6">
        <v>0.0</v>
      </c>
    </row>
    <row r="565" ht="15.75" customHeight="1">
      <c r="A565" s="4">
        <f t="shared" si="1"/>
        <v>564</v>
      </c>
      <c r="B565" s="12" t="s">
        <v>755</v>
      </c>
      <c r="C565" s="10" t="str">
        <f>IFERROR(__xludf.DUMMYFUNCTION("GOOGLETRANSLATE(B565,""in"", ""en"")"),"Experience is quite good, but there are some facilities that are not wrong such as unstable wifi. Plus there should be television")</f>
        <v>Experience is quite good, but there are some facilities that are not wrong such as unstable wifi. Plus there should be television</v>
      </c>
      <c r="D565" s="6">
        <v>2.0</v>
      </c>
      <c r="E565" s="6">
        <v>0.0</v>
      </c>
    </row>
    <row r="566" ht="15.75" customHeight="1">
      <c r="A566" s="4">
        <f t="shared" si="1"/>
        <v>565</v>
      </c>
      <c r="B566" s="12" t="s">
        <v>756</v>
      </c>
      <c r="C566" s="10" t="str">
        <f>IFERROR(__xludf.DUMMYFUNCTION("GOOGLETRANSLATE(B566,""in"", ""en"")"),"The toilet is broken, moved rooms because of the error lights")</f>
        <v>The toilet is broken, moved rooms because of the error lights</v>
      </c>
      <c r="D566" s="6">
        <v>2.0</v>
      </c>
      <c r="E566" s="6">
        <v>1.0</v>
      </c>
    </row>
    <row r="567" ht="15.75" customHeight="1">
      <c r="A567" s="4">
        <f t="shared" si="1"/>
        <v>566</v>
      </c>
      <c r="B567" s="12" t="s">
        <v>757</v>
      </c>
      <c r="C567" s="10" t="str">
        <f>IFERROR(__xludf.DUMMYFUNCTION("GOOGLETRANSLATE(B567,""in"", ""en"")"),"For users in Indonesia and Malaysia, Mr. Mumung, Mr. Mumung, Mr. Harto, who was echoed by his Mbro and Sour, the stomach rose to the download of the feed transfer yesterday at what time the car that had a selling value at home and did not using chlorine b"&amp;"ecause using this method is some of the photos of the mas that loaded earlier I also could not be on")</f>
        <v>For users in Indonesia and Malaysia, Mr. Mumung, Mr. Mumung, Mr. Harto, who was echoed by his Mbro and Sour, the stomach rose to the download of the feed transfer yesterday at what time the car that had a selling value at home and did not using chlorine because using this method is some of the photos of the mas that loaded earlier I also could not be on</v>
      </c>
      <c r="D567" s="6">
        <v>1.0</v>
      </c>
      <c r="E567" s="6">
        <v>0.0</v>
      </c>
    </row>
    <row r="568" ht="15.75" customHeight="1">
      <c r="A568" s="4">
        <f t="shared" si="1"/>
        <v>567</v>
      </c>
      <c r="B568" s="12" t="s">
        <v>758</v>
      </c>
      <c r="C568" s="10" t="str">
        <f>IFERROR(__xludf.DUMMYFUNCTION("GOOGLETRANSLATE(B568,""in"", ""en"")"),"Galon is often empty.
The bathroom water is dead.
WIFII CONNECT-RE-CONNECT.
For motorcycle parking far, less comfortable.")</f>
        <v>Galon is often empty.
The bathroom water is dead.
WIFII CONNECT-RE-CONNECT.
For motorcycle parking far, less comfortable.</v>
      </c>
      <c r="D568" s="6">
        <v>2.0</v>
      </c>
      <c r="E568" s="6">
        <v>0.0</v>
      </c>
    </row>
    <row r="569" ht="15.75" customHeight="1">
      <c r="A569" s="4">
        <f t="shared" si="1"/>
        <v>568</v>
      </c>
      <c r="B569" s="12" t="s">
        <v>759</v>
      </c>
      <c r="C569" s="10" t="str">
        <f>IFERROR(__xludf.DUMMYFUNCTION("GOOGLETRANSLATE(B569,""in"", ""en"")"),"AC does not function properly")</f>
        <v>AC does not function properly</v>
      </c>
      <c r="D569" s="6">
        <v>3.0</v>
      </c>
      <c r="E569" s="6">
        <v>0.0</v>
      </c>
    </row>
    <row r="570" ht="15.75" customHeight="1">
      <c r="A570" s="4">
        <f t="shared" si="1"/>
        <v>569</v>
      </c>
      <c r="B570" s="12" t="s">
        <v>760</v>
      </c>
      <c r="C570" s="10" t="str">
        <f>IFERROR(__xludf.DUMMYFUNCTION("GOOGLETRANSLATE(B570,""in"", ""en"")"),"In the room a lot of hair, and ants even though I gave food to the room")</f>
        <v>In the room a lot of hair, and ants even though I gave food to the room</v>
      </c>
      <c r="D570" s="6">
        <v>2.0</v>
      </c>
      <c r="E570" s="6">
        <v>0.0</v>
      </c>
    </row>
    <row r="571" ht="15.75" customHeight="1">
      <c r="A571" s="4">
        <f t="shared" si="1"/>
        <v>570</v>
      </c>
      <c r="B571" s="12" t="s">
        <v>761</v>
      </c>
      <c r="C571" s="10" t="str">
        <f>IFERROR(__xludf.DUMMYFUNCTION("GOOGLETRANSLATE(B571,""in"", ""en"")"),"Shower room is a bit too dark for woman")</f>
        <v>Shower room is a bit too dark for woman</v>
      </c>
      <c r="D571" s="6">
        <v>2.0</v>
      </c>
      <c r="E571" s="6">
        <v>0.0</v>
      </c>
    </row>
    <row r="572" ht="15.75" customHeight="1">
      <c r="A572" s="4">
        <f t="shared" si="1"/>
        <v>571</v>
      </c>
      <c r="B572" s="12" t="s">
        <v>762</v>
      </c>
      <c r="C572" s="10" t="str">
        <f>IFERROR(__xludf.DUMMYFUNCTION("GOOGLETRANSLATE(B572,""in"", ""en"")"),"The cleanliness of the room must be considered")</f>
        <v>The cleanliness of the room must be considered</v>
      </c>
      <c r="D572" s="6">
        <v>2.0</v>
      </c>
      <c r="E572" s="6">
        <v>0.0</v>
      </c>
    </row>
    <row r="573" ht="15.75" customHeight="1">
      <c r="A573" s="4">
        <f t="shared" si="1"/>
        <v>572</v>
      </c>
      <c r="B573" s="12" t="s">
        <v>763</v>
      </c>
      <c r="C573" s="10" t="str">
        <f>IFERROR(__xludf.DUMMYFUNCTION("GOOGLETRANSLATE(B573,""in"", ""en"")"),"thicker pillows")</f>
        <v>thicker pillows</v>
      </c>
      <c r="D573" s="6">
        <v>1.0</v>
      </c>
      <c r="E573" s="6">
        <v>0.0</v>
      </c>
    </row>
    <row r="574" ht="15.75" customHeight="1">
      <c r="A574" s="4">
        <f t="shared" si="1"/>
        <v>573</v>
      </c>
      <c r="B574" s="12" t="s">
        <v>764</v>
      </c>
      <c r="C574" s="10" t="str">
        <f>IFERROR(__xludf.DUMMYFUNCTION("GOOGLETRANSLATE(B574,""in"", ""en"")"),"Remainder confirmation of the arrival of the middle of the night :-(")</f>
        <v>Remainder confirmation of the arrival of the middle of the night :-(</v>
      </c>
      <c r="D574" s="6">
        <v>1.0</v>
      </c>
      <c r="E574" s="6">
        <v>1.0</v>
      </c>
    </row>
    <row r="575" ht="15.75" customHeight="1">
      <c r="A575" s="4">
        <f t="shared" si="1"/>
        <v>574</v>
      </c>
      <c r="B575" s="12" t="s">
        <v>765</v>
      </c>
      <c r="C575" s="10" t="str">
        <f>IFERROR(__xludf.DUMMYFUNCTION("GOOGLETRANSLATE(B575,""in"", ""en"")"),"Speaker is broken")</f>
        <v>Speaker is broken</v>
      </c>
      <c r="D575" s="6">
        <v>1.0</v>
      </c>
      <c r="E575" s="6">
        <v>1.0</v>
      </c>
    </row>
    <row r="576" ht="15.75" customHeight="1">
      <c r="A576" s="4">
        <f t="shared" si="1"/>
        <v>575</v>
      </c>
      <c r="B576" s="12" t="s">
        <v>766</v>
      </c>
      <c r="C576" s="10" t="str">
        <f>IFERROR(__xludf.DUMMYFUNCTION("GOOGLETRANSLATE(B576,""in"", ""en"")"),"The POD door is rather difficult when pushed, I want to replace the pod but not allowed by the host, the reason is full even though I see a lot of empty pod 🤦‍♂️")</f>
        <v>The POD door is rather difficult when pushed, I want to replace the pod but not allowed by the host, the reason is full even though I see a lot of empty pod 🤦‍♂️</v>
      </c>
      <c r="D576" s="6">
        <v>2.0</v>
      </c>
      <c r="E576" s="6">
        <v>0.0</v>
      </c>
    </row>
    <row r="577" ht="15.75" customHeight="1">
      <c r="A577" s="4">
        <f t="shared" si="1"/>
        <v>576</v>
      </c>
      <c r="B577" s="12" t="s">
        <v>767</v>
      </c>
      <c r="C577" s="10" t="str">
        <f>IFERROR(__xludf.DUMMYFUNCTION("GOOGLETRANSLATE(B577,""in"", ""en"")"),"I have already been to Bobobox Juanda.
And this is the first time disappointed for POD16 Earth.
Because the sound of the person on top of it is just her throat listening and the roof is squeezed loudly making sleep not soundly.")</f>
        <v>I have already been to Bobobox Juanda.
And this is the first time disappointed for POD16 Earth.
Because the sound of the person on top of it is just her throat listening and the roof is squeezed loudly making sleep not soundly.</v>
      </c>
      <c r="D577" s="6">
        <v>2.0</v>
      </c>
      <c r="E577" s="6">
        <v>0.0</v>
      </c>
    </row>
    <row r="578" ht="15.75" customHeight="1">
      <c r="A578" s="4">
        <f t="shared" si="1"/>
        <v>577</v>
      </c>
      <c r="B578" s="12" t="s">
        <v>768</v>
      </c>
      <c r="C578" s="10" t="str">
        <f>IFERROR(__xludf.DUMMYFUNCTION("GOOGLETRANSLATE(B578,""in"", ""en"")"),"incomplete and long")</f>
        <v>incomplete and long</v>
      </c>
      <c r="D578" s="6">
        <v>2.0</v>
      </c>
      <c r="E578" s="6">
        <v>0.0</v>
      </c>
    </row>
    <row r="579" ht="15.75" customHeight="1">
      <c r="A579" s="4">
        <f t="shared" si="1"/>
        <v>578</v>
      </c>
      <c r="B579" s="12" t="s">
        <v>769</v>
      </c>
      <c r="C579" s="10" t="str">
        <f>IFERROR(__xludf.DUMMYFUNCTION("GOOGLETRANSLATE(B579,""in"", ""en"")"),"The pillow is very soft with the pillow, the pillow is also dirty not like Bobobox Dago")</f>
        <v>The pillow is very soft with the pillow, the pillow is also dirty not like Bobobox Dago</v>
      </c>
      <c r="D579" s="6">
        <v>2.0</v>
      </c>
      <c r="E579" s="6">
        <v>0.0</v>
      </c>
    </row>
    <row r="580" ht="15.75" customHeight="1">
      <c r="A580" s="4">
        <f t="shared" si="1"/>
        <v>579</v>
      </c>
      <c r="B580" s="12" t="s">
        <v>770</v>
      </c>
      <c r="C580" s="10" t="str">
        <f>IFERROR(__xludf.DUMMYFUNCTION("GOOGLETRANSLATE(B580,""in"", ""en"")"),"Does not provide spoons in BBX Malioboro, have asked the receptionist they said they did not provide, sprey mattresses dirty, access can be in anyone, there was an incident that did not stay in BBX into the rooftop.")</f>
        <v>Does not provide spoons in BBX Malioboro, have asked the receptionist they said they did not provide, sprey mattresses dirty, access can be in anyone, there was an incident that did not stay in BBX into the rooftop.</v>
      </c>
      <c r="D580" s="6">
        <v>2.0</v>
      </c>
      <c r="E580" s="6">
        <v>0.0</v>
      </c>
    </row>
    <row r="581" ht="15.75" customHeight="1">
      <c r="A581" s="4">
        <f t="shared" si="1"/>
        <v>580</v>
      </c>
      <c r="B581" s="12" t="s">
        <v>771</v>
      </c>
      <c r="C581" s="10" t="str">
        <f>IFERROR(__xludf.DUMMYFUNCTION("GOOGLETRANSLATE(B581,""in"", ""en"")"),"Can be noted for the cleanliness of the pillow, if it is moist, the pillow can be opened whether it is clean or not, yesterday I can be very dirty besides the lights in the room can also be fixed so better, thank you")</f>
        <v>Can be noted for the cleanliness of the pillow, if it is moist, the pillow can be opened whether it is clean or not, yesterday I can be very dirty besides the lights in the room can also be fixed so better, thank you</v>
      </c>
      <c r="D581" s="6">
        <v>2.0</v>
      </c>
      <c r="E581" s="6">
        <v>0.0</v>
      </c>
    </row>
    <row r="582" ht="15.75" customHeight="1">
      <c r="A582" s="4">
        <f t="shared" si="1"/>
        <v>581</v>
      </c>
      <c r="B582" s="12" t="s">
        <v>772</v>
      </c>
      <c r="C582" s="10" t="str">
        <f>IFERROR(__xludf.DUMMYFUNCTION("GOOGLETRANSLATE(B582,""in"", ""en"")"),"The pillow is too thin, the elevator has a scented uncomfortable.")</f>
        <v>The pillow is too thin, the elevator has a scented uncomfortable.</v>
      </c>
      <c r="D582" s="6">
        <v>2.0</v>
      </c>
      <c r="E582" s="6">
        <v>0.0</v>
      </c>
    </row>
    <row r="583" ht="15.75" customHeight="1">
      <c r="A583" s="4">
        <f t="shared" si="1"/>
        <v>582</v>
      </c>
      <c r="B583" s="12" t="s">
        <v>773</v>
      </c>
      <c r="C583" s="10" t="str">
        <f>IFERROR(__xludf.DUMMYFUNCTION("GOOGLETRANSLATE(B583,""in"", ""en"")"),"I hope the bathroom and toilet can be cleaned more often. And hopefully the mattress can be more tender.")</f>
        <v>I hope the bathroom and toilet can be cleaned more often. And hopefully the mattress can be more tender.</v>
      </c>
      <c r="D583" s="6">
        <v>2.0</v>
      </c>
      <c r="E583" s="6">
        <v>0.0</v>
      </c>
    </row>
    <row r="584" ht="15.75" customHeight="1">
      <c r="A584" s="4">
        <f t="shared" si="1"/>
        <v>583</v>
      </c>
      <c r="B584" s="12" t="s">
        <v>774</v>
      </c>
      <c r="C584" s="10" t="str">
        <f>IFERROR(__xludf.DUMMYFUNCTION("GOOGLETRANSLATE(B584,""in"", ""en"")"),"blood from the wound was hit by a table into a fine of 200")</f>
        <v>blood from the wound was hit by a table into a fine of 200</v>
      </c>
      <c r="D584" s="6">
        <v>2.0</v>
      </c>
      <c r="E584" s="6">
        <v>0.0</v>
      </c>
    </row>
    <row r="585" ht="15.75" customHeight="1">
      <c r="A585" s="4">
        <f t="shared" si="1"/>
        <v>584</v>
      </c>
      <c r="B585" s="12" t="s">
        <v>775</v>
      </c>
      <c r="C585" s="10" t="str">
        <f>IFERROR(__xludf.DUMMYFUNCTION("GOOGLETRANSLATE(B585,""in"", ""en"")"),"Qr Scan the door to the POD area is not functioning.
Parking facilities If there is no land, please remove from the list of facilities.
We who carry the vehicle become difficult to find parking and parking fees around the Bobobox Malioboro area are quite"&amp;" expensive.")</f>
        <v>Qr Scan the door to the POD area is not functioning.
Parking facilities If there is no land, please remove from the list of facilities.
We who carry the vehicle become difficult to find parking and parking fees around the Bobobox Malioboro area are quite expensive.</v>
      </c>
      <c r="D585" s="6">
        <v>3.0</v>
      </c>
      <c r="E585" s="6">
        <v>1.0</v>
      </c>
    </row>
    <row r="586" ht="15.75" customHeight="1">
      <c r="A586" s="4">
        <f t="shared" si="1"/>
        <v>585</v>
      </c>
      <c r="B586" s="12" t="s">
        <v>776</v>
      </c>
      <c r="C586" s="10" t="str">
        <f>IFERROR(__xludf.DUMMYFUNCTION("GOOGLETRANSLATE(B586,""in"", ""en"")"),"AC POD died. The receptionist chat is only in read. No response or a solution. Can you imagine what it was in the palace of pod, what is the rich pod?! Disappointed.")</f>
        <v>AC POD died. The receptionist chat is only in read. No response or a solution. Can you imagine what it was in the palace of pod, what is the rich pod?! Disappointed.</v>
      </c>
      <c r="D586" s="6">
        <v>3.0</v>
      </c>
      <c r="E586" s="6">
        <v>1.0</v>
      </c>
    </row>
    <row r="587" ht="15.75" customHeight="1">
      <c r="A587" s="4">
        <f t="shared" si="1"/>
        <v>586</v>
      </c>
      <c r="B587" s="12" t="s">
        <v>777</v>
      </c>
      <c r="C587" s="10" t="str">
        <f>IFERROR(__xludf.DUMMYFUNCTION("GOOGLETRANSLATE(B587,""in"", ""en"")"),"The sandals might be replaced with the shape of the pinch or what is easier to wear because if the legs are rather wet, it's really hard to make. Bidet in the toilet is better which is the shape of the shower to make it cleaner. It's a bit not practical t"&amp;"o enter KMN2 using a barcode because it just to the toilet must bring a cellphone so that it can enter the room. It's better to just access card.")</f>
        <v>The sandals might be replaced with the shape of the pinch or what is easier to wear because if the legs are rather wet, it's really hard to make. Bidet in the toilet is better which is the shape of the shower to make it cleaner. It's a bit not practical to enter KMN2 using a barcode because it just to the toilet must bring a cellphone so that it can enter the room. It's better to just access card.</v>
      </c>
      <c r="D587" s="6">
        <v>1.0</v>
      </c>
      <c r="E587" s="6">
        <v>0.0</v>
      </c>
    </row>
    <row r="588" ht="15.75" customHeight="1">
      <c r="A588" s="4">
        <f t="shared" si="1"/>
        <v>587</v>
      </c>
      <c r="B588" s="12" t="s">
        <v>778</v>
      </c>
      <c r="C588" s="10" t="str">
        <f>IFERROR(__xludf.DUMMYFUNCTION("GOOGLETRANSLATE(B588,""in"", ""en"")"),"The stains should have not been needed to cost up to 50,000 or even 20,000 more than enough, from the beginning I was open but there was no policy. With the exception of the stains that are cleaned or contrasting colors are visible")</f>
        <v>The stains should have not been needed to cost up to 50,000 or even 20,000 more than enough, from the beginning I was open but there was no policy. With the exception of the stains that are cleaned or contrasting colors are visible</v>
      </c>
      <c r="D588" s="6">
        <v>1.0</v>
      </c>
      <c r="E588" s="6">
        <v>0.0</v>
      </c>
    </row>
    <row r="589" ht="15.75" customHeight="1">
      <c r="A589" s="4">
        <f t="shared" si="1"/>
        <v>588</v>
      </c>
      <c r="B589" s="12" t="s">
        <v>779</v>
      </c>
      <c r="C589" s="10" t="str">
        <f>IFERROR(__xludf.DUMMYFUNCTION("GOOGLETRANSLATE(B589,""in"", ""en"")"),"The parking lot is always full because it is made one with the square, Padang rice and post office
Too noisy for the night because I got a room on the main street, too many people walked over 1 pm")</f>
        <v>The parking lot is always full because it is made one with the square, Padang rice and post office
Too noisy for the night because I got a room on the main street, too many people walked over 1 pm</v>
      </c>
      <c r="D589" s="6">
        <v>2.0</v>
      </c>
      <c r="E589" s="6">
        <v>0.0</v>
      </c>
    </row>
    <row r="590" ht="15.75" customHeight="1">
      <c r="A590" s="4">
        <f t="shared" si="1"/>
        <v>589</v>
      </c>
      <c r="B590" s="12" t="s">
        <v>780</v>
      </c>
      <c r="C590" s="10" t="str">
        <f>IFERROR(__xludf.DUMMYFUNCTION("GOOGLETRANSLATE(B590,""in"", ""en"")"),"Yesterday I got a host service that was not lacking service, I wanted to request the room, I couldn't, beforehand it could be")</f>
        <v>Yesterday I got a host service that was not lacking service, I wanted to request the room, I couldn't, beforehand it could be</v>
      </c>
      <c r="D590" s="6">
        <v>2.0</v>
      </c>
      <c r="E590" s="6">
        <v>0.0</v>
      </c>
    </row>
    <row r="591" ht="15.75" customHeight="1">
      <c r="A591" s="4">
        <f t="shared" si="1"/>
        <v>590</v>
      </c>
      <c r="B591" s="12" t="s">
        <v>781</v>
      </c>
      <c r="C591" s="10" t="str">
        <f>IFERROR(__xludf.DUMMYFUNCTION("GOOGLETRANSLATE(B591,""in"", ""en"")"),"Wifi error all day")</f>
        <v>Wifi error all day</v>
      </c>
      <c r="D591" s="6">
        <v>3.0</v>
      </c>
      <c r="E591" s="6">
        <v>1.0</v>
      </c>
    </row>
    <row r="592" ht="15.75" customHeight="1">
      <c r="A592" s="4">
        <f t="shared" si="1"/>
        <v>591</v>
      </c>
      <c r="B592" s="12" t="s">
        <v>782</v>
      </c>
      <c r="C592" s="10" t="str">
        <f>IFERROR(__xludf.DUMMYFUNCTION("GOOGLETRANSLATE(B592,""in"", ""en"")"),"Many must be improved and re -improved. So far it is very unsatisfactory")</f>
        <v>Many must be improved and re -improved. So far it is very unsatisfactory</v>
      </c>
      <c r="D592" s="6">
        <v>1.0</v>
      </c>
      <c r="E592" s="6">
        <v>0.0</v>
      </c>
    </row>
    <row r="593" ht="15.75" customHeight="1">
      <c r="A593" s="4">
        <f t="shared" si="1"/>
        <v>592</v>
      </c>
      <c r="B593" s="12" t="s">
        <v>783</v>
      </c>
      <c r="C593" s="10" t="str">
        <f>IFERROR(__xludf.DUMMYFUNCTION("GOOGLETRANSLATE(B593,""in"", ""en"")"),"Access must be under 10 o'clock. Sometimes if you want to go out late for other needs so it is limited")</f>
        <v>Access must be under 10 o'clock. Sometimes if you want to go out late for other needs so it is limited</v>
      </c>
      <c r="D593" s="6">
        <v>1.0</v>
      </c>
      <c r="E593" s="6">
        <v>0.0</v>
      </c>
    </row>
    <row r="594" ht="15.75" customHeight="1">
      <c r="A594" s="4">
        <f t="shared" si="1"/>
        <v>593</v>
      </c>
      <c r="B594" s="12" t="s">
        <v>784</v>
      </c>
      <c r="C594" s="10" t="str">
        <f>IFERROR(__xludf.DUMMYFUNCTION("GOOGLETRANSLATE(B594,""in"", ""en"")"),"Dirty Washroom")</f>
        <v>Dirty Washroom</v>
      </c>
      <c r="D594" s="6">
        <v>3.0</v>
      </c>
      <c r="E594" s="6">
        <v>0.0</v>
      </c>
    </row>
    <row r="595" ht="15.75" customHeight="1">
      <c r="A595" s="4">
        <f t="shared" si="1"/>
        <v>594</v>
      </c>
      <c r="B595" s="12" t="s">
        <v>785</v>
      </c>
      <c r="C595" s="10" t="str">
        <f>IFERROR(__xludf.DUMMYFUNCTION("GOOGLETRANSLATE(B595,""in"", ""en"")"),"The water dies if many people use")</f>
        <v>The water dies if many people use</v>
      </c>
      <c r="D595" s="6">
        <v>3.0</v>
      </c>
      <c r="E595" s="6">
        <v>0.0</v>
      </c>
    </row>
    <row r="596" ht="15.75" customHeight="1">
      <c r="A596" s="4">
        <f t="shared" si="1"/>
        <v>595</v>
      </c>
      <c r="B596" s="12" t="s">
        <v>786</v>
      </c>
      <c r="C596" s="10" t="str">
        <f>IFERROR(__xludf.DUMMYFUNCTION("GOOGLETRANSLATE(B596,""in"", ""en"")"),"Friendly employees are only local bad food partners, plus soap in a runny bathroom mixed with water")</f>
        <v>Friendly employees are only local bad food partners, plus soap in a runny bathroom mixed with water</v>
      </c>
      <c r="D596" s="6">
        <v>3.0</v>
      </c>
      <c r="E596" s="6">
        <v>0.0</v>
      </c>
    </row>
    <row r="597" ht="15.75" customHeight="1">
      <c r="A597" s="4">
        <f t="shared" si="1"/>
        <v>596</v>
      </c>
      <c r="B597" s="12" t="s">
        <v>787</v>
      </c>
      <c r="C597" s="10" t="str">
        <f>IFERROR(__xludf.DUMMYFUNCTION("GOOGLETRANSLATE(B597,""in"", ""en"")"),"No soundproof, can be neighbors who call for hours, and set music last night could not be calm.")</f>
        <v>No soundproof, can be neighbors who call for hours, and set music last night could not be calm.</v>
      </c>
      <c r="D597" s="6">
        <v>2.0</v>
      </c>
      <c r="E597" s="6">
        <v>0.0</v>
      </c>
    </row>
    <row r="598" ht="15.75" customHeight="1">
      <c r="A598" s="4">
        <f t="shared" si="1"/>
        <v>597</v>
      </c>
      <c r="B598" s="12" t="s">
        <v>788</v>
      </c>
      <c r="C598" s="10" t="str">
        <f>IFERROR(__xludf.DUMMYFUNCTION("GOOGLETRANSLATE(B598,""in"", ""en"")"),"Dirty and smelly, only a little female toilet")</f>
        <v>Dirty and smelly, only a little female toilet</v>
      </c>
      <c r="D598" s="6">
        <v>2.0</v>
      </c>
      <c r="E598" s="6">
        <v>0.0</v>
      </c>
    </row>
    <row r="599" ht="15.75" customHeight="1">
      <c r="A599" s="4">
        <f t="shared" si="1"/>
        <v>598</v>
      </c>
      <c r="B599" s="12" t="s">
        <v>789</v>
      </c>
      <c r="C599" s="10" t="str">
        <f>IFERROR(__xludf.DUMMYFUNCTION("GOOGLETRANSLATE(B599,""in"", ""en"")"),"Shooting sheets, the cleanliness of the toilet needs to be more attention.")</f>
        <v>Shooting sheets, the cleanliness of the toilet needs to be more attention.</v>
      </c>
      <c r="D599" s="6">
        <v>3.0</v>
      </c>
      <c r="E599" s="6">
        <v>0.0</v>
      </c>
    </row>
    <row r="600" ht="15.75" customHeight="1">
      <c r="A600" s="4">
        <f t="shared" si="1"/>
        <v>599</v>
      </c>
      <c r="B600" s="12" t="s">
        <v>790</v>
      </c>
      <c r="C600" s="10" t="str">
        <f>IFERROR(__xludf.DUMMYFUNCTION("GOOGLETRANSLATE(B600,""in"", ""en"")"),"The server is down at night and I have no electricity at box/pod")</f>
        <v>The server is down at night and I have no electricity at box/pod</v>
      </c>
      <c r="D600" s="6">
        <v>3.0</v>
      </c>
      <c r="E600" s="6">
        <v>1.0</v>
      </c>
    </row>
    <row r="601" ht="15.75" customHeight="1">
      <c r="A601" s="4">
        <f t="shared" si="1"/>
        <v>600</v>
      </c>
      <c r="B601" s="12" t="s">
        <v>791</v>
      </c>
      <c r="C601" s="10" t="str">
        <f>IFERROR(__xludf.DUMMYFUNCTION("GOOGLETRANSLATE(B601,""in"", ""en"")"),"Bluetooth Speaker Cannot Connect + For Double Pods Pods Stop Call Cmn 1")</f>
        <v>Bluetooth Speaker Cannot Connect + For Double Pods Pods Stop Call Cmn 1</v>
      </c>
      <c r="D601" s="6">
        <v>2.0</v>
      </c>
      <c r="E601" s="6">
        <v>1.0</v>
      </c>
    </row>
    <row r="602" ht="15.75" customHeight="1">
      <c r="A602" s="4">
        <f t="shared" si="1"/>
        <v>601</v>
      </c>
      <c r="B602" s="12" t="s">
        <v>792</v>
      </c>
      <c r="C602" s="10" t="str">
        <f>IFERROR(__xludf.DUMMYFUNCTION("GOOGLETRANSLATE(B602,""in"", ""en"")"),"Instead of 2 nights sprai is not replaced.
The toilet is not clean.
AC is great.")</f>
        <v>Instead of 2 nights sprai is not replaced.
The toilet is not clean.
AC is great.</v>
      </c>
      <c r="D602" s="6">
        <v>2.0</v>
      </c>
      <c r="E602" s="6">
        <v>0.0</v>
      </c>
    </row>
    <row r="603" ht="15.75" customHeight="1">
      <c r="A603" s="4">
        <f t="shared" si="1"/>
        <v>602</v>
      </c>
      <c r="B603" s="12" t="s">
        <v>793</v>
      </c>
      <c r="C603" s="10" t="str">
        <f>IFERROR(__xludf.DUMMYFUNCTION("GOOGLETRANSLATE(B603,""in"", ""en"")"),"2 of the 3 toilet shower are damaged, the mosque and communal are far, the nuances are so dark.")</f>
        <v>2 of the 3 toilet shower are damaged, the mosque and communal are far, the nuances are so dark.</v>
      </c>
      <c r="D603" s="6">
        <v>2.0</v>
      </c>
      <c r="E603" s="6">
        <v>0.0</v>
      </c>
    </row>
    <row r="604" ht="15.75" customHeight="1">
      <c r="A604" s="4">
        <f t="shared" si="1"/>
        <v>603</v>
      </c>
      <c r="B604" s="12" t="s">
        <v>794</v>
      </c>
      <c r="C604" s="10" t="str">
        <f>IFERROR(__xludf.DUMMYFUNCTION("GOOGLETRANSLATE(B604,""in"", ""en"")"),"Quite comfortable, the parking is difficult")</f>
        <v>Quite comfortable, the parking is difficult</v>
      </c>
      <c r="D604" s="6">
        <v>1.0</v>
      </c>
      <c r="E604" s="6">
        <v>0.0</v>
      </c>
    </row>
    <row r="605" ht="15.75" customHeight="1">
      <c r="A605" s="4">
        <f t="shared" si="1"/>
        <v>604</v>
      </c>
      <c r="B605" s="12" t="s">
        <v>795</v>
      </c>
      <c r="C605" s="10" t="str">
        <f>IFERROR(__xludf.DUMMYFUNCTION("GOOGLETRANSLATE(B605,""in"", ""en"")"),"1. All clogged sinks
2. The bathroom inundation water does not immediately go down to the drainage. Slipping risk.
3. WC is cleaned only 1x a day?
4. The toilet holder likes to have a former people urinating.")</f>
        <v>1. All clogged sinks
2. The bathroom inundation water does not immediately go down to the drainage. Slipping risk.
3. WC is cleaned only 1x a day?
4. The toilet holder likes to have a former people urinating.</v>
      </c>
      <c r="D605" s="6">
        <v>3.0</v>
      </c>
      <c r="E605" s="6">
        <v>0.0</v>
      </c>
    </row>
    <row r="606" ht="15.75" customHeight="1">
      <c r="A606" s="4">
        <f t="shared" si="1"/>
        <v>605</v>
      </c>
      <c r="B606" s="12" t="s">
        <v>796</v>
      </c>
      <c r="C606" s="10" t="str">
        <f>IFERROR(__xludf.DUMMYFUNCTION("GOOGLETRANSLATE(B606,""in"", ""en"")"),"My stubborn is missing in the bathroom shampoo the price is 300 thousand and facial wash. If you release cheap shampoo, this is still sincere, just open the seal. Really frustrated")</f>
        <v>My stubborn is missing in the bathroom shampoo the price is 300 thousand and facial wash. If you release cheap shampoo, this is still sincere, just open the seal. Really frustrated</v>
      </c>
      <c r="D606" s="6">
        <v>3.0</v>
      </c>
      <c r="E606" s="6">
        <v>0.0</v>
      </c>
    </row>
    <row r="607" ht="15.75" customHeight="1">
      <c r="A607" s="4">
        <f t="shared" si="1"/>
        <v>606</v>
      </c>
      <c r="B607" s="12" t="s">
        <v>797</v>
      </c>
      <c r="C607" s="10" t="str">
        <f>IFERROR(__xludf.DUMMYFUNCTION("GOOGLETRANSLATE(B607,""in"", ""en"")"),"The room lights are there")</f>
        <v>The room lights are there</v>
      </c>
      <c r="D607" s="6">
        <v>1.0</v>
      </c>
      <c r="E607" s="6">
        <v>1.0</v>
      </c>
    </row>
    <row r="608" ht="15.75" customHeight="1">
      <c r="A608" s="4">
        <f t="shared" si="1"/>
        <v>607</v>
      </c>
      <c r="B608" s="12" t="s">
        <v>798</v>
      </c>
      <c r="C608" s="10" t="str">
        <f>IFERROR(__xludf.DUMMYFUNCTION("GOOGLETRANSLATE(B608,""in"", ""en"")"),"The bathroom was brushed again in the woman's tileture, her tiles were very slippery, in my westafel area until I was slipped. &amp; KMR bathing, chapter. The one who is ""clean"" in the fat garbage is a bit bitchy, just be stored. CWE receptionist is good fr"&amp;"iendly.
It's a bit frustrated when I came at 10 o'clock, wait for the first, the black male receptionist, the Javanese face, I was kicked out. I can't have the heart to be told to wait outside. Parahsih")</f>
        <v>The bathroom was brushed again in the woman's tileture, her tiles were very slippery, in my westafel area until I was slipped. &amp; KMR bathing, chapter. The one who is "clean" in the fat garbage is a bit bitchy, just be stored. CWE receptionist is good friendly.
It's a bit frustrated when I came at 10 o'clock, wait for the first, the black male receptionist, the Javanese face, I was kicked out. I can't have the heart to be told to wait outside. Parahsih</v>
      </c>
      <c r="D608" s="6">
        <v>2.0</v>
      </c>
      <c r="E608" s="6">
        <v>0.0</v>
      </c>
    </row>
    <row r="609" ht="15.75" customHeight="1">
      <c r="A609" s="4">
        <f t="shared" si="1"/>
        <v>608</v>
      </c>
      <c r="B609" s="12" t="s">
        <v>799</v>
      </c>
      <c r="C609" s="10" t="str">
        <f>IFERROR(__xludf.DUMMYFUNCTION("GOOGLETRANSLATE(B609,""in"", ""en"")"),"No soundproof from outside and next room
Often wake up if next to open the door")</f>
        <v>No soundproof from outside and next room
Often wake up if next to open the door</v>
      </c>
      <c r="D609" s="6">
        <v>2.0</v>
      </c>
      <c r="E609" s="6">
        <v>0.0</v>
      </c>
    </row>
    <row r="610" ht="15.75" customHeight="1">
      <c r="A610" s="4">
        <f t="shared" si="1"/>
        <v>609</v>
      </c>
      <c r="B610" s="12" t="s">
        <v>800</v>
      </c>
      <c r="C610" s="10" t="str">
        <f>IFERROR(__xludf.DUMMYFUNCTION("GOOGLETRANSLATE(B610,""in"", ""en"")"),"Thin Bed Apek Pillow. Could be better")</f>
        <v>Thin Bed Apek Pillow. Could be better</v>
      </c>
      <c r="D610" s="6">
        <v>2.0</v>
      </c>
      <c r="E610" s="6">
        <v>0.0</v>
      </c>
    </row>
    <row r="611" ht="15.75" customHeight="1">
      <c r="A611" s="4">
        <f t="shared" si="1"/>
        <v>610</v>
      </c>
      <c r="B611" s="12" t="s">
        <v>801</v>
      </c>
      <c r="C611" s="10" t="str">
        <f>IFERROR(__xludf.DUMMYFUNCTION("GOOGLETRANSLATE(B611,""in"", ""en"")"),"The room smells musty. So it must be tasted again")</f>
        <v>The room smells musty. So it must be tasted again</v>
      </c>
      <c r="D611" s="6">
        <v>2.0</v>
      </c>
      <c r="E611" s="6">
        <v>0.0</v>
      </c>
    </row>
    <row r="612" ht="15.75" customHeight="1">
      <c r="A612" s="4">
        <f t="shared" si="1"/>
        <v>611</v>
      </c>
      <c r="B612" s="12" t="s">
        <v>802</v>
      </c>
      <c r="C612" s="10" t="str">
        <f>IFERROR(__xludf.DUMMYFUNCTION("GOOGLETRANSLATE(B612,""in"", ""en"")"),"Dirty pillow sheets, there are spots.
The toilet has no soap, there is a paper toilet, if the market is indo, there must be soap.
Pod not soundproof, there are people carrying babies crying first")</f>
        <v>Dirty pillow sheets, there are spots.
The toilet has no soap, there is a paper toilet, if the market is indo, there must be soap.
Pod not soundproof, there are people carrying babies crying first</v>
      </c>
      <c r="D612" s="6">
        <v>3.0</v>
      </c>
      <c r="E612" s="6">
        <v>0.0</v>
      </c>
    </row>
    <row r="613" ht="15.75" customHeight="1">
      <c r="A613" s="4">
        <f t="shared" si="1"/>
        <v>612</v>
      </c>
      <c r="B613" s="12" t="s">
        <v>803</v>
      </c>
      <c r="C613" s="10" t="str">
        <f>IFERROR(__xludf.DUMMYFUNCTION("GOOGLETRANSLATE(B613,""in"", ""en"")"),"Hot water is not checked to function or not, told to wait 3 hours after knowing it still can't be told to move next room. Why shouldn't it from the beginning? Why told to wait? Slow management decisions")</f>
        <v>Hot water is not checked to function or not, told to wait 3 hours after knowing it still can't be told to move next room. Why shouldn't it from the beginning? Why told to wait? Slow management decisions</v>
      </c>
      <c r="D613" s="6">
        <v>3.0</v>
      </c>
      <c r="E613" s="6">
        <v>0.0</v>
      </c>
    </row>
    <row r="614" ht="15.75" customHeight="1">
      <c r="A614" s="4">
        <f t="shared" si="1"/>
        <v>613</v>
      </c>
      <c r="B614" s="12" t="s">
        <v>804</v>
      </c>
      <c r="C614" s="10" t="str">
        <f>IFERROR(__xludf.DUMMYFUNCTION("GOOGLETRANSLATE(B614,""in"", ""en"")"),"Everything is okay except the toilet. Slippery Shower Room Floor")</f>
        <v>Everything is okay except the toilet. Slippery Shower Room Floor</v>
      </c>
      <c r="D614" s="6">
        <v>2.0</v>
      </c>
      <c r="E614" s="6">
        <v>0.0</v>
      </c>
    </row>
    <row r="615" ht="15.75" customHeight="1">
      <c r="A615" s="4">
        <f t="shared" si="1"/>
        <v>614</v>
      </c>
      <c r="B615" s="12" t="s">
        <v>805</v>
      </c>
      <c r="C615" s="10" t="str">
        <f>IFERROR(__xludf.DUMMYFUNCTION("GOOGLETRANSLATE(B615,""in"", ""en"")"),"Noisy, I want to sleep but it is noisy, the one who is very noisy is very noisy")</f>
        <v>Noisy, I want to sleep but it is noisy, the one who is very noisy is very noisy</v>
      </c>
      <c r="D615" s="6">
        <v>2.0</v>
      </c>
      <c r="E615" s="6">
        <v>0.0</v>
      </c>
    </row>
    <row r="616" ht="15.75" customHeight="1">
      <c r="A616" s="4">
        <f t="shared" si="1"/>
        <v>615</v>
      </c>
      <c r="B616" s="12" t="s">
        <v>806</v>
      </c>
      <c r="C616" s="10" t="str">
        <f>IFERROR(__xludf.DUMMYFUNCTION("GOOGLETRANSLATE(B616,""in"", ""en"")"),"I paid for the Expensive Hotel But I Didn't Get Free Morning Breakfast Facilities. So last night I immediately pulled out of the hotel. No Recommendation, please fix the management.")</f>
        <v>I paid for the Expensive Hotel But I Didn't Get Free Morning Breakfast Facilities. So last night I immediately pulled out of the hotel. No Recommendation, please fix the management.</v>
      </c>
      <c r="D616" s="6">
        <v>2.0</v>
      </c>
      <c r="E616" s="6">
        <v>0.0</v>
      </c>
    </row>
    <row r="617" ht="15.75" customHeight="1">
      <c r="A617" s="4">
        <f t="shared" si="1"/>
        <v>616</v>
      </c>
      <c r="B617" s="12" t="s">
        <v>807</v>
      </c>
      <c r="C617" s="10" t="str">
        <f>IFERROR(__xludf.DUMMYFUNCTION("GOOGLETRANSLATE(B617,""in"", ""en"")"),"The warm water in the toilet is not on")</f>
        <v>The warm water in the toilet is not on</v>
      </c>
      <c r="D617" s="6">
        <v>2.0</v>
      </c>
      <c r="E617" s="6">
        <v>0.0</v>
      </c>
    </row>
    <row r="618" ht="15.75" customHeight="1">
      <c r="A618" s="4">
        <f t="shared" si="1"/>
        <v>617</v>
      </c>
      <c r="B618" s="12" t="s">
        <v>808</v>
      </c>
      <c r="C618" s="10" t="str">
        <f>IFERROR(__xludf.DUMMYFUNCTION("GOOGLETRANSLATE(B618,""in"", ""en"")"),"Airya isn't smooth and murky :(")</f>
        <v>Airya isn't smooth and murky :(</v>
      </c>
      <c r="D618" s="6">
        <v>3.0</v>
      </c>
      <c r="E618" s="6">
        <v>0.0</v>
      </c>
    </row>
    <row r="619" ht="15.75" customHeight="1">
      <c r="A619" s="4">
        <f t="shared" si="1"/>
        <v>618</v>
      </c>
      <c r="B619" s="12" t="s">
        <v>809</v>
      </c>
      <c r="C619" s="10" t="str">
        <f>IFERROR(__xludf.DUMMYFUNCTION("GOOGLETRANSLATE(B619,""in"", ""en"")"),"Everything was great, except there was a lot of noise the whole night")</f>
        <v>Everything was great, except there was a lot of noise the whole night</v>
      </c>
      <c r="D619" s="6">
        <v>2.0</v>
      </c>
      <c r="E619" s="6">
        <v>0.0</v>
      </c>
    </row>
    <row r="620" ht="15.75" customHeight="1">
      <c r="A620" s="4">
        <f t="shared" si="1"/>
        <v>619</v>
      </c>
      <c r="B620" s="12" t="s">
        <v>810</v>
      </c>
      <c r="C620" s="10" t="str">
        <f>IFERROR(__xludf.DUMMYFUNCTION("GOOGLETRANSLATE(B620,""in"", ""en"")"),"There are still many noisy evening, even though they have been reminded")</f>
        <v>There are still many noisy evening, even though they have been reminded</v>
      </c>
      <c r="D620" s="6">
        <v>2.0</v>
      </c>
      <c r="E620" s="6">
        <v>0.0</v>
      </c>
    </row>
    <row r="621" ht="15.75" customHeight="1">
      <c r="A621" s="4">
        <f t="shared" si="1"/>
        <v>620</v>
      </c>
      <c r="B621" s="12" t="s">
        <v>811</v>
      </c>
      <c r="C621" s="10" t="str">
        <f>IFERROR(__xludf.DUMMYFUNCTION("GOOGLETRANSLATE(B621,""in"", ""en"")"),"Dirty and smelly bedroom bed")</f>
        <v>Dirty and smelly bedroom bed</v>
      </c>
      <c r="D621" s="6">
        <v>2.0</v>
      </c>
      <c r="E621" s="6">
        <v>0.0</v>
      </c>
    </row>
    <row r="622" ht="15.75" customHeight="1">
      <c r="A622" s="4">
        <f t="shared" si="1"/>
        <v>621</v>
      </c>
      <c r="B622" s="12" t="s">
        <v>812</v>
      </c>
      <c r="C622" s="10" t="str">
        <f>IFERROR(__xludf.DUMMYFUNCTION("GOOGLETRANSLATE(B622,""in"", ""en"")"),"Access is difficult and bad.
Lots of flies
Amenities in the room are very minimal, only toothbrushes and toothpaste and even dirty dust ...
Food Choice Very Limited and Less Unavailable ..
The view was great")</f>
        <v>Access is difficult and bad.
Lots of flies
Amenities in the room are very minimal, only toothbrushes and toothpaste and even dirty dust ...
Food Choice Very Limited and Less Unavailable ..
The view was great</v>
      </c>
      <c r="D622" s="6">
        <v>2.0</v>
      </c>
      <c r="E622" s="6">
        <v>0.0</v>
      </c>
    </row>
    <row r="623" ht="15.75" customHeight="1">
      <c r="A623" s="4">
        <f t="shared" si="1"/>
        <v>622</v>
      </c>
      <c r="B623" s="12" t="s">
        <v>813</v>
      </c>
      <c r="C623" s="10" t="str">
        <f>IFERROR(__xludf.DUMMYFUNCTION("GOOGLETRANSLATE(B623,""in"", ""en"")"),"The hot water is not functioning")</f>
        <v>The hot water is not functioning</v>
      </c>
      <c r="D623" s="6">
        <v>2.0</v>
      </c>
      <c r="E623" s="6">
        <v>0.0</v>
      </c>
    </row>
    <row r="624" ht="15.75" customHeight="1">
      <c r="A624" s="4">
        <f t="shared" si="1"/>
        <v>623</v>
      </c>
      <c r="B624" s="12" t="s">
        <v>814</v>
      </c>
      <c r="C624" s="10" t="str">
        <f>IFERROR(__xludf.DUMMYFUNCTION("GOOGLETRANSLATE(B624,""in"", ""en"")"),"the lights can't close and can't change colors")</f>
        <v>the lights can't close and can't change colors</v>
      </c>
      <c r="D624" s="6">
        <v>1.0</v>
      </c>
      <c r="E624" s="6">
        <v>1.0</v>
      </c>
    </row>
    <row r="625" ht="15.75" customHeight="1">
      <c r="A625" s="4">
        <f t="shared" si="1"/>
        <v>624</v>
      </c>
      <c r="B625" s="12" t="s">
        <v>815</v>
      </c>
      <c r="C625" s="10" t="str">
        <f>IFERROR(__xludf.DUMMYFUNCTION("GOOGLETRANSLATE(B625,""in"", ""en"")"),"The room is not immediate. Very noisy even just when someone passes by. Get a position right in front of the bathroom hallway. Can hardly sleep.")</f>
        <v>The room is not immediate. Very noisy even just when someone passes by. Get a position right in front of the bathroom hallway. Can hardly sleep.</v>
      </c>
      <c r="D625" s="6">
        <v>2.0</v>
      </c>
      <c r="E625" s="6">
        <v>0.0</v>
      </c>
    </row>
    <row r="626" ht="15.75" customHeight="1">
      <c r="A626" s="4">
        <f t="shared" si="1"/>
        <v>625</v>
      </c>
      <c r="B626" s="12" t="s">
        <v>816</v>
      </c>
      <c r="C626" s="10" t="str">
        <f>IFERROR(__xludf.DUMMYFUNCTION("GOOGLETRANSLATE(B626,""in"", ""en"")"),"Hard mattress")</f>
        <v>Hard mattress</v>
      </c>
      <c r="D626" s="6">
        <v>2.0</v>
      </c>
      <c r="E626" s="6">
        <v>0.0</v>
      </c>
    </row>
    <row r="627" ht="15.75" customHeight="1">
      <c r="A627" s="4">
        <f t="shared" si="1"/>
        <v>626</v>
      </c>
      <c r="B627" s="12" t="s">
        <v>817</v>
      </c>
      <c r="C627" s="10" t="str">
        <f>IFERROR(__xludf.DUMMYFUNCTION("GOOGLETRANSLATE(B627,""in"", ""en"")"),"Too expensive, please price can be reasonable")</f>
        <v>Too expensive, please price can be reasonable</v>
      </c>
      <c r="D627" s="6">
        <v>2.0</v>
      </c>
      <c r="E627" s="6">
        <v>0.0</v>
      </c>
    </row>
    <row r="628" ht="15.75" customHeight="1">
      <c r="A628" s="4">
        <f t="shared" si="1"/>
        <v>627</v>
      </c>
      <c r="B628" s="12" t="s">
        <v>818</v>
      </c>
      <c r="C628" s="10" t="str">
        <f>IFERROR(__xludf.DUMMYFUNCTION("GOOGLETRANSLATE(B628,""in"", ""en"")"),"The staff is friendly, only the visitors are noisy so there are those who laugh in calm hours and the staff are not negative, once stayed at Bobobox Solo, the staff has a noisy. The air conditioner is not cold enough for the Earth even though it's already"&amp;" fullin")</f>
        <v>The staff is friendly, only the visitors are noisy so there are those who laugh in calm hours and the staff are not negative, once stayed at Bobobox Solo, the staff has a noisy. The air conditioner is not cold enough for the Earth even though it's already fullin</v>
      </c>
      <c r="D628" s="6">
        <v>2.0</v>
      </c>
      <c r="E628" s="6">
        <v>0.0</v>
      </c>
    </row>
    <row r="629" ht="15.75" customHeight="1">
      <c r="A629" s="4">
        <f t="shared" si="1"/>
        <v>628</v>
      </c>
      <c r="B629" s="12" t="s">
        <v>819</v>
      </c>
      <c r="C629" s="10" t="str">
        <f>IFERROR(__xludf.DUMMYFUNCTION("GOOGLETRANSLATE(B629,""in"", ""en"")"),"AC for POD 27, not cold even though it has been turned on the knob, then to share QR it doesn't work because the other account is not verified.")</f>
        <v>AC for POD 27, not cold even though it has been turned on the knob, then to share QR it doesn't work because the other account is not verified.</v>
      </c>
      <c r="D629" s="6">
        <v>2.0</v>
      </c>
      <c r="E629" s="6">
        <v>1.0</v>
      </c>
    </row>
    <row r="630" ht="15.75" customHeight="1">
      <c r="A630" s="4">
        <f t="shared" si="1"/>
        <v>629</v>
      </c>
      <c r="B630" s="12" t="s">
        <v>820</v>
      </c>
      <c r="C630" s="10" t="str">
        <f>IFERROR(__xludf.DUMMYFUNCTION("GOOGLETRANSLATE(B630,""in"", ""en"")"),"Unfortunately there is no fork spoon, then the faucet to rinse after urinating does not exist, there is a shower
Overall ,,, Recommended here,")</f>
        <v>Unfortunately there is no fork spoon, then the faucet to rinse after urinating does not exist, there is a shower
Overall ,,, Recommended here,</v>
      </c>
      <c r="D630" s="6">
        <v>1.0</v>
      </c>
      <c r="E630" s="6">
        <v>0.0</v>
      </c>
    </row>
    <row r="631" ht="15.75" customHeight="1">
      <c r="A631" s="4">
        <f t="shared" si="1"/>
        <v>630</v>
      </c>
      <c r="B631" s="12" t="s">
        <v>821</v>
      </c>
      <c r="C631" s="10" t="str">
        <f>IFERROR(__xludf.DUMMYFUNCTION("GOOGLETRANSLATE(B631,""in"", ""en"")"),"I chose Earth so above I have an org")</f>
        <v>I chose Earth so above I have an org</v>
      </c>
      <c r="D631" s="6">
        <v>2.0</v>
      </c>
      <c r="E631" s="6">
        <v>0.0</v>
      </c>
    </row>
    <row r="632" ht="15.75" customHeight="1">
      <c r="A632" s="4">
        <f t="shared" si="1"/>
        <v>631</v>
      </c>
      <c r="B632" s="12" t="s">
        <v>822</v>
      </c>
      <c r="C632" s="10" t="str">
        <f>IFERROR(__xludf.DUMMYFUNCTION("GOOGLETRANSLATE(B632,""in"", ""en"")"),"The toilet is not much so have to be queuing up, the room has a nest of profit "", cleaning the area both cabin and toilet in checking again")</f>
        <v>The toilet is not much so have to be queuing up, the room has a nest of profit ", cleaning the area both cabin and toilet in checking again</v>
      </c>
      <c r="D632" s="6">
        <v>2.0</v>
      </c>
      <c r="E632" s="6">
        <v>0.0</v>
      </c>
    </row>
    <row r="633" ht="15.75" customHeight="1">
      <c r="A633" s="4">
        <f t="shared" si="1"/>
        <v>632</v>
      </c>
      <c r="B633" s="12" t="s">
        <v>823</v>
      </c>
      <c r="C633" s="10" t="str">
        <f>IFERROR(__xludf.DUMMYFUNCTION("GOOGLETRANSLATE(B633,""in"", ""en"")"),"Sheet and blanket is rather dirty")</f>
        <v>Sheet and blanket is rather dirty</v>
      </c>
      <c r="D633" s="6">
        <v>2.0</v>
      </c>
      <c r="E633" s="6">
        <v>0.0</v>
      </c>
    </row>
    <row r="634" ht="15.75" customHeight="1">
      <c r="A634" s="4">
        <f t="shared" si="1"/>
        <v>633</v>
      </c>
      <c r="B634" s="12" t="s">
        <v>824</v>
      </c>
      <c r="C634" s="10" t="str">
        <f>IFERROR(__xludf.DUMMYFUNCTION("GOOGLETRANSLATE(B634,""in"", ""en"")"),"No Free Parking")</f>
        <v>No Free Parking</v>
      </c>
      <c r="D634" s="6">
        <v>1.0</v>
      </c>
      <c r="E634" s="6">
        <v>0.0</v>
      </c>
    </row>
    <row r="635" ht="15.75" customHeight="1">
      <c r="A635" s="4">
        <f t="shared" si="1"/>
        <v>634</v>
      </c>
      <c r="B635" s="12" t="s">
        <v>825</v>
      </c>
      <c r="C635" s="10" t="str">
        <f>IFERROR(__xludf.DUMMYFUNCTION("GOOGLETRANSLATE(B635,""in"", ""en"")"),"Comfortable environment, clean toilet. The room is also clean, only maybe for next, for pods that are rarely occupied can be considered again. Because the condition of the mattress is dusty. So it's a bit uncomfortable while sleeping.")</f>
        <v>Comfortable environment, clean toilet. The room is also clean, only maybe for next, for pods that are rarely occupied can be considered again. Because the condition of the mattress is dusty. So it's a bit uncomfortable while sleeping.</v>
      </c>
      <c r="D635" s="6">
        <v>2.0</v>
      </c>
      <c r="E635" s="6">
        <v>0.0</v>
      </c>
    </row>
    <row r="636" ht="15.75" customHeight="1">
      <c r="A636" s="4">
        <f t="shared" si="1"/>
        <v>635</v>
      </c>
      <c r="B636" s="12" t="s">
        <v>826</v>
      </c>
      <c r="C636" s="10" t="str">
        <f>IFERROR(__xludf.DUMMYFUNCTION("GOOGLETRANSLATE(B636,""in"", ""en"")"),"VERY ROPY !! During staying at Bobobox safe. This service is bad. As if to be kicked out. I'm busy working on the others. The key is tasteing like I brought it away. Bad. Even though it's already comfortable in Bobobox")</f>
        <v>VERY ROPY !! During staying at Bobobox safe. This service is bad. As if to be kicked out. I'm busy working on the others. The key is tasteing like I brought it away. Bad. Even though it's already comfortable in Bobobox</v>
      </c>
      <c r="D636" s="6">
        <v>3.0</v>
      </c>
      <c r="E636" s="6">
        <v>0.0</v>
      </c>
    </row>
    <row r="637" ht="15.75" customHeight="1">
      <c r="A637" s="4">
        <f t="shared" si="1"/>
        <v>636</v>
      </c>
      <c r="B637" s="12" t="s">
        <v>827</v>
      </c>
      <c r="C637" s="10" t="str">
        <f>IFERROR(__xludf.DUMMYFUNCTION("GOOGLETRANSLATE(B637,""in"", ""en"")"),"This is the first time I got a room with stains on bed sheets and windows. Cabin 40 Bobobox Alun Alun Malang. Hopefully it will be fixed. Overall Good")</f>
        <v>This is the first time I got a room with stains on bed sheets and windows. Cabin 40 Bobobox Alun Alun Malang. Hopefully it will be fixed. Overall Good</v>
      </c>
      <c r="D637" s="6">
        <v>3.0</v>
      </c>
      <c r="E637" s="6">
        <v>0.0</v>
      </c>
    </row>
    <row r="638" ht="15.75" customHeight="1">
      <c r="A638" s="4">
        <f t="shared" si="1"/>
        <v>637</v>
      </c>
      <c r="B638" s="12" t="s">
        <v>828</v>
      </c>
      <c r="C638" s="10" t="str">
        <f>IFERROR(__xludf.DUMMYFUNCTION("GOOGLETRANSLATE(B638,""in"", ""en"")"),"TV does not exist")</f>
        <v>TV does not exist</v>
      </c>
      <c r="D638" s="6">
        <v>1.0</v>
      </c>
      <c r="E638" s="6">
        <v>0.0</v>
      </c>
    </row>
    <row r="639" ht="15.75" customHeight="1">
      <c r="A639" s="4">
        <f t="shared" si="1"/>
        <v>638</v>
      </c>
      <c r="B639" s="12" t="s">
        <v>829</v>
      </c>
      <c r="C639" s="10" t="str">
        <f>IFERROR(__xludf.DUMMYFUNCTION("GOOGLETRANSLATE(B639,""in"", ""en"")"),"At the Quite hours on all noisy. How to walk participants who stay overnight always drag the sandals. And love to speak. I woke up many times")</f>
        <v>At the Quite hours on all noisy. How to walk participants who stay overnight always drag the sandals. And love to speak. I woke up many times</v>
      </c>
      <c r="D639" s="6">
        <v>2.0</v>
      </c>
      <c r="E639" s="6">
        <v>0.0</v>
      </c>
    </row>
    <row r="640" ht="15.75" customHeight="1">
      <c r="A640" s="4">
        <f t="shared" si="1"/>
        <v>639</v>
      </c>
      <c r="B640" s="12" t="s">
        <v>830</v>
      </c>
      <c r="C640" s="10" t="str">
        <f>IFERROR(__xludf.DUMMYFUNCTION("GOOGLETRANSLATE(B640,""in"", ""en"")"),"The place to make the bath smell and a lot of toothbrush trash. OB is not like it used to be alert in cleaning the toilet.")</f>
        <v>The place to make the bath smell and a lot of toothbrush trash. OB is not like it used to be alert in cleaning the toilet.</v>
      </c>
      <c r="D640" s="6">
        <v>2.0</v>
      </c>
      <c r="E640" s="6">
        <v>0.0</v>
      </c>
    </row>
    <row r="641" ht="15.75" customHeight="1">
      <c r="A641" s="4">
        <f t="shared" si="1"/>
        <v>640</v>
      </c>
      <c r="B641" s="12" t="s">
        <v>831</v>
      </c>
      <c r="C641" s="10" t="str">
        <f>IFERROR(__xludf.DUMMYFUNCTION("GOOGLETRANSLATE(B641,""in"", ""en"")"),"AC is less cold, overall good pod")</f>
        <v>AC is less cold, overall good pod</v>
      </c>
      <c r="D641" s="6">
        <v>2.0</v>
      </c>
      <c r="E641" s="6">
        <v>0.0</v>
      </c>
    </row>
    <row r="642" ht="15.75" customHeight="1">
      <c r="A642" s="4">
        <f t="shared" si="1"/>
        <v>641</v>
      </c>
      <c r="B642" s="12" t="s">
        <v>832</v>
      </c>
      <c r="C642" s="10" t="str">
        <f>IFERROR(__xludf.DUMMYFUNCTION("GOOGLETRANSLATE(B642,""in"", ""en"")"),"Less clean and hard -to -bed")</f>
        <v>Less clean and hard -to -bed</v>
      </c>
      <c r="D642" s="6">
        <v>2.0</v>
      </c>
      <c r="E642" s="6">
        <v>0.0</v>
      </c>
    </row>
    <row r="643" ht="15.75" customHeight="1">
      <c r="A643" s="4">
        <f t="shared" si="1"/>
        <v>642</v>
      </c>
      <c r="B643" s="12" t="s">
        <v>833</v>
      </c>
      <c r="C643" s="10" t="str">
        <f>IFERROR(__xludf.DUMMYFUNCTION("GOOGLETRANSLATE(B643,""in"", ""en"")"),"The service is serious ...")</f>
        <v>The service is serious ...</v>
      </c>
      <c r="D643" s="6">
        <v>2.0</v>
      </c>
      <c r="E643" s="6">
        <v>0.0</v>
      </c>
    </row>
    <row r="644" ht="15.75" customHeight="1">
      <c r="A644" s="4">
        <f t="shared" si="1"/>
        <v>643</v>
      </c>
      <c r="B644" s="12" t="s">
        <v>834</v>
      </c>
      <c r="C644" s="10" t="str">
        <f>IFERROR(__xludf.DUMMYFUNCTION("GOOGLETRANSLATE(B644,""in"", ""en"")"),"The wifii is slow")</f>
        <v>The wifii is slow</v>
      </c>
      <c r="D644" s="6">
        <v>2.0</v>
      </c>
      <c r="E644" s="6">
        <v>1.0</v>
      </c>
    </row>
    <row r="645" ht="15.75" customHeight="1">
      <c r="A645" s="4">
        <f t="shared" si="1"/>
        <v>644</v>
      </c>
      <c r="B645" s="12" t="s">
        <v>835</v>
      </c>
      <c r="C645" s="10" t="str">
        <f>IFERROR(__xludf.DUMMYFUNCTION("GOOGLETRANSLATE(B645,""in"", ""en"")"),"When I stayed at Bobobox Malioboro this time, the POD condition was lacking. The pod that I live in the air conditioner leak, and also a lot of insect carcasses. Then, the condition of the bathroom was very less clean, even I found a lot of blood spots on"&amp;" the toilet wall, besides that there was a renovation near my pod.
Hopefully in the future it can be further improved cleanliness.")</f>
        <v>When I stayed at Bobobox Malioboro this time, the POD condition was lacking. The pod that I live in the air conditioner leak, and also a lot of insect carcasses. Then, the condition of the bathroom was very less clean, even I found a lot of blood spots on the toilet wall, besides that there was a renovation near my pod.
Hopefully in the future it can be further improved cleanliness.</v>
      </c>
      <c r="D645" s="6">
        <v>3.0</v>
      </c>
      <c r="E645" s="6">
        <v>0.0</v>
      </c>
    </row>
    <row r="646" ht="15.75" customHeight="1">
      <c r="A646" s="4">
        <f t="shared" si="1"/>
        <v>645</v>
      </c>
      <c r="B646" s="12" t="s">
        <v>836</v>
      </c>
      <c r="C646" s="10" t="str">
        <f>IFERROR(__xludf.DUMMYFUNCTION("GOOGLETRANSLATE(B646,""in"", ""en"")"),"Toilet and receptionist area please give a fragrance, thank you")</f>
        <v>Toilet and receptionist area please give a fragrance, thank you</v>
      </c>
      <c r="D646" s="6">
        <v>2.0</v>
      </c>
      <c r="E646" s="6">
        <v>0.0</v>
      </c>
    </row>
    <row r="647" ht="15.75" customHeight="1">
      <c r="A647" s="4">
        <f t="shared" si="1"/>
        <v>646</v>
      </c>
      <c r="B647" s="12" t="s">
        <v>837</v>
      </c>
      <c r="C647" s="10" t="str">
        <f>IFERROR(__xludf.DUMMYFUNCTION("GOOGLETRANSLATE(B647,""in"", ""en"")"),"There is no tissue")</f>
        <v>There is no tissue</v>
      </c>
      <c r="D647" s="6">
        <v>1.0</v>
      </c>
      <c r="E647" s="6">
        <v>0.0</v>
      </c>
    </row>
    <row r="648" ht="15.75" customHeight="1">
      <c r="A648" s="4">
        <f t="shared" si="1"/>
        <v>647</v>
      </c>
      <c r="B648" s="12" t="s">
        <v>838</v>
      </c>
      <c r="C648" s="10" t="str">
        <f>IFERROR(__xludf.DUMMYFUNCTION("GOOGLETRANSLATE(B648,""in"", ""en"")"),"Tissue trash overflows, in the morning there are those who throw the baby pempers really smell really :( mending immediately throw the garbage next")</f>
        <v>Tissue trash overflows, in the morning there are those who throw the baby pempers really smell really :( mending immediately throw the garbage next</v>
      </c>
      <c r="D648" s="6">
        <v>2.0</v>
      </c>
      <c r="E648" s="6">
        <v>0.0</v>
      </c>
    </row>
    <row r="649" ht="15.75" customHeight="1">
      <c r="A649" s="4">
        <f t="shared" si="1"/>
        <v>648</v>
      </c>
      <c r="B649" s="12" t="s">
        <v>839</v>
      </c>
      <c r="C649" s="10" t="str">
        <f>IFERROR(__xludf.DUMMYFUNCTION("GOOGLETRANSLATE(B649,""in"", ""en"")"),"Male toilet LT 2 is repairing to be to LT 3 then in Lt 3 the hairdrayer is slow and likes to die")</f>
        <v>Male toilet LT 2 is repairing to be to LT 3 then in Lt 3 the hairdrayer is slow and likes to die</v>
      </c>
      <c r="D649" s="6">
        <v>2.0</v>
      </c>
      <c r="E649" s="6">
        <v>0.0</v>
      </c>
    </row>
    <row r="650" ht="15.75" customHeight="1">
      <c r="A650" s="4">
        <f t="shared" si="1"/>
        <v>649</v>
      </c>
      <c r="B650" s="12" t="s">
        <v>840</v>
      </c>
      <c r="C650" s="10" t="str">
        <f>IFERROR(__xludf.DUMMYFUNCTION("GOOGLETRANSLATE(B650,""in"", ""en"")"),"The toilet is too far away, the quality of the sandals does not meet the safety and comfort standards to walk to the toilet and other places. No parking")</f>
        <v>The toilet is too far away, the quality of the sandals does not meet the safety and comfort standards to walk to the toilet and other places. No parking</v>
      </c>
      <c r="D650" s="6">
        <v>2.0</v>
      </c>
      <c r="E650" s="6">
        <v>0.0</v>
      </c>
    </row>
    <row r="651" ht="15.75" customHeight="1">
      <c r="A651" s="4">
        <f t="shared" si="1"/>
        <v>650</v>
      </c>
      <c r="B651" s="12" t="s">
        <v>841</v>
      </c>
      <c r="C651" s="10" t="str">
        <f>IFERROR(__xludf.DUMMYFUNCTION("GOOGLETRANSLATE(B651,""in"", ""en"")"),"Much more expensive than the price of other capsule hotels. Whiz Capsule Only, Only 130 thousand per night")</f>
        <v>Much more expensive than the price of other capsule hotels. Whiz Capsule Only, Only 130 thousand per night</v>
      </c>
      <c r="D651" s="6">
        <v>1.0</v>
      </c>
      <c r="E651" s="6">
        <v>0.0</v>
      </c>
    </row>
    <row r="652" ht="15.75" customHeight="1">
      <c r="A652" s="4">
        <f t="shared" si="1"/>
        <v>651</v>
      </c>
      <c r="B652" s="12" t="s">
        <v>842</v>
      </c>
      <c r="C652" s="10" t="str">
        <f>IFERROR(__xludf.DUMMYFUNCTION("GOOGLETRANSLATE(B652,""in"", ""en"")"),"No Smoking Area Even You Can Provide By The Balcon Build8ng It Will Be Great (Nice View Open Air and Smoking Area Is Available)")</f>
        <v>No Smoking Area Even You Can Provide By The Balcon Build8ng It Will Be Great (Nice View Open Air and Smoking Area Is Available)</v>
      </c>
      <c r="D652" s="6">
        <v>1.0</v>
      </c>
      <c r="E652" s="6">
        <v>0.0</v>
      </c>
    </row>
    <row r="653" ht="15.75" customHeight="1">
      <c r="A653" s="4">
        <f t="shared" si="1"/>
        <v>652</v>
      </c>
      <c r="B653" s="12" t="s">
        <v>843</v>
      </c>
      <c r="C653" s="10" t="str">
        <f>IFERROR(__xludf.DUMMYFUNCTION("GOOGLETRANSLATE(B653,""in"", ""en"")"),"No Slipper must buy, bed linen not to replace dirty, tea cup no tea spoon ..")</f>
        <v>No Slipper must buy, bed linen not to replace dirty, tea cup no tea spoon ..</v>
      </c>
      <c r="D653" s="6">
        <v>1.0</v>
      </c>
      <c r="E653" s="6">
        <v>0.0</v>
      </c>
    </row>
    <row r="654" ht="15.75" customHeight="1">
      <c r="A654" s="4">
        <f t="shared" si="1"/>
        <v>653</v>
      </c>
      <c r="B654" s="12" t="s">
        <v>844</v>
      </c>
      <c r="C654" s="10" t="str">
        <f>IFERROR(__xludf.DUMMYFUNCTION("GOOGLETRANSLATE(B654,""in"", ""en"")"),"Need Microwave")</f>
        <v>Need Microwave</v>
      </c>
      <c r="D654" s="6">
        <v>1.0</v>
      </c>
      <c r="E654" s="6">
        <v>0.0</v>
      </c>
    </row>
    <row r="655" ht="15.75" customHeight="1">
      <c r="A655" s="4">
        <f t="shared" si="1"/>
        <v>654</v>
      </c>
      <c r="B655" s="12" t="s">
        <v>845</v>
      </c>
      <c r="C655" s="10" t="str">
        <f>IFERROR(__xludf.DUMMYFUNCTION("GOOGLETRANSLATE(B655,""in"", ""en"")"),"still smells of cigarettes in the public area")</f>
        <v>still smells of cigarettes in the public area</v>
      </c>
      <c r="D655" s="6">
        <v>3.0</v>
      </c>
      <c r="E655" s="6">
        <v>0.0</v>
      </c>
    </row>
    <row r="656" ht="15.75" customHeight="1">
      <c r="A656" s="4">
        <f t="shared" si="1"/>
        <v>655</v>
      </c>
      <c r="B656" s="12" t="s">
        <v>846</v>
      </c>
      <c r="C656" s="10" t="str">
        <f>IFERROR(__xludf.DUMMYFUNCTION("GOOGLETRANSLATE(B656,""in"", ""en"")"),"Electric socket is good on the table, and for AC settings using digital")</f>
        <v>Electric socket is good on the table, and for AC settings using digital</v>
      </c>
      <c r="D656" s="6">
        <v>1.0</v>
      </c>
      <c r="E656" s="6">
        <v>0.0</v>
      </c>
    </row>
    <row r="657" ht="15.75" customHeight="1">
      <c r="A657" s="4">
        <f t="shared" si="1"/>
        <v>656</v>
      </c>
      <c r="B657" s="12" t="s">
        <v>847</v>
      </c>
      <c r="C657" s="10" t="str">
        <f>IFERROR(__xludf.DUMMYFUNCTION("GOOGLETRANSLATE(B657,""in"", ""en"")"),"The bathroom is reproduced. Because the people sharing a lot. Especially the toilet")</f>
        <v>The bathroom is reproduced. Because the people sharing a lot. Especially the toilet</v>
      </c>
      <c r="D657" s="6">
        <v>2.0</v>
      </c>
      <c r="E657" s="6">
        <v>0.0</v>
      </c>
    </row>
    <row r="658" ht="15.75" customHeight="1">
      <c r="A658" s="4">
        <f t="shared" si="1"/>
        <v>657</v>
      </c>
      <c r="B658" s="12" t="s">
        <v>848</v>
      </c>
      <c r="C658" s="10" t="str">
        <f>IFERROR(__xludf.DUMMYFUNCTION("GOOGLETRANSLATE(B658,""in"", ""en"")"),"The service is friendly and good, but room facilities such as blankets and beds can be improved again in terms of quality so that sleeping becomes more comfortable")</f>
        <v>The service is friendly and good, but room facilities such as blankets and beds can be improved again in terms of quality so that sleeping becomes more comfortable</v>
      </c>
      <c r="D658" s="6">
        <v>2.0</v>
      </c>
      <c r="E658" s="6">
        <v>0.0</v>
      </c>
    </row>
    <row r="659" ht="15.75" customHeight="1">
      <c r="A659" s="4">
        <f t="shared" si="1"/>
        <v>658</v>
      </c>
      <c r="B659" s="12" t="s">
        <v>849</v>
      </c>
      <c r="C659" s="10" t="str">
        <f>IFERROR(__xludf.DUMMYFUNCTION("GOOGLETRANSLATE(B659,""in"", ""en"")"),"The main problem of this branch is located, less visible entrance and the security area of ​​the old city is lacking in coordination in providing direction, not to mention a rather boundary joke.
Besides that, from Bobobox itself, it's quite ok")</f>
        <v>The main problem of this branch is located, less visible entrance and the security area of ​​the old city is lacking in coordination in providing direction, not to mention a rather boundary joke.
Besides that, from Bobobox itself, it's quite ok</v>
      </c>
      <c r="D659" s="6">
        <v>1.0</v>
      </c>
      <c r="E659" s="6">
        <v>0.0</v>
      </c>
    </row>
    <row r="660" ht="15.75" customHeight="1">
      <c r="A660" s="4">
        <f t="shared" si="1"/>
        <v>659</v>
      </c>
      <c r="B660" s="12" t="s">
        <v>850</v>
      </c>
      <c r="C660" s="10" t="str">
        <f>IFERROR(__xludf.DUMMYFUNCTION("GOOGLETRANSLATE(B660,""in"", ""en"")"),"Overall okay anyway. Clean, easy to be unanimized, bro, yesterday, my sister instead blamed me because I was the problem at 7 o'clock at 2 pdhl staying 2 night. Do they have a database, how come I don't know if my name is a 2 night? Instead I feel like it"&amp;"'s Early Check in")</f>
        <v>Overall okay anyway. Clean, easy to be unanimized, bro, yesterday, my sister instead blamed me because I was the problem at 7 o'clock at 2 pdhl staying 2 night. Do they have a database, how come I don't know if my name is a 2 night? Instead I feel like it's Early Check in</v>
      </c>
      <c r="D660" s="6">
        <v>2.0</v>
      </c>
      <c r="E660" s="6">
        <v>1.0</v>
      </c>
    </row>
    <row r="661" ht="15.75" customHeight="1">
      <c r="A661" s="4">
        <f t="shared" si="1"/>
        <v>660</v>
      </c>
      <c r="B661" s="12" t="s">
        <v>851</v>
      </c>
      <c r="C661" s="10" t="str">
        <f>IFERROR(__xludf.DUMMYFUNCTION("GOOGLETRANSLATE(B661,""in"", ""en"")"),"The guest is too noisy")</f>
        <v>The guest is too noisy</v>
      </c>
      <c r="D661" s="6">
        <v>2.0</v>
      </c>
      <c r="E661" s="6">
        <v>0.0</v>
      </c>
    </row>
    <row r="662" ht="15.75" customHeight="1">
      <c r="A662" s="4">
        <f t="shared" si="1"/>
        <v>661</v>
      </c>
      <c r="B662" s="12" t="s">
        <v>852</v>
      </c>
      <c r="C662" s="10" t="str">
        <f>IFERROR(__xludf.DUMMYFUNCTION("GOOGLETRANSLATE(B662,""in"", ""en"")"),"The host service is good, which needs to be improved:
- Cleanliness of women and male toilets. Shower floor please brush diligently so as not to moss
- The angles in the rooms are more cleaned so that there isn't a lot of dust")</f>
        <v>The host service is good, which needs to be improved:
- Cleanliness of women and male toilets. Shower floor please brush diligently so as not to moss
- The angles in the rooms are more cleaned so that there isn't a lot of dust</v>
      </c>
      <c r="D662" s="6">
        <v>2.0</v>
      </c>
      <c r="E662" s="6">
        <v>0.0</v>
      </c>
    </row>
    <row r="663" ht="15.75" customHeight="1">
      <c r="A663" s="4">
        <f t="shared" si="1"/>
        <v>662</v>
      </c>
      <c r="B663" s="12" t="s">
        <v>853</v>
      </c>
      <c r="C663" s="10" t="str">
        <f>IFERROR(__xludf.DUMMYFUNCTION("GOOGLETRANSLATE(B663,""in"", ""en"")"),"OK, the toilet is not much")</f>
        <v>OK, the toilet is not much</v>
      </c>
      <c r="D663" s="6">
        <v>2.0</v>
      </c>
      <c r="E663" s="6">
        <v>0.0</v>
      </c>
    </row>
    <row r="664" ht="15.75" customHeight="1">
      <c r="A664" s="4">
        <f t="shared" si="1"/>
        <v>663</v>
      </c>
      <c r="B664" s="12" t="s">
        <v>854</v>
      </c>
      <c r="C664" s="10" t="str">
        <f>IFERROR(__xludf.DUMMYFUNCTION("GOOGLETRANSLATE(B664,""in"", ""en"")"),"Lacking soundproof, noisy from other boxes is quite annoying")</f>
        <v>Lacking soundproof, noisy from other boxes is quite annoying</v>
      </c>
      <c r="D664" s="6">
        <v>2.0</v>
      </c>
      <c r="E664" s="6">
        <v>0.0</v>
      </c>
    </row>
    <row r="665" ht="15.75" customHeight="1">
      <c r="A665" s="4">
        <f t="shared" si="1"/>
        <v>664</v>
      </c>
      <c r="B665" s="12" t="s">
        <v>855</v>
      </c>
      <c r="C665" s="10" t="str">
        <f>IFERROR(__xludf.DUMMYFUNCTION("GOOGLETRANSLATE(B665,""in"", ""en"")"),"Service when cak in and check out very ugly 👎")</f>
        <v>Service when cak in and check out very ugly 👎</v>
      </c>
      <c r="D665" s="6">
        <v>2.0</v>
      </c>
      <c r="E665" s="6">
        <v>1.0</v>
      </c>
    </row>
    <row r="666" ht="15.75" customHeight="1">
      <c r="A666" s="4">
        <f t="shared" si="1"/>
        <v>665</v>
      </c>
      <c r="B666" s="12" t="s">
        <v>856</v>
      </c>
      <c r="C666" s="10" t="str">
        <f>IFERROR(__xludf.DUMMYFUNCTION("GOOGLETRANSLATE(B666,""in"", ""en"")"),"Noisy")</f>
        <v>Noisy</v>
      </c>
      <c r="D666" s="6">
        <v>2.0</v>
      </c>
      <c r="E666" s="6">
        <v>0.0</v>
      </c>
    </row>
    <row r="667" ht="15.75" customHeight="1">
      <c r="A667" s="4">
        <f t="shared" si="1"/>
        <v>666</v>
      </c>
      <c r="B667" s="12" t="s">
        <v>857</v>
      </c>
      <c r="C667" s="10" t="str">
        <f>IFERROR(__xludf.DUMMYFUNCTION("GOOGLETRANSLATE(B667,""in"", ""en"")"),"The food menu runs out, more varied the food menu")</f>
        <v>The food menu runs out, more varied the food menu</v>
      </c>
      <c r="D667" s="6">
        <v>1.0</v>
      </c>
      <c r="E667" s="6">
        <v>0.0</v>
      </c>
    </row>
    <row r="668" ht="15.75" customHeight="1">
      <c r="A668" s="4">
        <f t="shared" si="1"/>
        <v>667</v>
      </c>
      <c r="B668" s="12" t="s">
        <v>858</v>
      </c>
      <c r="C668" s="10" t="str">
        <f>IFERROR(__xludf.DUMMYFUNCTION("GOOGLETRANSLATE(B668,""in"", ""en"")"),"The air conditioner is not cool")</f>
        <v>The air conditioner is not cool</v>
      </c>
      <c r="D668" s="6">
        <v>2.0</v>
      </c>
      <c r="E668" s="6">
        <v>0.0</v>
      </c>
    </row>
    <row r="669" ht="15.75" customHeight="1">
      <c r="A669" s="4">
        <f t="shared" si="1"/>
        <v>668</v>
      </c>
      <c r="B669" s="12" t="s">
        <v>859</v>
      </c>
      <c r="C669" s="10" t="str">
        <f>IFERROR(__xludf.DUMMYFUNCTION("GOOGLETRANSLATE(B669,""in"", ""en"")"),"On the second floor, the women's toilet one of the cubicles is not a key")</f>
        <v>On the second floor, the women's toilet one of the cubicles is not a key</v>
      </c>
      <c r="D669" s="6">
        <v>3.0</v>
      </c>
      <c r="E669" s="6">
        <v>0.0</v>
      </c>
    </row>
    <row r="670" ht="15.75" customHeight="1">
      <c r="A670" s="4">
        <f t="shared" si="1"/>
        <v>669</v>
      </c>
      <c r="B670" s="12" t="s">
        <v>860</v>
      </c>
      <c r="C670" s="10" t="str">
        <f>IFERROR(__xludf.DUMMYFUNCTION("GOOGLETRANSLATE(B670,""in"", ""en"")"),"Dirty elevator")</f>
        <v>Dirty elevator</v>
      </c>
      <c r="D670" s="6">
        <v>2.0</v>
      </c>
      <c r="E670" s="6">
        <v>0.0</v>
      </c>
    </row>
    <row r="671" ht="15.75" customHeight="1">
      <c r="A671" s="4">
        <f t="shared" si="1"/>
        <v>670</v>
      </c>
      <c r="B671" s="12" t="s">
        <v>861</v>
      </c>
      <c r="C671" s="10" t="str">
        <f>IFERROR(__xludf.DUMMYFUNCTION("GOOGLETRANSLATE(B671,""in"", ""en"")"),"Cleanliness")</f>
        <v>Cleanliness</v>
      </c>
      <c r="D671" s="6">
        <v>2.0</v>
      </c>
      <c r="E671" s="6">
        <v>0.0</v>
      </c>
    </row>
    <row r="672" ht="15.75" customHeight="1">
      <c r="A672" s="4">
        <f t="shared" si="1"/>
        <v>671</v>
      </c>
      <c r="B672" s="12" t="s">
        <v>862</v>
      </c>
      <c r="C672" s="10" t="str">
        <f>IFERROR(__xludf.DUMMYFUNCTION("GOOGLETRANSLATE(B672,""in"", ""en"")"),"Because there may be improvements so it is disturbed when sleeping, the same as the function of the door is not optimal/ can't be locked it turns out, the same is the same in the Malang square, but the rest is okay, the same as the locker key system can b"&amp;"e changed using QR as well as in Malang ,, thanks the rest is okay very")</f>
        <v>Because there may be improvements so it is disturbed when sleeping, the same as the function of the door is not optimal/ can't be locked it turns out, the same is the same in the Malang square, but the rest is okay, the same as the locker key system can be changed using QR as well as in Malang ,, thanks the rest is okay very</v>
      </c>
      <c r="D672" s="6">
        <v>2.0</v>
      </c>
      <c r="E672" s="6">
        <v>1.0</v>
      </c>
    </row>
    <row r="673" ht="15.75" customHeight="1">
      <c r="A673" s="4">
        <f t="shared" si="1"/>
        <v>672</v>
      </c>
      <c r="B673" s="12" t="s">
        <v>863</v>
      </c>
      <c r="C673" s="10" t="str">
        <f>IFERROR(__xludf.DUMMYFUNCTION("GOOGLETRANSLATE(B673,""in"", ""en"")"),"The AC and the socket did not work. The air conditioner is really small, making sleep uncomfortable, the heat is just chatting just in the right stop, the AC still doesn't work. The parking guard was also judicially asked to be able to park or not the ans"&amp;"wer was not finally parked at another TMPT.")</f>
        <v>The AC and the socket did not work. The air conditioner is really small, making sleep uncomfortable, the heat is just chatting just in the right stop, the AC still doesn't work. The parking guard was also judicially asked to be able to park or not the answer was not finally parked at another TMPT.</v>
      </c>
      <c r="D673" s="6">
        <v>2.0</v>
      </c>
      <c r="E673" s="6">
        <v>0.0</v>
      </c>
    </row>
    <row r="674" ht="15.75" customHeight="1">
      <c r="A674" s="4">
        <f t="shared" si="1"/>
        <v>673</v>
      </c>
      <c r="B674" s="12" t="s">
        <v>864</v>
      </c>
      <c r="C674" s="10" t="str">
        <f>IFERROR(__xludf.DUMMYFUNCTION("GOOGLETRANSLATE(B674,""in"", ""en"")"),"Hot air conditioner
Host C/I doesn't help at all")</f>
        <v>Hot air conditioner
Host C/I doesn't help at all</v>
      </c>
      <c r="D674" s="6">
        <v>3.0</v>
      </c>
      <c r="E674" s="6">
        <v>0.0</v>
      </c>
    </row>
    <row r="675" ht="15.75" customHeight="1">
      <c r="A675" s="4">
        <f t="shared" si="1"/>
        <v>674</v>
      </c>
      <c r="B675" s="12" t="s">
        <v>865</v>
      </c>
      <c r="C675" s="10" t="str">
        <f>IFERROR(__xludf.DUMMYFUNCTION("GOOGLETRANSLATE(B675,""in"", ""en"")"),"Lights often have problems
Uda d correctin damaged again
All night, the lamp could not die")</f>
        <v>Lights often have problems
Uda d correctin damaged again
All night, the lamp could not die</v>
      </c>
      <c r="D675" s="6">
        <v>2.0</v>
      </c>
      <c r="E675" s="6">
        <v>1.0</v>
      </c>
    </row>
    <row r="676" ht="15.75" customHeight="1">
      <c r="A676" s="4">
        <f t="shared" si="1"/>
        <v>675</v>
      </c>
      <c r="B676" s="12" t="s">
        <v>866</v>
      </c>
      <c r="C676" s="10" t="str">
        <f>IFERROR(__xludf.DUMMYFUNCTION("GOOGLETRANSLATE(B676,""in"", ""en"")"),"dirty, the edge of the mattress is slightly dusty, the elevator smells")</f>
        <v>dirty, the edge of the mattress is slightly dusty, the elevator smells</v>
      </c>
      <c r="D676" s="6">
        <v>3.0</v>
      </c>
      <c r="E676" s="6">
        <v>0.0</v>
      </c>
    </row>
    <row r="677" ht="15.75" customHeight="1">
      <c r="A677" s="4">
        <f t="shared" si="1"/>
        <v>676</v>
      </c>
      <c r="B677" s="12" t="s">
        <v>867</v>
      </c>
      <c r="C677" s="10" t="str">
        <f>IFERROR(__xludf.DUMMYFUNCTION("GOOGLETRANSLATE(B677,""in"", ""en"")"),"dirty elevator smells, urinator is often damaged, sometimes there are bite ants in the room, mosquitoes are also a bit, a bit itchy here is strange")</f>
        <v>dirty elevator smells, urinator is often damaged, sometimes there are bite ants in the room, mosquitoes are also a bit, a bit itchy here is strange</v>
      </c>
      <c r="D677" s="6">
        <v>3.0</v>
      </c>
      <c r="E677" s="6">
        <v>0.0</v>
      </c>
    </row>
    <row r="678" ht="15.75" customHeight="1">
      <c r="A678" s="4">
        <f t="shared" si="1"/>
        <v>677</v>
      </c>
      <c r="B678" s="12" t="s">
        <v>868</v>
      </c>
      <c r="C678" s="10" t="str">
        <f>IFERROR(__xludf.DUMMYFUNCTION("GOOGLETRANSLATE(B678,""in"", ""en"")"),"Sarong pillow is very smelly, really smells until it doesn't use 2 pillows to sleep.
Order Bfast Set A (Self Cook) but there is no but not provided butter at all, as a result eggs and dry sausages are really.")</f>
        <v>Sarong pillow is very smelly, really smells until it doesn't use 2 pillows to sleep.
Order Bfast Set A (Self Cook) but there is no but not provided butter at all, as a result eggs and dry sausages are really.</v>
      </c>
      <c r="D678" s="6">
        <v>3.0</v>
      </c>
      <c r="E678" s="6">
        <v>0.0</v>
      </c>
    </row>
    <row r="679" ht="15.75" customHeight="1">
      <c r="A679" s="4">
        <f t="shared" si="1"/>
        <v>678</v>
      </c>
      <c r="B679" s="12" t="s">
        <v>869</v>
      </c>
      <c r="C679" s="10" t="str">
        <f>IFERROR(__xludf.DUMMYFUNCTION("GOOGLETRANSLATE(B679,""in"", ""en"")"),"My upper mattress was squeezed all night because my upper occupants were noisy. So I have difficulty sleeping")</f>
        <v>My upper mattress was squeezed all night because my upper occupants were noisy. So I have difficulty sleeping</v>
      </c>
      <c r="D679" s="6">
        <v>2.0</v>
      </c>
      <c r="E679" s="6">
        <v>0.0</v>
      </c>
    </row>
    <row r="680" ht="15.75" customHeight="1">
      <c r="A680" s="4">
        <f t="shared" si="1"/>
        <v>679</v>
      </c>
      <c r="B680" s="12" t="s">
        <v>870</v>
      </c>
      <c r="C680" s="10" t="str">
        <f>IFERROR(__xludf.DUMMYFUNCTION("GOOGLETRANSLATE(B680,""in"", ""en"")"),"The air conditioner has water droplets")</f>
        <v>The air conditioner has water droplets</v>
      </c>
      <c r="D680" s="6">
        <v>3.0</v>
      </c>
      <c r="E680" s="6">
        <v>0.0</v>
      </c>
    </row>
    <row r="681" ht="15.75" customHeight="1">
      <c r="A681" s="4">
        <f t="shared" si="1"/>
        <v>680</v>
      </c>
      <c r="B681" s="12" t="s">
        <v>871</v>
      </c>
      <c r="C681" s="10" t="str">
        <f>IFERROR(__xludf.DUMMYFUNCTION("GOOGLETRANSLATE(B681,""in"", ""en"")"),"The mattress is hard, the pillow is uncomfortable filling the pillow. The bathroom lights should be distinguished from the headlights because if you go to the bathroom at night, if you turn on the lights disturb the sleeping. Good and friendly service sta"&amp;"ff.")</f>
        <v>The mattress is hard, the pillow is uncomfortable filling the pillow. The bathroom lights should be distinguished from the headlights because if you go to the bathroom at night, if you turn on the lights disturb the sleeping. Good and friendly service staff.</v>
      </c>
      <c r="D681" s="6">
        <v>2.0</v>
      </c>
      <c r="E681" s="6">
        <v>0.0</v>
      </c>
    </row>
    <row r="682" ht="15.75" customHeight="1">
      <c r="A682" s="4">
        <f t="shared" si="1"/>
        <v>681</v>
      </c>
      <c r="B682" s="12" t="s">
        <v>872</v>
      </c>
      <c r="C682" s="10" t="str">
        <f>IFERROR(__xludf.DUMMYFUNCTION("GOOGLETRANSLATE(B682,""in"", ""en"")"),"Too bad the parking lot is far, it's not like when working with Kings is really good for the parking lot and there is no need to spend money back to park. AC cover in the falling room")</f>
        <v>Too bad the parking lot is far, it's not like when working with Kings is really good for the parking lot and there is no need to spend money back to park. AC cover in the falling room</v>
      </c>
      <c r="D682" s="6">
        <v>2.0</v>
      </c>
      <c r="E682" s="6">
        <v>0.0</v>
      </c>
    </row>
    <row r="683" ht="15.75" customHeight="1">
      <c r="A683" s="4">
        <f t="shared" si="1"/>
        <v>682</v>
      </c>
      <c r="B683" s="12" t="s">
        <v>873</v>
      </c>
      <c r="C683" s="10" t="str">
        <f>IFERROR(__xludf.DUMMYFUNCTION("GOOGLETRANSLATE(B683,""in"", ""en"")"),"Pod comfortable so far so good but not for the toilet .. toilet a lot of musty smell like rarely cleaned")</f>
        <v>Pod comfortable so far so good but not for the toilet .. toilet a lot of musty smell like rarely cleaned</v>
      </c>
      <c r="D683" s="6">
        <v>2.0</v>
      </c>
      <c r="E683" s="6">
        <v>0.0</v>
      </c>
    </row>
    <row r="684" ht="15.75" customHeight="1">
      <c r="A684" s="4">
        <f t="shared" si="1"/>
        <v>683</v>
      </c>
      <c r="B684" s="12" t="s">
        <v>874</v>
      </c>
      <c r="C684" s="10" t="str">
        <f>IFERROR(__xludf.DUMMYFUNCTION("GOOGLETRANSLATE(B684,""in"", ""en"")"),"Gasopan the officer as long as it enters the room and interferes with bedtime, there is no word apologize")</f>
        <v>Gasopan the officer as long as it enters the room and interferes with bedtime, there is no word apologize</v>
      </c>
      <c r="D684" s="6">
        <v>3.0</v>
      </c>
      <c r="E684" s="6">
        <v>0.0</v>
      </c>
    </row>
    <row r="685" ht="15.75" customHeight="1">
      <c r="A685" s="4">
        <f t="shared" si="1"/>
        <v>684</v>
      </c>
      <c r="B685" s="12" t="s">
        <v>875</v>
      </c>
      <c r="C685" s="10" t="str">
        <f>IFERROR(__xludf.DUMMYFUNCTION("GOOGLETRANSLATE(B685,""in"", ""en"")"),"Can't get a bag, even though it's just a Friday")</f>
        <v>Can't get a bag, even though it's just a Friday</v>
      </c>
      <c r="D685" s="6">
        <v>1.0</v>
      </c>
      <c r="E685" s="6">
        <v>0.0</v>
      </c>
    </row>
    <row r="686" ht="15.75" customHeight="1">
      <c r="A686" s="4">
        <f t="shared" si="1"/>
        <v>685</v>
      </c>
      <c r="B686" s="12" t="s">
        <v>876</v>
      </c>
      <c r="C686" s="10" t="str">
        <f>IFERROR(__xludf.DUMMYFUNCTION("GOOGLETRANSLATE(B686,""in"", ""en"")"),"Less comfortable in terms of floor plans and others "", the staff may be increased hospitality, the water is hot")</f>
        <v>Less comfortable in terms of floor plans and others ", the staff may be increased hospitality, the water is hot</v>
      </c>
      <c r="D686" s="6">
        <v>2.0</v>
      </c>
      <c r="E686" s="6">
        <v>0.0</v>
      </c>
    </row>
    <row r="687" ht="15.75" customHeight="1">
      <c r="A687" s="4">
        <f t="shared" si="1"/>
        <v>686</v>
      </c>
      <c r="B687" s="12" t="s">
        <v>877</v>
      </c>
      <c r="C687" s="10" t="str">
        <f>IFERROR(__xludf.DUMMYFUNCTION("GOOGLETRANSLATE(B687,""in"", ""en"")"),"can be pod 03 asking for movement, you can't, but there is a sound of footsteps with people passing by")</f>
        <v>can be pod 03 asking for movement, you can't, but there is a sound of footsteps with people passing by</v>
      </c>
      <c r="D687" s="6">
        <v>1.0</v>
      </c>
      <c r="E687" s="6">
        <v>0.0</v>
      </c>
    </row>
    <row r="688" ht="15.75" customHeight="1">
      <c r="A688" s="4">
        <f t="shared" si="1"/>
        <v>687</v>
      </c>
      <c r="B688" s="12" t="s">
        <v>878</v>
      </c>
      <c r="C688" s="10" t="str">
        <f>IFERROR(__xludf.DUMMYFUNCTION("GOOGLETRANSLATE(B688,""in"", ""en"")"),"Your bed clean but smell :(
If for facilities and services it's ok")</f>
        <v>Your bed clean but smell :(
If for facilities and services it's ok</v>
      </c>
      <c r="D688" s="6">
        <v>2.0</v>
      </c>
      <c r="E688" s="6">
        <v>0.0</v>
      </c>
    </row>
    <row r="689" ht="15.75" customHeight="1">
      <c r="A689" s="4">
        <f t="shared" si="1"/>
        <v>688</v>
      </c>
      <c r="B689" s="12" t="s">
        <v>879</v>
      </c>
      <c r="C689" s="10" t="str">
        <f>IFERROR(__xludf.DUMMYFUNCTION("GOOGLETRANSLATE(B689,""in"", ""en"")"),"Specially for Bobobox Malang Square, this is the third time I stayed here and honestly I was somewhat disappointed,
1. I don't know yet that there is a free charge card now for parking that must be taken at the receptionist while the receptionist does not"&amp;" tell anything
2. Security that does not respond quickly when I am confused confusion just glares from toe to head")</f>
        <v>Specially for Bobobox Malang Square, this is the third time I stayed here and honestly I was somewhat disappointed,
1. I don't know yet that there is a free charge card now for parking that must be taken at the receptionist while the receptionist does not tell anything
2. Security that does not respond quickly when I am confused confusion just glares from toe to head</v>
      </c>
      <c r="D689" s="6">
        <v>3.0</v>
      </c>
      <c r="E689" s="6">
        <v>0.0</v>
      </c>
    </row>
    <row r="690" ht="15.75" customHeight="1">
      <c r="A690" s="4">
        <f t="shared" si="1"/>
        <v>689</v>
      </c>
      <c r="B690" s="12" t="s">
        <v>880</v>
      </c>
      <c r="C690" s="10" t="str">
        <f>IFERROR(__xludf.DUMMYFUNCTION("GOOGLETRANSLATE(B690,""in"", ""en"")"),"The central air conditioner is too cold, the air conditioner hole in the room has been closed. But it's still cool in the room. And the shower in the men's bathroom on the 1st floor that is damaged, the water is very small. The middle toilet is also broke"&amp;"n.")</f>
        <v>The central air conditioner is too cold, the air conditioner hole in the room has been closed. But it's still cool in the room. And the shower in the men's bathroom on the 1st floor that is damaged, the water is very small. The middle toilet is also broken.</v>
      </c>
      <c r="D690" s="6">
        <v>2.0</v>
      </c>
      <c r="E690" s="6">
        <v>0.0</v>
      </c>
    </row>
    <row r="691" ht="15.75" customHeight="1">
      <c r="A691" s="4">
        <f t="shared" si="1"/>
        <v>690</v>
      </c>
      <c r="B691" s="12" t="s">
        <v>881</v>
      </c>
      <c r="C691" s="10" t="str">
        <f>IFERROR(__xludf.DUMMYFUNCTION("GOOGLETRANSLATE(B691,""in"", ""en"")"),"There is no parking lot from the Bobobox party to park outside at a rate of 20k/day")</f>
        <v>There is no parking lot from the Bobobox party to park outside at a rate of 20k/day</v>
      </c>
      <c r="D691" s="6">
        <v>2.0</v>
      </c>
      <c r="E691" s="6">
        <v>0.0</v>
      </c>
    </row>
    <row r="692" ht="15.75" customHeight="1">
      <c r="A692" s="4">
        <f t="shared" si="1"/>
        <v>691</v>
      </c>
      <c r="B692" s="12" t="s">
        <v>882</v>
      </c>
      <c r="C692" s="10" t="str">
        <f>IFERROR(__xludf.DUMMYFUNCTION("GOOGLETRANSLATE(B692,""in"", ""en"")"),"Dirty even though the place is ok. The maintenance is ok")</f>
        <v>Dirty even though the place is ok. The maintenance is ok</v>
      </c>
      <c r="D692" s="6">
        <v>2.0</v>
      </c>
      <c r="E692" s="6">
        <v>0.0</v>
      </c>
    </row>
    <row r="693" ht="15.75" customHeight="1">
      <c r="A693" s="4">
        <f t="shared" si="1"/>
        <v>692</v>
      </c>
      <c r="B693" s="12" t="s">
        <v>883</v>
      </c>
      <c r="C693" s="10" t="str">
        <f>IFERROR(__xludf.DUMMYFUNCTION("GOOGLETRANSLATE(B693,""in"", ""en"")"),"Stayed here a couple of years ago and everything was great! Stayed here again yes, when I arrived the female toilet was closed due to the regular cleaning. An hour later i went and it stank so bad! The smell of urine is really even though the bath is dry "&amp;"and a lot of small flies throughout the toilet. Because I really have been a shower because I am not comfortable. The others are okay, service and kmr okay.")</f>
        <v>Stayed here a couple of years ago and everything was great! Stayed here again yes, when I arrived the female toilet was closed due to the regular cleaning. An hour later i went and it stank so bad! The smell of urine is really even though the bath is dry and a lot of small flies throughout the toilet. Because I really have been a shower because I am not comfortable. The others are okay, service and kmr okay.</v>
      </c>
      <c r="D693" s="6">
        <v>3.0</v>
      </c>
      <c r="E693" s="6">
        <v>0.0</v>
      </c>
    </row>
    <row r="694" ht="15.75" customHeight="1">
      <c r="A694" s="4">
        <f t="shared" si="1"/>
        <v>693</v>
      </c>
      <c r="B694" s="12" t="s">
        <v>884</v>
      </c>
      <c r="C694" s="10" t="str">
        <f>IFERROR(__xludf.DUMMYFUNCTION("GOOGLETRANSLATE(B694,""in"", ""en"")"),"Room Facilities must be cleaner again")</f>
        <v>Room Facilities must be cleaner again</v>
      </c>
      <c r="D694" s="6">
        <v>3.0</v>
      </c>
      <c r="E694" s="6">
        <v>0.0</v>
      </c>
    </row>
    <row r="695" ht="15.75" customHeight="1">
      <c r="A695" s="4">
        <f t="shared" si="1"/>
        <v>694</v>
      </c>
      <c r="B695" s="12" t="s">
        <v>885</v>
      </c>
      <c r="C695" s="10" t="str">
        <f>IFERROR(__xludf.DUMMYFUNCTION("GOOGLETRANSLATE(B695,""in"", ""en"")"),"Need Pest Control. Cleaniness Need to Be Upgraded")</f>
        <v>Need Pest Control. Cleaniness Need to Be Upgraded</v>
      </c>
      <c r="D695" s="6">
        <v>2.0</v>
      </c>
      <c r="E695" s="6">
        <v>0.0</v>
      </c>
    </row>
    <row r="696" ht="15.75" customHeight="1">
      <c r="A696" s="4">
        <f t="shared" si="1"/>
        <v>695</v>
      </c>
      <c r="B696" s="12" t="s">
        <v>886</v>
      </c>
      <c r="C696" s="10" t="str">
        <f>IFERROR(__xludf.DUMMYFUNCTION("GOOGLETRANSLATE(B696,""in"", ""en"")"),"Toilet leaked so the water everywhere and smells
It's very hot morning
Not black out
")</f>
        <v>Toilet leaked so the water everywhere and smells
It's very hot morning
Not black out
</v>
      </c>
      <c r="D696" s="6">
        <v>3.0</v>
      </c>
      <c r="E696" s="6">
        <v>0.0</v>
      </c>
    </row>
    <row r="697" ht="15.75" customHeight="1">
      <c r="A697" s="4">
        <f t="shared" si="1"/>
        <v>696</v>
      </c>
      <c r="B697" s="12" t="s">
        <v>887</v>
      </c>
      <c r="C697" s="10" t="str">
        <f>IFERROR(__xludf.DUMMYFUNCTION("GOOGLETRANSLATE(B697,""in"", ""en"")"),"Please clean the bathroom for men for men, and the one who cleans the bathroom of women for women, in my opinion if the gender cross is not so comfortable, thank you")</f>
        <v>Please clean the bathroom for men for men, and the one who cleans the bathroom of women for women, in my opinion if the gender cross is not so comfortable, thank you</v>
      </c>
      <c r="D697" s="6">
        <v>2.0</v>
      </c>
      <c r="E697" s="6">
        <v>0.0</v>
      </c>
    </row>
    <row r="698" ht="15.75" customHeight="1">
      <c r="A698" s="4">
        <f t="shared" si="1"/>
        <v>697</v>
      </c>
      <c r="B698" s="12" t="s">
        <v>888</v>
      </c>
      <c r="C698" s="10" t="str">
        <f>IFERROR(__xludf.DUMMYFUNCTION("GOOGLETRANSLATE(B698,""in"", ""en"")"),"Lacking soundproof. Wake up because the pod is close to the door.")</f>
        <v>Lacking soundproof. Wake up because the pod is close to the door.</v>
      </c>
      <c r="D698" s="6">
        <v>2.0</v>
      </c>
      <c r="E698" s="6">
        <v>0.0</v>
      </c>
    </row>
    <row r="699" ht="15.75" customHeight="1">
      <c r="A699" s="4">
        <f t="shared" si="1"/>
        <v>698</v>
      </c>
      <c r="B699" s="12" t="s">
        <v>889</v>
      </c>
      <c r="C699" s="10" t="str">
        <f>IFERROR(__xludf.DUMMYFUNCTION("GOOGLETRANSLATE(B699,""in"", ""en"")"),"Would be nice if people could leave luggage after check-out to pick up later in case they have a late departure from the city and want to explore more.")</f>
        <v>Would be nice if people could leave luggage after check-out to pick up later in case they have a late departure from the city and want to explore more.</v>
      </c>
      <c r="D699" s="6">
        <v>2.0</v>
      </c>
      <c r="E699" s="6">
        <v>0.0</v>
      </c>
    </row>
    <row r="700" ht="15.75" customHeight="1">
      <c r="A700" s="4">
        <f t="shared" si="1"/>
        <v>699</v>
      </c>
      <c r="B700" s="12" t="s">
        <v>890</v>
      </c>
      <c r="C700" s="10" t="str">
        <f>IFERROR(__xludf.DUMMYFUNCTION("GOOGLETRANSLATE(B700,""in"", ""en"")"),"The mattics turned out to be really hard
Beyond that so far so good")</f>
        <v>The mattics turned out to be really hard
Beyond that so far so good</v>
      </c>
      <c r="D700" s="6">
        <v>2.0</v>
      </c>
      <c r="E700" s="6">
        <v>0.0</v>
      </c>
    </row>
    <row r="701" ht="15.75" customHeight="1">
      <c r="A701" s="4">
        <f t="shared" si="1"/>
        <v>700</v>
      </c>
      <c r="B701" s="12" t="s">
        <v>891</v>
      </c>
      <c r="C701" s="10" t="str">
        <f>IFERROR(__xludf.DUMMYFUNCTION("GOOGLETRANSLATE(B701,""in"", ""en"")"),"The toilet smells, please provide rich mineral water first in every room and brush your teeth")</f>
        <v>The toilet smells, please provide rich mineral water first in every room and brush your teeth</v>
      </c>
      <c r="D701" s="6">
        <v>2.0</v>
      </c>
      <c r="E701" s="6">
        <v>0.0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2023-05-25T15:02:05Z</dcterms:created>
  <dc:creator>openpyxl</dc:creator>
</cp:coreProperties>
</file>