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showObjects="none" codeName="ThisWorkbook" hidePivotFieldList="1"/>
  <mc:AlternateContent xmlns:mc="http://schemas.openxmlformats.org/markup-compatibility/2006">
    <mc:Choice Requires="x15">
      <x15ac:absPath xmlns:x15ac="http://schemas.microsoft.com/office/spreadsheetml/2010/11/ac" url="E:\Coding\Data anaylsis\Data Visualization with Advanced Excel\Week2\"/>
    </mc:Choice>
  </mc:AlternateContent>
  <xr:revisionPtr revIDLastSave="0" documentId="13_ncr:1_{C8CD6DD5-B4C2-4EAD-B34A-6ED76FAF9621}" xr6:coauthVersionLast="47" xr6:coauthVersionMax="47" xr10:uidLastSave="{00000000-0000-0000-0000-000000000000}"/>
  <bookViews>
    <workbookView xWindow="-120" yWindow="-120" windowWidth="20730" windowHeight="11160" tabRatio="757" firstSheet="2" activeTab="3" xr2:uid="{00000000-000D-0000-FFFF-FFFF00000000}"/>
  </bookViews>
  <sheets>
    <sheet name="Cover Page" sheetId="1" r:id="rId1"/>
    <sheet name="Exercises&gt;&gt;&gt;" sheetId="24" r:id="rId2"/>
    <sheet name="Scenario Summary" sheetId="25" r:id="rId3"/>
    <sheet name="ANS Exercise 1 - 6" sheetId="12" r:id="rId4"/>
    <sheet name="Section 1 - Student Exercises" sheetId="23" state="hidden" r:id="rId5"/>
    <sheet name="List Data" sheetId="22" state="hidden" r:id="rId6"/>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Likelihood_bins">'ANS Exercise 1 - 6'!$B$181:$D$185</definedName>
    <definedName name="Max_Cost_per_Mile">'ANS Exercise 1 - 6'!$G$174</definedName>
    <definedName name="Min_Cost_per_Mile">'ANS Exercise 1 - 6'!$F$174</definedName>
    <definedName name="Pal_Workbook_GUID" hidden="1">"CTTQCFQA4L55IB91XL1C7ZC8"</definedName>
    <definedName name="Revenue_Per_Passenger">'ANS Exercise 1 - 6'!$H$174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3" hidden="1">'ANS Exercise 1 - 6'!$C$292:$G$292</definedName>
    <definedName name="solver_adj" localSheetId="4" hidden="1">'Section 1 - Student Exercises'!#REF!</definedName>
    <definedName name="solver_cvg" localSheetId="3" hidden="1">0.0001</definedName>
    <definedName name="solver_cvg" localSheetId="4" hidden="1">0.0001</definedName>
    <definedName name="solver_drv" localSheetId="3" hidden="1">1</definedName>
    <definedName name="solver_drv" localSheetId="4" hidden="1">2</definedName>
    <definedName name="solver_eng" localSheetId="3" hidden="1">2</definedName>
    <definedName name="solver_eng" localSheetId="4" hidden="1">1</definedName>
    <definedName name="solver_est" localSheetId="3" hidden="1">1</definedName>
    <definedName name="solver_est" localSheetId="4" hidden="1">1</definedName>
    <definedName name="solver_itr" localSheetId="3" hidden="1">2147483647</definedName>
    <definedName name="solver_itr" localSheetId="4" hidden="1">2147483647</definedName>
    <definedName name="solver_lhs1" localSheetId="3" hidden="1">'ANS Exercise 1 - 6'!$C$292:$G$292</definedName>
    <definedName name="solver_lhs1" localSheetId="4" hidden="1">'Section 1 - Student Exercises'!#REF!</definedName>
    <definedName name="solver_lhs2" localSheetId="3" hidden="1">'ANS Exercise 1 - 6'!$I$296</definedName>
    <definedName name="solver_lhs2" localSheetId="4" hidden="1">'Section 1 - Student Exercises'!#REF!</definedName>
    <definedName name="solver_mip" localSheetId="3" hidden="1">2147483647</definedName>
    <definedName name="solver_mip" localSheetId="4" hidden="1">2147483647</definedName>
    <definedName name="solver_mni" localSheetId="3" hidden="1">30</definedName>
    <definedName name="solver_mni" localSheetId="4" hidden="1">30</definedName>
    <definedName name="solver_mrt" localSheetId="3" hidden="1">0.075</definedName>
    <definedName name="solver_mrt" localSheetId="4" hidden="1">0.075</definedName>
    <definedName name="solver_msl" localSheetId="3" hidden="1">2</definedName>
    <definedName name="solver_msl" localSheetId="4" hidden="1">2</definedName>
    <definedName name="solver_neg" localSheetId="3" hidden="1">2</definedName>
    <definedName name="solver_neg" localSheetId="4" hidden="1">1</definedName>
    <definedName name="solver_nod" localSheetId="3" hidden="1">2147483647</definedName>
    <definedName name="solver_nod" localSheetId="4" hidden="1">2147483647</definedName>
    <definedName name="solver_num" localSheetId="3" hidden="1">2</definedName>
    <definedName name="solver_num" localSheetId="4" hidden="1">2</definedName>
    <definedName name="solver_nwt" localSheetId="3" hidden="1">1</definedName>
    <definedName name="solver_nwt" localSheetId="4" hidden="1">1</definedName>
    <definedName name="solver_opt" localSheetId="3" hidden="1">'ANS Exercise 1 - 6'!$I$293</definedName>
    <definedName name="solver_opt" localSheetId="4" hidden="1">'Section 1 - Student Exercises'!#REF!</definedName>
    <definedName name="solver_pre" localSheetId="3" hidden="1">0.000001</definedName>
    <definedName name="solver_pre" localSheetId="4" hidden="1">0.000001</definedName>
    <definedName name="solver_rbv" localSheetId="3" hidden="1">1</definedName>
    <definedName name="solver_rbv" localSheetId="4" hidden="1">2</definedName>
    <definedName name="solver_rel1" localSheetId="3" hidden="1">5</definedName>
    <definedName name="solver_rel1" localSheetId="4" hidden="1">5</definedName>
    <definedName name="solver_rel2" localSheetId="3" hidden="1">1</definedName>
    <definedName name="solver_rel2" localSheetId="4" hidden="1">1</definedName>
    <definedName name="solver_rhs1" localSheetId="3" hidden="1">"binary"</definedName>
    <definedName name="solver_rhs1" localSheetId="4" hidden="1">binary</definedName>
    <definedName name="solver_rhs2" localSheetId="3" hidden="1">'ANS Exercise 1 - 6'!$K$296</definedName>
    <definedName name="solver_rhs2" localSheetId="4" hidden="1">'Section 1 - Student Exercises'!#REF!</definedName>
    <definedName name="solver_rlx" localSheetId="3" hidden="1">2</definedName>
    <definedName name="solver_rlx" localSheetId="4" hidden="1">2</definedName>
    <definedName name="solver_rsd" localSheetId="3" hidden="1">0</definedName>
    <definedName name="solver_rsd" localSheetId="4" hidden="1">0</definedName>
    <definedName name="solver_scl" localSheetId="3" hidden="1">1</definedName>
    <definedName name="solver_scl" localSheetId="4" hidden="1">2</definedName>
    <definedName name="solver_sho" localSheetId="3" hidden="1">2</definedName>
    <definedName name="solver_sho" localSheetId="4" hidden="1">2</definedName>
    <definedName name="solver_ssz" localSheetId="3" hidden="1">100</definedName>
    <definedName name="solver_ssz" localSheetId="4" hidden="1">100</definedName>
    <definedName name="solver_tim" localSheetId="3" hidden="1">2147483647</definedName>
    <definedName name="solver_tim" localSheetId="4" hidden="1">2147483647</definedName>
    <definedName name="solver_tol" localSheetId="3" hidden="1">0.01</definedName>
    <definedName name="solver_tol" localSheetId="4" hidden="1">0.01</definedName>
    <definedName name="solver_typ" localSheetId="3" hidden="1">1</definedName>
    <definedName name="solver_typ" localSheetId="4" hidden="1">1</definedName>
    <definedName name="solver_val" localSheetId="3" hidden="1">0</definedName>
    <definedName name="solver_val" localSheetId="4" hidden="1">0</definedName>
    <definedName name="solver_ver" localSheetId="3" hidden="1">3</definedName>
    <definedName name="solver_ver" localSheetId="4" hidden="1">3</definedName>
    <definedName name="Total_Miles">'ANS Exercise 1 - 6'!$E$174</definedName>
    <definedName name="wq">'ANS Exercise 1 - 6'!$B$181:$D$185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71" i="12" l="1"/>
  <c r="H270" i="12"/>
  <c r="H269" i="12"/>
  <c r="H268" i="12"/>
  <c r="H267" i="12"/>
  <c r="H266" i="12"/>
  <c r="H265" i="12"/>
  <c r="H264" i="12"/>
  <c r="H263" i="12"/>
  <c r="H262" i="12"/>
  <c r="H261" i="12"/>
  <c r="H260" i="12"/>
  <c r="H259" i="12"/>
  <c r="H258" i="12"/>
  <c r="H257" i="12"/>
  <c r="H256" i="12"/>
  <c r="H255" i="12"/>
  <c r="H254" i="12"/>
  <c r="H253" i="12"/>
  <c r="H252" i="12"/>
  <c r="H251" i="12"/>
  <c r="H250" i="12"/>
  <c r="H249" i="12"/>
  <c r="H248" i="12"/>
  <c r="H247" i="12"/>
  <c r="H246" i="12"/>
  <c r="H245" i="12"/>
  <c r="H244" i="12"/>
  <c r="H243" i="12"/>
  <c r="H242" i="12"/>
  <c r="H241" i="12"/>
  <c r="H240" i="12"/>
  <c r="H239" i="12"/>
  <c r="H238" i="12"/>
  <c r="H237" i="12"/>
  <c r="H236" i="12"/>
  <c r="H235" i="12"/>
  <c r="H234" i="12"/>
  <c r="H233" i="12"/>
  <c r="H232" i="12"/>
  <c r="H231" i="12"/>
  <c r="H230" i="12"/>
  <c r="H229" i="12"/>
  <c r="H228" i="12"/>
  <c r="H227" i="12"/>
  <c r="H226" i="12"/>
  <c r="H225" i="12"/>
  <c r="H224" i="12"/>
  <c r="H223" i="12"/>
  <c r="H222" i="12"/>
  <c r="H221" i="12"/>
  <c r="H220" i="12"/>
  <c r="H219" i="12"/>
  <c r="H218" i="12"/>
  <c r="H217" i="12"/>
  <c r="H216" i="12"/>
  <c r="H215" i="12"/>
  <c r="H214" i="12"/>
  <c r="H213" i="12"/>
  <c r="H212" i="12"/>
  <c r="H211" i="12"/>
  <c r="H210" i="12"/>
  <c r="H209" i="12"/>
  <c r="H208" i="12"/>
  <c r="H207" i="12"/>
  <c r="H206" i="12"/>
  <c r="H205" i="12"/>
  <c r="H204" i="12"/>
  <c r="H203" i="12"/>
  <c r="H202" i="12"/>
  <c r="H201" i="12"/>
  <c r="H200" i="12"/>
  <c r="H199" i="12"/>
  <c r="H198" i="12"/>
  <c r="H197" i="12"/>
  <c r="H196" i="12"/>
  <c r="H195" i="12"/>
  <c r="H194" i="12"/>
  <c r="H193" i="12"/>
  <c r="H192" i="12"/>
  <c r="H191" i="12"/>
  <c r="H190" i="12"/>
  <c r="H189" i="12"/>
  <c r="H188" i="12"/>
  <c r="H187" i="12"/>
  <c r="H186" i="12"/>
  <c r="H185" i="12"/>
  <c r="H184" i="12"/>
  <c r="H183" i="12"/>
  <c r="H182" i="12"/>
  <c r="H27" i="12" l="1"/>
  <c r="H30" i="12"/>
  <c r="I293" i="12" l="1"/>
  <c r="I296" i="12"/>
  <c r="C148" i="12" l="1"/>
  <c r="C147" i="12"/>
  <c r="F65" i="12"/>
  <c r="E65" i="12" s="1"/>
  <c r="D65" i="12" s="1"/>
  <c r="C65" i="12" s="1"/>
  <c r="A3" i="12"/>
  <c r="A2" i="12"/>
  <c r="A1" i="12"/>
  <c r="C149" i="12" l="1"/>
  <c r="F142" i="12" s="1"/>
  <c r="G65" i="12"/>
  <c r="H65" i="12" s="1"/>
  <c r="I65" i="12" s="1"/>
  <c r="J65" i="12" s="1"/>
  <c r="C119" i="12" l="1"/>
  <c r="C118" i="12"/>
  <c r="D183" i="12"/>
  <c r="D184" i="12"/>
  <c r="D185" i="12"/>
  <c r="D182" i="12"/>
  <c r="I265" i="12" l="1"/>
  <c r="I261" i="12"/>
  <c r="I257" i="12"/>
  <c r="I255" i="12"/>
  <c r="I253" i="12"/>
  <c r="I247" i="12"/>
  <c r="I243" i="12"/>
  <c r="I237" i="12"/>
  <c r="I229" i="12"/>
  <c r="I223" i="12"/>
  <c r="I215" i="12"/>
  <c r="I213" i="12"/>
  <c r="I209" i="12"/>
  <c r="I207" i="12"/>
  <c r="I201" i="12"/>
  <c r="I187" i="12"/>
  <c r="I264" i="12"/>
  <c r="I254" i="12"/>
  <c r="I252" i="12"/>
  <c r="I248" i="12"/>
  <c r="I238" i="12"/>
  <c r="I200" i="12"/>
  <c r="I196" i="12"/>
  <c r="I186" i="12"/>
  <c r="I234" i="12"/>
  <c r="I230" i="12"/>
  <c r="I222" i="12"/>
  <c r="I214" i="12"/>
  <c r="I188" i="12"/>
  <c r="I184" i="12"/>
  <c r="I259" i="12"/>
  <c r="I249" i="12"/>
  <c r="I241" i="12"/>
  <c r="I233" i="12"/>
  <c r="I231" i="12"/>
  <c r="I227" i="12"/>
  <c r="I193" i="12"/>
  <c r="I270" i="12"/>
  <c r="I244" i="12"/>
  <c r="I232" i="12"/>
  <c r="I228" i="12"/>
  <c r="I220" i="12"/>
  <c r="I216" i="12"/>
  <c r="I212" i="12"/>
  <c r="I204" i="12"/>
  <c r="I192" i="12"/>
  <c r="I194" i="12"/>
  <c r="I190" i="12"/>
  <c r="I271" i="12"/>
  <c r="I269" i="12"/>
  <c r="I267" i="12"/>
  <c r="I263" i="12"/>
  <c r="I251" i="12"/>
  <c r="I239" i="12"/>
  <c r="I225" i="12"/>
  <c r="I221" i="12"/>
  <c r="I219" i="12"/>
  <c r="I217" i="12"/>
  <c r="I203" i="12"/>
  <c r="I199" i="12"/>
  <c r="I195" i="12"/>
  <c r="I191" i="12"/>
  <c r="I189" i="12"/>
  <c r="I185" i="12"/>
  <c r="I268" i="12"/>
  <c r="I266" i="12"/>
  <c r="I262" i="12"/>
  <c r="I256" i="12"/>
  <c r="I250" i="12"/>
  <c r="I242" i="12"/>
  <c r="I236" i="12"/>
  <c r="I218" i="12"/>
  <c r="I240" i="12"/>
  <c r="I224" i="12"/>
  <c r="I210" i="12"/>
  <c r="I206" i="12"/>
  <c r="I202" i="12"/>
  <c r="I182" i="12"/>
  <c r="I245" i="12"/>
  <c r="I235" i="12"/>
  <c r="I211" i="12"/>
  <c r="I205" i="12"/>
  <c r="I197" i="12"/>
  <c r="I183" i="12"/>
  <c r="I260" i="12"/>
  <c r="I258" i="12"/>
  <c r="I226" i="12"/>
  <c r="I208" i="12"/>
  <c r="I246" i="12"/>
  <c r="I198" i="12"/>
  <c r="C120" i="12"/>
  <c r="G113" i="12" s="1"/>
  <c r="G68" i="23"/>
  <c r="H68" i="23" s="1"/>
  <c r="I68" i="23" s="1"/>
  <c r="J68" i="23" s="1"/>
  <c r="G67" i="23"/>
  <c r="H67" i="23" s="1"/>
  <c r="I67" i="23" s="1"/>
  <c r="J67" i="23" s="1"/>
  <c r="G66" i="23"/>
  <c r="H66" i="23" s="1"/>
  <c r="E66" i="23"/>
  <c r="D66" i="23"/>
  <c r="F65" i="23"/>
  <c r="E65" i="23" s="1"/>
  <c r="D65" i="23" s="1"/>
  <c r="C65" i="23" s="1"/>
  <c r="E62" i="23"/>
  <c r="E59" i="23"/>
  <c r="E67" i="23" s="1"/>
  <c r="D59" i="23"/>
  <c r="D67" i="23" s="1"/>
  <c r="C59" i="23"/>
  <c r="C62" i="23" s="1"/>
  <c r="F57" i="23"/>
  <c r="F56" i="23"/>
  <c r="F54" i="23"/>
  <c r="E54" i="23" s="1"/>
  <c r="H30" i="23"/>
  <c r="H27" i="23"/>
  <c r="A3" i="23"/>
  <c r="A2" i="23"/>
  <c r="A1" i="23"/>
  <c r="G68" i="12"/>
  <c r="E66" i="12"/>
  <c r="D66" i="12"/>
  <c r="G67" i="12"/>
  <c r="E59" i="12"/>
  <c r="E67" i="12" s="1"/>
  <c r="D59" i="12"/>
  <c r="D67" i="12" s="1"/>
  <c r="C59" i="12"/>
  <c r="C67" i="12" s="1"/>
  <c r="G57" i="23" l="1"/>
  <c r="H57" i="23" s="1"/>
  <c r="D62" i="23"/>
  <c r="G65" i="23"/>
  <c r="H65" i="23" s="1"/>
  <c r="I65" i="23" s="1"/>
  <c r="J65" i="23" s="1"/>
  <c r="G54" i="23"/>
  <c r="H54" i="23" s="1"/>
  <c r="I54" i="23" s="1"/>
  <c r="J54" i="23" s="1"/>
  <c r="K52" i="23" s="1"/>
  <c r="I66" i="23"/>
  <c r="J66" i="23" s="1"/>
  <c r="D54" i="23"/>
  <c r="C54" i="23" s="1"/>
  <c r="G56" i="23"/>
  <c r="F61" i="23"/>
  <c r="C67" i="23"/>
  <c r="F58" i="23"/>
  <c r="F59" i="23" s="1"/>
  <c r="I57" i="23" l="1"/>
  <c r="J57" i="23" s="1"/>
  <c r="F62" i="23"/>
  <c r="G61" i="23"/>
  <c r="H56" i="23"/>
  <c r="G58" i="23"/>
  <c r="G59" i="23" s="1"/>
  <c r="B2" i="22"/>
  <c r="G62" i="23" l="1"/>
  <c r="H61" i="23"/>
  <c r="I56" i="23"/>
  <c r="H58" i="23"/>
  <c r="H59" i="23" s="1"/>
  <c r="H62" i="23" s="1"/>
  <c r="H68" i="12"/>
  <c r="I68" i="12" s="1"/>
  <c r="J68" i="12" s="1"/>
  <c r="H67" i="12"/>
  <c r="I67" i="12" s="1"/>
  <c r="J67" i="12" s="1"/>
  <c r="G66" i="12"/>
  <c r="H66" i="12" s="1"/>
  <c r="I66" i="12" s="1"/>
  <c r="J66" i="12" s="1"/>
  <c r="E62" i="12"/>
  <c r="C62" i="12"/>
  <c r="F57" i="12"/>
  <c r="F56" i="12"/>
  <c r="F54" i="12"/>
  <c r="E54" i="12" s="1"/>
  <c r="F61" i="12" l="1"/>
  <c r="F58" i="12"/>
  <c r="F59" i="12" s="1"/>
  <c r="I61" i="23"/>
  <c r="J56" i="23"/>
  <c r="I58" i="23"/>
  <c r="I59" i="23" s="1"/>
  <c r="G57" i="12"/>
  <c r="H57" i="12" s="1"/>
  <c r="I57" i="12" s="1"/>
  <c r="J57" i="12" s="1"/>
  <c r="D62" i="12"/>
  <c r="D54" i="12"/>
  <c r="C54" i="12" s="1"/>
  <c r="G54" i="12"/>
  <c r="H54" i="12" s="1"/>
  <c r="I54" i="12" s="1"/>
  <c r="J54" i="12" s="1"/>
  <c r="G56" i="12"/>
  <c r="E174" i="12"/>
  <c r="J235" i="12" l="1"/>
  <c r="J232" i="12"/>
  <c r="J213" i="12"/>
  <c r="J197" i="12"/>
  <c r="J262" i="12"/>
  <c r="J267" i="12"/>
  <c r="J231" i="12"/>
  <c r="J252" i="12"/>
  <c r="J257" i="12"/>
  <c r="J263" i="12"/>
  <c r="J187" i="12"/>
  <c r="J182" i="12"/>
  <c r="J191" i="12"/>
  <c r="J192" i="12"/>
  <c r="J184" i="12"/>
  <c r="J207" i="12"/>
  <c r="J208" i="12"/>
  <c r="J260" i="12"/>
  <c r="J250" i="12"/>
  <c r="J251" i="12"/>
  <c r="J193" i="12"/>
  <c r="J238" i="12"/>
  <c r="J253" i="12"/>
  <c r="J226" i="12"/>
  <c r="J199" i="12"/>
  <c r="J266" i="12"/>
  <c r="J233" i="12"/>
  <c r="J261" i="12"/>
  <c r="J240" i="12"/>
  <c r="J228" i="12"/>
  <c r="J229" i="12"/>
  <c r="J256" i="12"/>
  <c r="J249" i="12"/>
  <c r="J237" i="12"/>
  <c r="J245" i="12"/>
  <c r="J189" i="12"/>
  <c r="J194" i="12"/>
  <c r="J259" i="12"/>
  <c r="J201" i="12"/>
  <c r="J183" i="12"/>
  <c r="J212" i="12"/>
  <c r="J198" i="12"/>
  <c r="J224" i="12"/>
  <c r="J217" i="12"/>
  <c r="J220" i="12"/>
  <c r="J230" i="12"/>
  <c r="J223" i="12"/>
  <c r="J206" i="12"/>
  <c r="J211" i="12"/>
  <c r="J268" i="12"/>
  <c r="J271" i="12"/>
  <c r="J241" i="12"/>
  <c r="J264" i="12"/>
  <c r="J265" i="12"/>
  <c r="J221" i="12"/>
  <c r="J186" i="12"/>
  <c r="J255" i="12"/>
  <c r="J210" i="12"/>
  <c r="J203" i="12"/>
  <c r="J216" i="12"/>
  <c r="J222" i="12"/>
  <c r="J215" i="12"/>
  <c r="J218" i="12"/>
  <c r="J227" i="12"/>
  <c r="J258" i="12"/>
  <c r="J242" i="12"/>
  <c r="J239" i="12"/>
  <c r="J270" i="12"/>
  <c r="J200" i="12"/>
  <c r="J247" i="12"/>
  <c r="J185" i="12"/>
  <c r="J202" i="12"/>
  <c r="J195" i="12"/>
  <c r="J204" i="12"/>
  <c r="J188" i="12"/>
  <c r="J209" i="12"/>
  <c r="J190" i="12"/>
  <c r="J248" i="12"/>
  <c r="J236" i="12"/>
  <c r="J225" i="12"/>
  <c r="J244" i="12"/>
  <c r="J196" i="12"/>
  <c r="J243" i="12"/>
  <c r="J214" i="12"/>
  <c r="J205" i="12"/>
  <c r="J269" i="12"/>
  <c r="J254" i="12"/>
  <c r="J246" i="12"/>
  <c r="J219" i="12"/>
  <c r="J234" i="12"/>
  <c r="G58" i="12"/>
  <c r="G59" i="12" s="1"/>
  <c r="I62" i="23"/>
  <c r="K57" i="12"/>
  <c r="F62" i="12"/>
  <c r="G61" i="12"/>
  <c r="J58" i="23"/>
  <c r="J59" i="23" s="1"/>
  <c r="J61" i="23"/>
  <c r="K56" i="23"/>
  <c r="H56" i="12"/>
  <c r="C191" i="12" l="1"/>
  <c r="C192" i="12" s="1"/>
  <c r="C190" i="12"/>
  <c r="B3" i="22"/>
  <c r="A10" i="22" s="1"/>
  <c r="B4" i="22"/>
  <c r="H58" i="12"/>
  <c r="H59" i="12" s="1"/>
  <c r="J62" i="23"/>
  <c r="K62" i="23" s="1"/>
  <c r="K59" i="23"/>
  <c r="G62" i="12"/>
  <c r="H61" i="12"/>
  <c r="I56" i="12"/>
  <c r="I58" i="12" l="1"/>
  <c r="I59" i="12" s="1"/>
  <c r="B6" i="22"/>
  <c r="A11" i="22" s="1"/>
  <c r="C11" i="22" s="1"/>
  <c r="H62" i="12"/>
  <c r="I61" i="12"/>
  <c r="J56" i="12"/>
  <c r="K56" i="12" s="1"/>
  <c r="B11" i="22" l="1"/>
  <c r="B10" i="22"/>
  <c r="J58" i="12"/>
  <c r="C10" i="22"/>
  <c r="A13" i="22"/>
  <c r="C12" i="22" s="1"/>
  <c r="I62" i="12"/>
  <c r="J61" i="12"/>
  <c r="K61" i="12" s="1"/>
  <c r="J59" i="12" l="1"/>
  <c r="K59" i="12" s="1"/>
  <c r="K58" i="12"/>
  <c r="B12" i="22"/>
  <c r="A14" i="22"/>
  <c r="J62" i="12" l="1"/>
  <c r="K62" i="12" s="1"/>
  <c r="C13" i="22"/>
  <c r="B13" i="22"/>
  <c r="A15" i="22"/>
  <c r="C14" i="22" s="1"/>
  <c r="B14" i="22" l="1"/>
  <c r="A16" i="22"/>
  <c r="B15" i="22" s="1"/>
  <c r="C15" i="22" l="1"/>
</calcChain>
</file>

<file path=xl/sharedStrings.xml><?xml version="1.0" encoding="utf-8"?>
<sst xmlns="http://schemas.openxmlformats.org/spreadsheetml/2006/main" count="245" uniqueCount="186">
  <si>
    <t>Week 2</t>
  </si>
  <si>
    <t>Scenario Analysis</t>
  </si>
  <si>
    <t>Question:</t>
  </si>
  <si>
    <t>Goal Seek</t>
  </si>
  <si>
    <t>Scenario Manager</t>
  </si>
  <si>
    <t>N/A</t>
  </si>
  <si>
    <t>Problem 1A - Instructor Lead - Goal Seek</t>
  </si>
  <si>
    <t>Problem 2A - Instructor Lead - Scenario Manager</t>
  </si>
  <si>
    <t>Outlays</t>
  </si>
  <si>
    <t>Year</t>
  </si>
  <si>
    <t>Find IRR using Goal Seek</t>
  </si>
  <si>
    <t>Check work using IRR formula</t>
  </si>
  <si>
    <t>Calculate NPV using formula</t>
  </si>
  <si>
    <t>10%</t>
  </si>
  <si>
    <t>=IRR(B26:B31)</t>
  </si>
  <si>
    <t>Setup</t>
  </si>
  <si>
    <t>Using the outlays below (B26:B31), find the IRR of the investment, using Goal Seek in cell H27. We'll start with an initial guess of 10%.</t>
  </si>
  <si>
    <t>=NPV(H27,B26:B31)</t>
  </si>
  <si>
    <r>
      <rPr>
        <b/>
        <sz val="9"/>
        <color theme="1"/>
        <rFont val="Arial"/>
        <family val="2"/>
        <scheme val="minor"/>
      </rPr>
      <t>Hint</t>
    </r>
    <r>
      <rPr>
        <sz val="9"/>
        <color theme="1"/>
        <rFont val="Arial"/>
        <family val="2"/>
        <scheme val="minor"/>
      </rPr>
      <t>: We want to find the discount rate that brings NPV to zero</t>
    </r>
  </si>
  <si>
    <t>Historical Year Ending Dec. 31,</t>
  </si>
  <si>
    <t>Projected Year Ending Dec. 31,</t>
  </si>
  <si>
    <t>CAGR</t>
  </si>
  <si>
    <t>Cost of Sales</t>
  </si>
  <si>
    <t>Gross Profit</t>
  </si>
  <si>
    <t>SG&amp;A Expense</t>
  </si>
  <si>
    <t>Operating Income</t>
  </si>
  <si>
    <t>Ratios &amp; Assumptions</t>
  </si>
  <si>
    <t>Increase?</t>
  </si>
  <si>
    <t>Gross Margin</t>
  </si>
  <si>
    <t>Using Scenario Manager, simulate the scenarios listed above.</t>
  </si>
  <si>
    <t>Miles</t>
  </si>
  <si>
    <t>Profit per Flight</t>
  </si>
  <si>
    <t>Total Revenue</t>
  </si>
  <si>
    <t>Total Costs</t>
  </si>
  <si>
    <t>More Flights for existing routes</t>
  </si>
  <si>
    <t>More Sales Reps</t>
  </si>
  <si>
    <t>Process Improvement Plan</t>
  </si>
  <si>
    <t>Net Benefit</t>
  </si>
  <si>
    <t>Total Cost</t>
  </si>
  <si>
    <t>&lt;=</t>
  </si>
  <si>
    <t>Constraints</t>
  </si>
  <si>
    <t>Objective</t>
  </si>
  <si>
    <t>ORD-ATL</t>
  </si>
  <si>
    <t>Route</t>
  </si>
  <si>
    <t>Total Miles</t>
  </si>
  <si>
    <t>Likelihood bins</t>
  </si>
  <si>
    <t xml:space="preserve"> ---------------------------&gt;</t>
  </si>
  <si>
    <t>Miles per Flight</t>
  </si>
  <si>
    <t>How to build:</t>
  </si>
  <si>
    <t xml:space="preserve">(2) Set up each of the four scenarios by clicking "Add", and specifying the changing cells as well as the values of the changing cells in each scenario. </t>
  </si>
  <si>
    <t xml:space="preserve">% </t>
  </si>
  <si>
    <t>(3) Generate a Summary of the scenarios.</t>
  </si>
  <si>
    <t>Scenario Summary</t>
  </si>
  <si>
    <t>Current Values:</t>
  </si>
  <si>
    <t>Normal</t>
  </si>
  <si>
    <t>High Growth with Margin Impact</t>
  </si>
  <si>
    <t>Low Growth with Margin Impact</t>
  </si>
  <si>
    <t>Exploding Market Growth</t>
  </si>
  <si>
    <t>Ticket Revenue</t>
  </si>
  <si>
    <t>Created by Chang Xu on 11/1/2016</t>
  </si>
  <si>
    <t>Created by Chang Xu on 11/1/2016
Modified by Chang Xu on 11/1/2016</t>
  </si>
  <si>
    <t>Fee Revenue</t>
  </si>
  <si>
    <t>Changing Cells:</t>
  </si>
  <si>
    <t>Result Cells:</t>
  </si>
  <si>
    <t>$J$61</t>
  </si>
  <si>
    <t>Revenue Growth Rate</t>
  </si>
  <si>
    <t>Notes:  Current Values column represents values of changing cells at</t>
  </si>
  <si>
    <t>time Scenario Summary Report was created.  Changing cells for each</t>
  </si>
  <si>
    <t>scenario are highlighted in gray.</t>
  </si>
  <si>
    <t>Profit</t>
  </si>
  <si>
    <t>Bins</t>
  </si>
  <si>
    <t>Histogram prep</t>
  </si>
  <si>
    <t>Min</t>
  </si>
  <si>
    <t>Max</t>
  </si>
  <si>
    <t>Number of Bins</t>
  </si>
  <si>
    <t>Increment by</t>
  </si>
  <si>
    <t>Count</t>
  </si>
  <si>
    <t>Title</t>
  </si>
  <si>
    <t>Bin Labels</t>
  </si>
  <si>
    <t>$F$66</t>
  </si>
  <si>
    <t>$F$67</t>
  </si>
  <si>
    <t>$F$68</t>
  </si>
  <si>
    <t>$K$66</t>
  </si>
  <si>
    <t>$K$56</t>
  </si>
  <si>
    <t>$J$57</t>
  </si>
  <si>
    <t>$J$58</t>
  </si>
  <si>
    <t>(b) For scenario 4, the changing cells are F66:F68,K66</t>
  </si>
  <si>
    <t>(1) Select the entire table (B53:K68), and click on Sceniario Manager under What-if analysis</t>
  </si>
  <si>
    <t>(a) For scenario 1,2,3, the changing cells are F66:F68</t>
  </si>
  <si>
    <t>SG&amp;A Expense as % of Ticket Revenue</t>
  </si>
  <si>
    <t>Product  Revenue</t>
  </si>
  <si>
    <t>Shipping &amp; Handling  Revenue</t>
  </si>
  <si>
    <t xml:space="preserve">SG&amp;A Expense as % of Product Revenue </t>
  </si>
  <si>
    <t>Section 1 - Student Exercises</t>
  </si>
  <si>
    <t>Passengers per Flight</t>
  </si>
  <si>
    <t>Revenue Per Passenger</t>
  </si>
  <si>
    <t>Passengers</t>
  </si>
  <si>
    <t>Input Parameters - ORD to ATL</t>
  </si>
  <si>
    <t>Revenue per Passenger</t>
  </si>
  <si>
    <t>Min Cost per Mile</t>
  </si>
  <si>
    <t>Max Cost per Mile</t>
  </si>
  <si>
    <t>Costs per Mile</t>
  </si>
  <si>
    <t>Cost per Mile</t>
  </si>
  <si>
    <t>Average annual profit</t>
  </si>
  <si>
    <t>Establish the route?</t>
  </si>
  <si>
    <t>Technology Investment</t>
  </si>
  <si>
    <t>Cost / Mile</t>
  </si>
  <si>
    <t>Annual Passenger Revenue</t>
  </si>
  <si>
    <t>Runs</t>
  </si>
  <si>
    <t>Annual Flights Proposed</t>
  </si>
  <si>
    <t xml:space="preserve">capacity at the Atlanta airport. Next, we estimate that the additional route will generate $100k in incremental profit in year one, and $50k in incremental profit for </t>
  </si>
  <si>
    <t>(NPV) and Internal Rate of Return (IRR). NPV accounts for the time-value of money and calculates the value of a dollar, to be received in a future time period, in</t>
  </si>
  <si>
    <t xml:space="preserve">today's terms for a given interest rate and also factors any costs associated with the investment (hence the "Net" part). IRR looks at the same problem from a different </t>
  </si>
  <si>
    <t>angle. IRR seeks to find what interest rate we'd need to arrive at a NPV of zero. In other words, NPV can be viewed as the profitability of a project in absolute terms ($$$),</t>
  </si>
  <si>
    <t>where IRR is the profitability of a project in relative terms (%).</t>
  </si>
  <si>
    <t xml:space="preserve">years two through five. We've outlined the outlay projections in the table below in the "Outlays" column. </t>
  </si>
  <si>
    <t>Exercises</t>
  </si>
  <si>
    <t>Exercise 2 - Scenario Manager</t>
  </si>
  <si>
    <t>CAGR (%)</t>
  </si>
  <si>
    <t xml:space="preserve">Our employer wants to analyze the impact of flight-related costs, such as fuel and labor, on profit per flight for the proposed Chicago-to-Atlanta route. The operations </t>
  </si>
  <si>
    <t xml:space="preserve">team has determined the minimum cost per mile is $30 and the maximum cost per mile is $50. The operations team has also provided estimates for the number </t>
  </si>
  <si>
    <t xml:space="preserve">of passengers per flight and revenue per passenger, 170 and $150, respectively. We've summarized this information in cells B113:C120. Using the information </t>
  </si>
  <si>
    <t xml:space="preserve">Building upon the example of the one-way data table, let's add an additional variable, the number of passengers per flight. The operations team has analyzed historical </t>
  </si>
  <si>
    <t>demand and determined that the minimum demand is 150 passengers and the maximum demand is 200 passengers. Now, we'll analyze how profit changes when</t>
  </si>
  <si>
    <t xml:space="preserve">we have two variable inputs demand (Passengers) and costs (Cost per Mile). </t>
  </si>
  <si>
    <t xml:space="preserve">passengers 10% of the time, 150 passengers 40% of the time, 175 passengers 30% of the time, and 185 passengers 20% of the time. In addition to random demand, </t>
  </si>
  <si>
    <t xml:space="preserve">we'll now have random costs per mile depending on fuel price, season, and weather conditions to name a few factors. The operations team estimates that the cost per </t>
  </si>
  <si>
    <t>mile will be between $30 and $50, with each value in the range equally likely.</t>
  </si>
  <si>
    <t>We've added a few more important inputs, such as the number of scheduled flights, miles per flight, and revenue per passenger, in cells B173:H174 below.</t>
  </si>
  <si>
    <t>Annual Revenue</t>
  </si>
  <si>
    <t>Probability of profit</t>
  </si>
  <si>
    <t>Summary Information</t>
  </si>
  <si>
    <t>Exercise 6 - Solver</t>
  </si>
  <si>
    <t xml:space="preserve">customer demand. </t>
  </si>
  <si>
    <t xml:space="preserve">against, subject to a $25m budget. In other words, our decision variables are binary (Yes/No) and we want to determine which initiatives to say "Yes" to. To accomplish this task </t>
  </si>
  <si>
    <t xml:space="preserve">we're going to use Excel Solver, a free add-in. Solver requires a few inputs, such as the objective function, the type of optimization problem, and any constraints. </t>
  </si>
  <si>
    <t>In our scenario, we want to maximize Net Benefit, while keeping Total Cost at or below $25m.</t>
  </si>
  <si>
    <t>New Route 
(ORD-ATL)</t>
  </si>
  <si>
    <t>Initiatives</t>
  </si>
  <si>
    <t>Decision Variables</t>
  </si>
  <si>
    <t>Budget</t>
  </si>
  <si>
    <t xml:space="preserve">Our employer wants to explore the potential profitability and growth potential of this new route to Atlanta, under different market environments for demand growth. </t>
  </si>
  <si>
    <t>Exercise 1 - Goal Seek</t>
  </si>
  <si>
    <t>Instructor Exercises - ANSWERS</t>
  </si>
  <si>
    <t>Data Visualization with Advanced Excel - Course 3</t>
  </si>
  <si>
    <t>2019 - 2023</t>
  </si>
  <si>
    <t xml:space="preserve">1. Baseline: No Change </t>
  </si>
  <si>
    <t>4. Exploding Market Growth: The market started growing rapidly in 2019, leading the year over year growth in cell K66 to increase to 2% with everything else staying the same as the Baseline</t>
  </si>
  <si>
    <t>Market Growth rate</t>
  </si>
  <si>
    <t>Initial Investment</t>
  </si>
  <si>
    <t xml:space="preserve">2. High Growth with Margin Impact: Sales start at 8%, which drives higher margins of 45%, and SG&amp;A remains at 27.5% </t>
  </si>
  <si>
    <t xml:space="preserve">Our employer, a Chicago based airline is considering adding Atlanta to the existing set of destinations. This will require an initial investment of $250k to secure </t>
  </si>
  <si>
    <t xml:space="preserve">We have two techniques to evaluate if this project should be carried out based on our projections and initial investment over the five-year horizon: Net Present Value  </t>
  </si>
  <si>
    <r>
      <t xml:space="preserve">1a) </t>
    </r>
    <r>
      <rPr>
        <sz val="11"/>
        <rFont val="Arial"/>
        <family val="2"/>
        <scheme val="minor"/>
      </rPr>
      <t>Calculate the NPV of the Outlay below using the NPV Excel Formula;</t>
    </r>
  </si>
  <si>
    <r>
      <t xml:space="preserve">1b) </t>
    </r>
    <r>
      <rPr>
        <sz val="11"/>
        <rFont val="Arial"/>
        <family val="2"/>
        <scheme val="minor"/>
      </rPr>
      <t>Calculate the IRR of the Outlay below using Goal Seek.</t>
    </r>
  </si>
  <si>
    <r>
      <t xml:space="preserve">1c) </t>
    </r>
    <r>
      <rPr>
        <sz val="11"/>
        <rFont val="Arial"/>
        <family val="2"/>
        <scheme val="minor"/>
      </rPr>
      <t>Check the results found with goal seek using the IRR formula.</t>
    </r>
  </si>
  <si>
    <t>Marketing and Finance have come up with the following scenarios:</t>
  </si>
  <si>
    <t>3. Low Growth with Margin Impact: Sales dropped to 3% growth, which drove lower margins of 32% and SG&amp;A increases to 30%</t>
  </si>
  <si>
    <r>
      <t xml:space="preserve">2a) </t>
    </r>
    <r>
      <rPr>
        <sz val="11"/>
        <rFont val="Arial"/>
        <family val="2"/>
        <scheme val="minor"/>
      </rPr>
      <t>Using Scenario Manager, simulate the operation income for the new Atlanta route using the scenarios listed above.</t>
    </r>
  </si>
  <si>
    <t xml:space="preserve">provided by the operations team, we've determined an estimated profit per flight in cell C120. However, recall that we'd like to analyze how profit is impacted by cost </t>
  </si>
  <si>
    <t>per flight. This table only calculates profit for one value of cost per mile at a time. This is where the Data Table tool comes in.</t>
  </si>
  <si>
    <t>We're going to use a one-way Data Table to analyze the impact of cost per mile on profit and summarize our findings in cells F113:G124.</t>
  </si>
  <si>
    <r>
      <t xml:space="preserve">3a) </t>
    </r>
    <r>
      <rPr>
        <sz val="11"/>
        <rFont val="Arial"/>
        <family val="2"/>
        <scheme val="minor"/>
      </rPr>
      <t>Create a one-way data table using the Cost per Mile in cell C117.</t>
    </r>
  </si>
  <si>
    <t>The Two-way data table requires a slightly different setup, so now the objective (Profit per Flight) must be placed directly above the column input variable (Fuel Costs).</t>
  </si>
  <si>
    <r>
      <t xml:space="preserve">4a) </t>
    </r>
    <r>
      <rPr>
        <sz val="11"/>
        <rFont val="Arial"/>
        <family val="2"/>
        <scheme val="minor"/>
      </rPr>
      <t>Determine the range of profit per flight given the range of Cost per Mile and Passengers using a Two-Way data table.</t>
    </r>
  </si>
  <si>
    <t xml:space="preserve">The Airline Operations Team has prepared a brief summary of their outlook on demand over the coming year. They estimate that the Airline will have as few as 135 </t>
  </si>
  <si>
    <r>
      <t xml:space="preserve">5a) </t>
    </r>
    <r>
      <rPr>
        <sz val="11"/>
        <rFont val="Arial"/>
        <family val="2"/>
        <scheme val="minor"/>
      </rPr>
      <t>Create 90 simulations of the Cost per Mile using the RAND function.</t>
    </r>
  </si>
  <si>
    <r>
      <t xml:space="preserve">5b) </t>
    </r>
    <r>
      <rPr>
        <sz val="11"/>
        <rFont val="Arial"/>
        <family val="2"/>
        <scheme val="minor"/>
      </rPr>
      <t>Create 90 simulations of the Passenger Revenue using VLOOKUP, the Likelihood Bins and the RAND function.</t>
    </r>
  </si>
  <si>
    <r>
      <t xml:space="preserve">5c) </t>
    </r>
    <r>
      <rPr>
        <sz val="11"/>
        <rFont val="Arial"/>
        <family val="2"/>
        <scheme val="minor"/>
      </rPr>
      <t>Create 90 simulations of the average annual profit using the Cost per Mile and Passenger Revenues.</t>
    </r>
  </si>
  <si>
    <r>
      <t xml:space="preserve">5d) </t>
    </r>
    <r>
      <rPr>
        <sz val="11"/>
        <rFont val="Arial"/>
        <family val="2"/>
        <scheme val="minor"/>
      </rPr>
      <t>Determine the probability of making a profit on the new Chicago - Atlanta Route.</t>
    </r>
  </si>
  <si>
    <t xml:space="preserve">Often times, we're in a situation where we'd like to optimize a particular measure. For example, we might want to know what decisions to make in order to maximize profit, while </t>
  </si>
  <si>
    <t xml:space="preserve">still meeting constraints. Or the situation might warrant a minimization problem, where we'd like to know the scheduling of resources that minimizes cost while still meeting </t>
  </si>
  <si>
    <t xml:space="preserve">In the scenario below, we've been presented with five business initiatives which come with an estimated total cost and a net benefit. We'd like to know which initiatives to execute </t>
  </si>
  <si>
    <r>
      <t xml:space="preserve">6a) </t>
    </r>
    <r>
      <rPr>
        <sz val="11"/>
        <rFont val="Arial"/>
        <family val="2"/>
        <scheme val="minor"/>
      </rPr>
      <t>Calculate the total Net Benefit from the initiatives based on the Decision Variables in row 292.</t>
    </r>
  </si>
  <si>
    <r>
      <t xml:space="preserve">6b) </t>
    </r>
    <r>
      <rPr>
        <sz val="11"/>
        <rFont val="Arial"/>
        <family val="2"/>
        <scheme val="minor"/>
      </rPr>
      <t>Calculate the Total Cost of the initiatives based on the Decision Variables in row 292.</t>
    </r>
  </si>
  <si>
    <r>
      <t xml:space="preserve">6c) </t>
    </r>
    <r>
      <rPr>
        <sz val="11"/>
        <rFont val="Arial"/>
        <family val="2"/>
        <scheme val="minor"/>
      </rPr>
      <t>Determine the optimal mix of initiatives to execute against in order to maximize the Net Benefits whole maintaining a budget of $25M using Excel Solver.</t>
    </r>
  </si>
  <si>
    <t>Exercise 4 - Two-way Data Tables</t>
  </si>
  <si>
    <t>Exercise 5 - Simulations</t>
  </si>
  <si>
    <t>Exercise 3 - One-way Data Tables</t>
  </si>
  <si>
    <t>$J$59</t>
  </si>
  <si>
    <t>Baseline</t>
  </si>
  <si>
    <t>High Growth with margain impact</t>
  </si>
  <si>
    <t>Low Growth with Margain impact</t>
  </si>
  <si>
    <t>Sum</t>
  </si>
  <si>
    <t>Average</t>
  </si>
  <si>
    <t>Running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</si>
</sst>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_);_(* \(#,##0\);_(* &quot;-&quot;_);@_)"/>
    <numFmt numFmtId="165" formatCode="0%_);\(0%\)"/>
    <numFmt numFmtId="166" formatCode="_(* #,##0_);_(* \(#,##0\);_(* &quot;-&quot;??_);_(@_)"/>
    <numFmt numFmtId="167" formatCode="&quot;$&quot;#,##0.00"/>
    <numFmt numFmtId="168" formatCode="&quot;$&quot;#,##0"/>
    <numFmt numFmtId="169" formatCode="#,##0,_);\(#,##0,\)"/>
    <numFmt numFmtId="170" formatCode="0_);\(0\)"/>
    <numFmt numFmtId="171" formatCode="0.0%_);\(0.0%\)"/>
    <numFmt numFmtId="172" formatCode="#,##0.0_);\(#,##0.0\)"/>
    <numFmt numFmtId="173" formatCode="#,###;[Red]\(#,###\)"/>
  </numFmts>
  <fonts count="69">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theme="3"/>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sz val="10"/>
      <name val="Arial"/>
      <family val="2"/>
    </font>
    <font>
      <b/>
      <sz val="10"/>
      <color theme="6" tint="-0.249977111117893"/>
      <name val="Arial"/>
      <family val="2"/>
    </font>
    <font>
      <b/>
      <u/>
      <sz val="14"/>
      <color theme="3"/>
      <name val="Arial"/>
      <family val="2"/>
      <scheme val="minor"/>
    </font>
    <font>
      <b/>
      <sz val="10"/>
      <name val="Arial"/>
      <family val="2"/>
    </font>
    <font>
      <u/>
      <sz val="9"/>
      <color theme="10"/>
      <name val="Arial"/>
      <family val="2"/>
      <scheme val="minor"/>
    </font>
    <font>
      <u/>
      <sz val="9"/>
      <color theme="11"/>
      <name val="Arial"/>
      <family val="2"/>
      <scheme val="minor"/>
    </font>
    <font>
      <b/>
      <sz val="10"/>
      <color theme="1"/>
      <name val="Ariel"/>
    </font>
    <font>
      <sz val="10"/>
      <color theme="1"/>
      <name val="Ariel"/>
    </font>
    <font>
      <sz val="10"/>
      <name val="Ariel"/>
    </font>
    <font>
      <b/>
      <sz val="14"/>
      <color theme="3"/>
      <name val="Georgia"/>
      <family val="2"/>
      <scheme val="major"/>
    </font>
    <font>
      <u val="singleAccounting"/>
      <sz val="9"/>
      <color theme="1"/>
      <name val="Arial"/>
      <family val="2"/>
      <scheme val="minor"/>
    </font>
    <font>
      <sz val="10"/>
      <name val="Arial"/>
      <family val="2"/>
      <scheme val="minor"/>
    </font>
    <font>
      <b/>
      <sz val="9"/>
      <color rgb="FFFFFFFF"/>
      <name val="Arial"/>
      <family val="2"/>
      <scheme val="minor"/>
    </font>
    <font>
      <b/>
      <sz val="9"/>
      <name val="Arial"/>
      <family val="2"/>
      <scheme val="minor"/>
    </font>
    <font>
      <sz val="8"/>
      <color rgb="FF000000"/>
      <name val="Segoe UI"/>
      <family val="2"/>
    </font>
    <font>
      <sz val="10"/>
      <color theme="1"/>
      <name val="Arial"/>
      <family val="2"/>
    </font>
    <font>
      <sz val="10"/>
      <color indexed="8"/>
      <name val="Arial"/>
      <family val="2"/>
    </font>
    <font>
      <b/>
      <sz val="10"/>
      <color indexed="8"/>
      <name val="Arial"/>
      <family val="2"/>
    </font>
    <font>
      <sz val="9"/>
      <name val="Arial"/>
      <family val="2"/>
      <scheme val="minor"/>
    </font>
    <font>
      <sz val="9"/>
      <color theme="8"/>
      <name val="Arial"/>
      <family val="2"/>
      <scheme val="minor"/>
    </font>
    <font>
      <u/>
      <sz val="9"/>
      <name val="Arial"/>
      <family val="2"/>
      <scheme val="minor"/>
    </font>
    <font>
      <sz val="8"/>
      <name val="Arial"/>
      <family val="2"/>
      <scheme val="minor"/>
    </font>
    <font>
      <u val="singleAccounting"/>
      <sz val="9"/>
      <name val="Arial"/>
      <family val="2"/>
      <scheme val="minor"/>
    </font>
    <font>
      <b/>
      <sz val="10"/>
      <color indexed="9"/>
      <name val="Arial"/>
      <family val="2"/>
      <scheme val="minor"/>
    </font>
    <font>
      <sz val="8"/>
      <color indexed="9"/>
      <name val="Arial"/>
      <family val="2"/>
      <scheme val="minor"/>
    </font>
    <font>
      <b/>
      <sz val="9"/>
      <color indexed="8"/>
      <name val="Arial"/>
      <family val="2"/>
      <scheme val="minor"/>
    </font>
    <font>
      <b/>
      <sz val="9"/>
      <color indexed="18"/>
      <name val="Arial"/>
      <family val="2"/>
      <scheme val="minor"/>
    </font>
    <font>
      <b/>
      <u/>
      <sz val="9"/>
      <name val="Arial"/>
      <family val="2"/>
      <scheme val="minor"/>
    </font>
    <font>
      <b/>
      <sz val="14"/>
      <color theme="6"/>
      <name val="Arial"/>
      <family val="2"/>
      <scheme val="minor"/>
    </font>
    <font>
      <b/>
      <sz val="14"/>
      <color theme="6"/>
      <name val="Arial"/>
      <family val="2"/>
    </font>
    <font>
      <b/>
      <sz val="12"/>
      <color theme="8"/>
      <name val="Arial"/>
      <family val="2"/>
      <scheme val="minor"/>
    </font>
    <font>
      <sz val="11"/>
      <color rgb="FF000000"/>
      <name val="Arial"/>
      <family val="2"/>
      <scheme val="minor"/>
    </font>
    <font>
      <b/>
      <sz val="11"/>
      <name val="Arial"/>
      <family val="2"/>
      <scheme val="minor"/>
    </font>
    <font>
      <sz val="11"/>
      <name val="Arial"/>
      <family val="2"/>
      <scheme val="minor"/>
    </font>
    <font>
      <b/>
      <sz val="9"/>
      <color theme="2"/>
      <name val="Arial"/>
      <family val="2"/>
      <scheme val="minor"/>
    </font>
    <font>
      <sz val="11"/>
      <name val="Arial"/>
      <family val="2"/>
    </font>
    <font>
      <sz val="11"/>
      <color theme="1"/>
      <name val="Arial"/>
      <family val="2"/>
    </font>
    <font>
      <b/>
      <sz val="11"/>
      <color theme="0"/>
      <name val="Arial"/>
      <family val="2"/>
      <scheme val="minor"/>
    </font>
    <font>
      <b/>
      <sz val="11"/>
      <color rgb="FFFFFFFF"/>
      <name val="Arial"/>
      <family val="2"/>
      <scheme val="minor"/>
    </font>
    <font>
      <b/>
      <sz val="11"/>
      <color theme="1"/>
      <name val="Arial"/>
      <family val="2"/>
      <scheme val="minor"/>
    </font>
    <font>
      <sz val="11"/>
      <color theme="4"/>
      <name val="Arial"/>
      <family val="2"/>
      <scheme val="minor"/>
    </font>
    <font>
      <i/>
      <sz val="11"/>
      <color theme="1"/>
      <name val="Arial"/>
      <family val="2"/>
      <scheme val="minor"/>
    </font>
    <font>
      <i/>
      <sz val="11"/>
      <color theme="4"/>
      <name val="Arial"/>
      <family val="2"/>
      <scheme val="minor"/>
    </font>
  </fonts>
  <fills count="2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bgColor indexed="64"/>
      </patternFill>
    </fill>
    <fill>
      <patternFill patternType="solid">
        <fgColor theme="0" tint="-4.9989318521683403E-2"/>
        <bgColor indexed="64"/>
      </patternFill>
    </fill>
    <fill>
      <patternFill patternType="solid">
        <fgColor rgb="FF481A17"/>
        <bgColor rgb="FF000000"/>
      </patternFill>
    </fill>
    <fill>
      <patternFill patternType="solid">
        <fgColor rgb="FFF8DCE1"/>
        <bgColor rgb="FF000000"/>
      </patternFill>
    </fill>
    <fill>
      <patternFill patternType="solid">
        <fgColor theme="0" tint="-4.9989318521683403E-2"/>
        <bgColor rgb="FF000000"/>
      </patternFill>
    </fill>
    <fill>
      <patternFill patternType="solid">
        <fgColor theme="3"/>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6"/>
        <bgColor indexed="64"/>
      </patternFill>
    </fill>
    <fill>
      <patternFill patternType="solid">
        <fgColor theme="0" tint="-0.14999847407452621"/>
        <bgColor indexed="64"/>
      </patternFill>
    </fill>
    <fill>
      <patternFill patternType="solid">
        <fgColor theme="6"/>
        <bgColor rgb="FF000000"/>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medium">
        <color theme="4"/>
      </top>
      <bottom/>
      <diagonal/>
    </border>
    <border>
      <left/>
      <right/>
      <top style="thin">
        <color theme="4"/>
      </top>
      <bottom/>
      <diagonal/>
    </border>
    <border>
      <left/>
      <right/>
      <top style="thin">
        <color theme="4"/>
      </top>
      <bottom style="medium">
        <color theme="4"/>
      </bottom>
      <diagonal/>
    </border>
    <border>
      <left/>
      <right/>
      <top/>
      <bottom style="thin">
        <color indexed="64"/>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6" tint="0.59996337778862885"/>
      </left>
      <right style="medium">
        <color theme="6" tint="0.59996337778862885"/>
      </right>
      <top style="thin">
        <color theme="6" tint="0.59996337778862885"/>
      </top>
      <bottom style="medium">
        <color theme="6" tint="0.59996337778862885"/>
      </bottom>
      <diagonal/>
    </border>
    <border>
      <left style="thin">
        <color theme="0" tint="-0.14996795556505021"/>
      </left>
      <right style="thin">
        <color theme="0" tint="-0.14996795556505021"/>
      </right>
      <top style="thin">
        <color theme="0" tint="-0.1499374370555742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FFFFFF"/>
      </left>
      <right/>
      <top/>
      <bottom style="medium">
        <color rgb="FFFFFFFF"/>
      </bottom>
      <diagonal/>
    </border>
    <border>
      <left/>
      <right/>
      <top/>
      <bottom style="thin">
        <color theme="0"/>
      </bottom>
      <diagonal/>
    </border>
    <border>
      <left style="thin">
        <color theme="3"/>
      </left>
      <right/>
      <top/>
      <bottom/>
      <diagonal/>
    </border>
    <border>
      <left/>
      <right/>
      <top/>
      <bottom style="thin">
        <color theme="3"/>
      </bottom>
      <diagonal/>
    </border>
    <border>
      <left style="thin">
        <color theme="3"/>
      </left>
      <right/>
      <top/>
      <bottom style="thin">
        <color theme="3"/>
      </bottom>
      <diagonal/>
    </border>
    <border>
      <left style="thin">
        <color theme="6" tint="0.59996337778862885"/>
      </left>
      <right style="medium">
        <color theme="6" tint="0.59996337778862885"/>
      </right>
      <top style="thin">
        <color theme="6" tint="0.59996337778862885"/>
      </top>
      <bottom style="thin">
        <color theme="6" tint="0.59996337778862885"/>
      </bottom>
      <diagonal/>
    </border>
    <border>
      <left style="thin">
        <color theme="0" tint="-0.14993743705557422"/>
      </left>
      <right style="medium">
        <color theme="0" tint="-0.14993743705557422"/>
      </right>
      <top style="thin">
        <color theme="0" tint="-0.14993743705557422"/>
      </top>
      <bottom style="medium">
        <color theme="0" tint="-0.14993743705557422"/>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42">
    <xf numFmtId="164" fontId="0" fillId="0" borderId="0"/>
    <xf numFmtId="9" fontId="6" fillId="0" borderId="0" applyFont="0" applyFill="0" applyBorder="0" applyAlignment="0" applyProtection="0"/>
    <xf numFmtId="49" fontId="24" fillId="0" borderId="0" applyAlignment="0" applyProtection="0"/>
    <xf numFmtId="49" fontId="14" fillId="0" borderId="6" applyFill="0" applyProtection="0">
      <alignment horizontal="right" wrapText="1"/>
    </xf>
    <xf numFmtId="49" fontId="15" fillId="0" borderId="0" applyProtection="0">
      <alignment wrapText="1"/>
    </xf>
    <xf numFmtId="49" fontId="16" fillId="0" borderId="7" applyFill="0" applyProtection="0">
      <alignment horizontal="right" wrapText="1"/>
    </xf>
    <xf numFmtId="49" fontId="16" fillId="0" borderId="0" applyProtection="0">
      <alignment wrapText="1"/>
    </xf>
    <xf numFmtId="0" fontId="13" fillId="2" borderId="0" applyNumberFormat="0" applyBorder="0" applyAlignment="0" applyProtection="0"/>
    <xf numFmtId="0" fontId="8" fillId="3" borderId="0" applyNumberFormat="0" applyBorder="0" applyAlignment="0" applyProtection="0"/>
    <xf numFmtId="0" fontId="19" fillId="4" borderId="0" applyNumberFormat="0" applyBorder="0" applyAlignment="0" applyProtection="0"/>
    <xf numFmtId="0" fontId="17" fillId="5" borderId="1" applyNumberFormat="0" applyAlignment="0" applyProtection="0"/>
    <xf numFmtId="0" fontId="20" fillId="6" borderId="2" applyNumberFormat="0" applyAlignment="0" applyProtection="0"/>
    <xf numFmtId="0" fontId="9" fillId="6" borderId="1" applyNumberFormat="0" applyAlignment="0" applyProtection="0"/>
    <xf numFmtId="0" fontId="18" fillId="0" borderId="3" applyNumberFormat="0" applyFill="0" applyAlignment="0" applyProtection="0"/>
    <xf numFmtId="0" fontId="10" fillId="7" borderId="4" applyNumberFormat="0" applyAlignment="0" applyProtection="0"/>
    <xf numFmtId="0" fontId="11" fillId="8" borderId="5" applyNumberFormat="0" applyAlignment="0" applyProtection="0"/>
    <xf numFmtId="0" fontId="12" fillId="0" borderId="0" applyNumberFormat="0" applyFill="0" applyBorder="0" applyAlignment="0" applyProtection="0"/>
    <xf numFmtId="0" fontId="25" fillId="0" borderId="10" applyNumberFormat="0" applyFill="0" applyAlignment="0" applyProtection="0"/>
    <xf numFmtId="164" fontId="21" fillId="0" borderId="0" applyNumberFormat="0" applyFill="0" applyBorder="0" applyAlignment="0" applyProtection="0"/>
    <xf numFmtId="164" fontId="11" fillId="9" borderId="0" applyNumberFormat="0" applyFont="0" applyBorder="0" applyAlignment="0" applyProtection="0"/>
    <xf numFmtId="0" fontId="11" fillId="0" borderId="0" applyFill="0" applyBorder="0" applyProtection="0"/>
    <xf numFmtId="164" fontId="11" fillId="10" borderId="0" applyNumberFormat="0" applyFont="0" applyBorder="0" applyAlignment="0" applyProtection="0"/>
    <xf numFmtId="165" fontId="11" fillId="0" borderId="0" applyFill="0" applyBorder="0" applyAlignment="0" applyProtection="0"/>
    <xf numFmtId="0" fontId="22" fillId="0" borderId="0" applyNumberFormat="0" applyAlignment="0" applyProtection="0"/>
    <xf numFmtId="0" fontId="21" fillId="0" borderId="6" applyFill="0" applyProtection="0">
      <alignment horizontal="right" wrapText="1"/>
    </xf>
    <xf numFmtId="0" fontId="21" fillId="0" borderId="0" applyFill="0" applyProtection="0">
      <alignment wrapText="1"/>
    </xf>
    <xf numFmtId="0" fontId="21" fillId="0" borderId="8" applyFill="0" applyProtection="0">
      <alignment wrapText="1"/>
    </xf>
    <xf numFmtId="164" fontId="23" fillId="0" borderId="9" applyNumberFormat="0" applyFill="0" applyAlignment="0" applyProtection="0"/>
    <xf numFmtId="0" fontId="7" fillId="0" borderId="0" applyAlignment="0" applyProtection="0"/>
    <xf numFmtId="0" fontId="23" fillId="0" borderId="10" applyNumberFormat="0" applyFill="0" applyAlignment="0" applyProtection="0"/>
    <xf numFmtId="0" fontId="26" fillId="0" borderId="0"/>
    <xf numFmtId="43" fontId="11" fillId="0" borderId="0" applyFont="0" applyFill="0" applyBorder="0" applyAlignment="0" applyProtection="0"/>
    <xf numFmtId="164" fontId="30" fillId="0" borderId="0" applyNumberFormat="0" applyFill="0" applyBorder="0" applyAlignment="0" applyProtection="0"/>
    <xf numFmtId="164" fontId="31" fillId="0" borderId="0" applyNumberFormat="0" applyFill="0" applyBorder="0" applyAlignment="0" applyProtection="0"/>
    <xf numFmtId="164" fontId="30" fillId="0" borderId="0" applyNumberFormat="0" applyFill="0" applyBorder="0" applyAlignment="0" applyProtection="0"/>
    <xf numFmtId="164" fontId="31" fillId="0" borderId="0" applyNumberFormat="0" applyFill="0" applyBorder="0" applyAlignment="0" applyProtection="0"/>
    <xf numFmtId="164" fontId="30" fillId="0" borderId="0" applyNumberFormat="0" applyFill="0" applyBorder="0" applyAlignment="0" applyProtection="0"/>
    <xf numFmtId="164" fontId="31" fillId="0" borderId="0" applyNumberFormat="0" applyFill="0" applyBorder="0" applyAlignment="0" applyProtection="0"/>
    <xf numFmtId="0" fontId="5" fillId="0" borderId="0"/>
    <xf numFmtId="43" fontId="5" fillId="0" borderId="0" applyFont="0" applyFill="0" applyBorder="0" applyAlignment="0" applyProtection="0"/>
    <xf numFmtId="0" fontId="4" fillId="0" borderId="0"/>
    <xf numFmtId="44" fontId="11" fillId="0" borderId="0" applyFont="0" applyFill="0" applyBorder="0" applyAlignment="0" applyProtection="0"/>
  </cellStyleXfs>
  <cellXfs count="201">
    <xf numFmtId="164" fontId="0" fillId="0" borderId="0" xfId="0"/>
    <xf numFmtId="0" fontId="26" fillId="0" borderId="0" xfId="30"/>
    <xf numFmtId="0" fontId="27" fillId="0" borderId="0" xfId="30" applyFont="1"/>
    <xf numFmtId="0" fontId="28" fillId="0" borderId="0" xfId="28" applyFont="1"/>
    <xf numFmtId="0" fontId="26" fillId="0" borderId="0" xfId="30" applyBorder="1"/>
    <xf numFmtId="0" fontId="29" fillId="0" borderId="0" xfId="30" applyFont="1"/>
    <xf numFmtId="0" fontId="26" fillId="0" borderId="0" xfId="30" applyAlignment="1">
      <alignment wrapText="1"/>
    </xf>
    <xf numFmtId="0" fontId="26" fillId="11" borderId="0" xfId="30" applyFill="1"/>
    <xf numFmtId="0" fontId="26" fillId="0" borderId="0" xfId="30" applyFont="1"/>
    <xf numFmtId="164" fontId="33" fillId="0" borderId="0" xfId="0" applyFont="1"/>
    <xf numFmtId="164" fontId="32" fillId="0" borderId="0" xfId="0" applyFont="1" applyAlignment="1">
      <alignment horizontal="left" vertical="top"/>
    </xf>
    <xf numFmtId="164" fontId="32" fillId="0" borderId="0" xfId="0" applyFont="1" applyAlignment="1">
      <alignment horizontal="left"/>
    </xf>
    <xf numFmtId="164" fontId="32" fillId="0" borderId="0" xfId="0" applyFont="1"/>
    <xf numFmtId="0" fontId="26" fillId="0" borderId="0" xfId="30" applyFont="1" applyFill="1" applyBorder="1"/>
    <xf numFmtId="0" fontId="26" fillId="0" borderId="0" xfId="30" applyFill="1" applyBorder="1"/>
    <xf numFmtId="0" fontId="26" fillId="0" borderId="0" xfId="30" applyFill="1"/>
    <xf numFmtId="4" fontId="26" fillId="0" borderId="0" xfId="30" applyNumberFormat="1" applyFill="1"/>
    <xf numFmtId="0" fontId="26" fillId="0" borderId="0" xfId="30" quotePrefix="1" applyFill="1" applyBorder="1"/>
    <xf numFmtId="0" fontId="34" fillId="0" borderId="0" xfId="30" applyFont="1" applyFill="1" applyBorder="1"/>
    <xf numFmtId="0" fontId="35" fillId="0" borderId="0" xfId="28" applyFont="1"/>
    <xf numFmtId="0" fontId="36" fillId="0" borderId="0" xfId="27" applyNumberFormat="1" applyFont="1" applyBorder="1"/>
    <xf numFmtId="164" fontId="36" fillId="0" borderId="0" xfId="0" applyFont="1"/>
    <xf numFmtId="169" fontId="0" fillId="0" borderId="0" xfId="0" applyNumberFormat="1"/>
    <xf numFmtId="0" fontId="37" fillId="0" borderId="0" xfId="30" applyNumberFormat="1" applyFont="1" applyFill="1" applyBorder="1"/>
    <xf numFmtId="166" fontId="26" fillId="0" borderId="0" xfId="31" applyNumberFormat="1" applyFont="1"/>
    <xf numFmtId="165" fontId="11" fillId="12" borderId="12" xfId="22" applyFont="1" applyFill="1" applyBorder="1"/>
    <xf numFmtId="43" fontId="11" fillId="12" borderId="14" xfId="31" applyNumberFormat="1" applyFont="1" applyFill="1" applyBorder="1"/>
    <xf numFmtId="9" fontId="39" fillId="14" borderId="13" xfId="1" applyFont="1" applyFill="1" applyBorder="1"/>
    <xf numFmtId="0" fontId="26" fillId="0" borderId="0" xfId="30" quotePrefix="1"/>
    <xf numFmtId="164" fontId="38" fillId="13" borderId="16" xfId="0" applyNumberFormat="1" applyFont="1" applyFill="1" applyBorder="1"/>
    <xf numFmtId="164" fontId="0" fillId="15" borderId="15" xfId="0" applyNumberFormat="1" applyFont="1" applyFill="1" applyBorder="1"/>
    <xf numFmtId="164" fontId="41" fillId="11" borderId="0" xfId="0" applyFont="1" applyFill="1" applyAlignment="1">
      <alignment horizontal="left" vertical="top"/>
    </xf>
    <xf numFmtId="164" fontId="41" fillId="11" borderId="0" xfId="0" applyFont="1" applyFill="1" applyAlignment="1">
      <alignment horizontal="right" vertical="top"/>
    </xf>
    <xf numFmtId="164" fontId="41" fillId="11" borderId="0" xfId="0" applyFont="1" applyFill="1" applyAlignment="1" applyProtection="1">
      <alignment horizontal="left" vertical="top"/>
      <protection locked="0"/>
    </xf>
    <xf numFmtId="164" fontId="41" fillId="11" borderId="0" xfId="0" applyFont="1" applyFill="1" applyAlignment="1" applyProtection="1">
      <alignment horizontal="right" vertical="top"/>
      <protection locked="0"/>
    </xf>
    <xf numFmtId="164" fontId="41" fillId="11" borderId="0" xfId="0" quotePrefix="1" applyFont="1" applyFill="1" applyAlignment="1" applyProtection="1">
      <alignment horizontal="left" vertical="top"/>
      <protection locked="0"/>
    </xf>
    <xf numFmtId="164" fontId="42" fillId="11" borderId="0" xfId="0" applyFont="1" applyFill="1" applyAlignment="1" applyProtection="1">
      <alignment horizontal="left" vertical="top"/>
      <protection locked="0"/>
    </xf>
    <xf numFmtId="164" fontId="43" fillId="11" borderId="0" xfId="0" applyFont="1" applyFill="1" applyAlignment="1" applyProtection="1">
      <alignment horizontal="left" vertical="top"/>
      <protection locked="0"/>
    </xf>
    <xf numFmtId="172" fontId="41" fillId="11" borderId="0" xfId="0" applyNumberFormat="1" applyFont="1" applyFill="1" applyBorder="1" applyAlignment="1" applyProtection="1">
      <alignment horizontal="left" vertical="top"/>
      <protection locked="0"/>
    </xf>
    <xf numFmtId="171" fontId="42" fillId="11" borderId="0" xfId="0" applyNumberFormat="1" applyFont="1" applyFill="1" applyAlignment="1" applyProtection="1">
      <alignment horizontal="left" vertical="top"/>
      <protection locked="0"/>
    </xf>
    <xf numFmtId="49" fontId="41" fillId="11" borderId="0" xfId="0" applyNumberFormat="1" applyFont="1" applyFill="1" applyAlignment="1">
      <alignment vertical="top" wrapText="1"/>
    </xf>
    <xf numFmtId="9" fontId="39" fillId="14" borderId="21" xfId="1" applyFont="1" applyFill="1" applyBorder="1"/>
    <xf numFmtId="164" fontId="0" fillId="11" borderId="0" xfId="0" applyFont="1" applyFill="1" applyAlignment="1" applyProtection="1">
      <alignment horizontal="left" vertical="top"/>
      <protection locked="0"/>
    </xf>
    <xf numFmtId="164" fontId="10" fillId="16" borderId="17" xfId="0" applyFont="1" applyFill="1" applyBorder="1" applyAlignment="1" applyProtection="1">
      <alignment horizontal="left" vertical="top"/>
      <protection locked="0"/>
    </xf>
    <xf numFmtId="0" fontId="44" fillId="0" borderId="0" xfId="30" applyFont="1"/>
    <xf numFmtId="170" fontId="10" fillId="16" borderId="0" xfId="0" applyNumberFormat="1" applyFont="1" applyFill="1" applyBorder="1" applyAlignment="1" applyProtection="1">
      <alignment horizontal="left" vertical="top"/>
      <protection locked="0"/>
    </xf>
    <xf numFmtId="5" fontId="45" fillId="11" borderId="0" xfId="0" applyNumberFormat="1" applyFont="1" applyFill="1" applyAlignment="1" applyProtection="1">
      <alignment horizontal="left" vertical="top"/>
      <protection locked="0"/>
    </xf>
    <xf numFmtId="5" fontId="45" fillId="11" borderId="0" xfId="0" applyNumberFormat="1" applyFont="1" applyFill="1" applyBorder="1" applyAlignment="1" applyProtection="1">
      <alignment horizontal="left" vertical="top"/>
      <protection locked="0"/>
    </xf>
    <xf numFmtId="5" fontId="45" fillId="11" borderId="19" xfId="0" applyNumberFormat="1" applyFont="1" applyFill="1" applyBorder="1" applyAlignment="1" applyProtection="1">
      <alignment horizontal="left" vertical="top"/>
      <protection locked="0"/>
    </xf>
    <xf numFmtId="5" fontId="39" fillId="11" borderId="0" xfId="0" applyNumberFormat="1" applyFont="1" applyFill="1" applyBorder="1" applyAlignment="1" applyProtection="1">
      <alignment horizontal="left" vertical="top"/>
      <protection locked="0"/>
    </xf>
    <xf numFmtId="5" fontId="39" fillId="11" borderId="18" xfId="0" applyNumberFormat="1" applyFont="1" applyFill="1" applyBorder="1" applyAlignment="1" applyProtection="1">
      <alignment horizontal="left" vertical="top"/>
      <protection locked="0"/>
    </xf>
    <xf numFmtId="172" fontId="0" fillId="11" borderId="0" xfId="0" applyNumberFormat="1" applyFont="1" applyFill="1" applyBorder="1" applyAlignment="1" applyProtection="1">
      <alignment horizontal="left" vertical="top"/>
      <protection locked="0"/>
    </xf>
    <xf numFmtId="171" fontId="46" fillId="11" borderId="0" xfId="0" applyNumberFormat="1" applyFont="1" applyFill="1" applyAlignment="1" applyProtection="1">
      <alignment horizontal="left" vertical="top"/>
      <protection locked="0"/>
    </xf>
    <xf numFmtId="164" fontId="23" fillId="0" borderId="0" xfId="0" applyFont="1" applyAlignment="1">
      <alignment horizontal="left"/>
    </xf>
    <xf numFmtId="0" fontId="44" fillId="0" borderId="0" xfId="30" applyFont="1" applyFill="1" applyBorder="1"/>
    <xf numFmtId="164" fontId="0" fillId="0" borderId="0" xfId="0" applyFont="1"/>
    <xf numFmtId="167" fontId="26" fillId="0" borderId="0" xfId="30" applyNumberFormat="1"/>
    <xf numFmtId="168" fontId="26" fillId="0" borderId="0" xfId="30" applyNumberFormat="1"/>
    <xf numFmtId="167" fontId="0" fillId="0" borderId="0" xfId="0" applyNumberFormat="1" applyFont="1" applyFill="1" applyBorder="1"/>
    <xf numFmtId="0" fontId="47" fillId="0" borderId="0" xfId="30" applyFont="1"/>
    <xf numFmtId="8" fontId="44" fillId="0" borderId="0" xfId="30" applyNumberFormat="1" applyFont="1"/>
    <xf numFmtId="9" fontId="44" fillId="0" borderId="0" xfId="30" applyNumberFormat="1" applyFont="1"/>
    <xf numFmtId="0" fontId="48" fillId="0" borderId="0" xfId="30" applyFont="1"/>
    <xf numFmtId="0" fontId="44" fillId="0" borderId="0" xfId="40" applyFont="1" applyBorder="1"/>
    <xf numFmtId="0" fontId="26" fillId="0" borderId="0" xfId="30" applyAlignment="1">
      <alignment horizontal="right"/>
    </xf>
    <xf numFmtId="164" fontId="49" fillId="17" borderId="23" xfId="0" applyFont="1" applyFill="1" applyBorder="1" applyAlignment="1">
      <alignment horizontal="left"/>
    </xf>
    <xf numFmtId="164" fontId="50" fillId="17" borderId="23" xfId="0" applyFont="1" applyFill="1" applyBorder="1" applyAlignment="1">
      <alignment horizontal="right"/>
    </xf>
    <xf numFmtId="164" fontId="49" fillId="17" borderId="11" xfId="0" applyFont="1" applyFill="1" applyBorder="1" applyAlignment="1">
      <alignment horizontal="left"/>
    </xf>
    <xf numFmtId="164" fontId="51" fillId="18" borderId="0" xfId="0" applyFont="1" applyFill="1" applyBorder="1" applyAlignment="1">
      <alignment horizontal="left"/>
    </xf>
    <xf numFmtId="164" fontId="0" fillId="0" borderId="0" xfId="0" applyFill="1" applyBorder="1" applyAlignment="1"/>
    <xf numFmtId="164" fontId="22" fillId="0" borderId="0" xfId="0" applyFont="1" applyFill="1" applyBorder="1" applyAlignment="1">
      <alignment vertical="top" wrapText="1"/>
    </xf>
    <xf numFmtId="164" fontId="52" fillId="18" borderId="24" xfId="0" applyFont="1" applyFill="1" applyBorder="1" applyAlignment="1">
      <alignment horizontal="left"/>
    </xf>
    <xf numFmtId="164" fontId="0" fillId="0" borderId="24" xfId="0" applyFill="1" applyBorder="1" applyAlignment="1"/>
    <xf numFmtId="5" fontId="44" fillId="11" borderId="20" xfId="0" applyNumberFormat="1" applyFont="1" applyFill="1" applyBorder="1" applyAlignment="1" applyProtection="1">
      <alignment horizontal="left" vertical="top"/>
      <protection locked="0"/>
    </xf>
    <xf numFmtId="171" fontId="0" fillId="0" borderId="0" xfId="0" applyNumberFormat="1" applyFill="1" applyBorder="1" applyAlignment="1"/>
    <xf numFmtId="171" fontId="0" fillId="19" borderId="0" xfId="0" applyNumberFormat="1" applyFill="1" applyBorder="1" applyAlignment="1"/>
    <xf numFmtId="9" fontId="0" fillId="0" borderId="0" xfId="0" applyNumberFormat="1" applyFill="1" applyBorder="1" applyAlignment="1"/>
    <xf numFmtId="9" fontId="0" fillId="19" borderId="0" xfId="0" applyNumberFormat="1" applyFill="1" applyBorder="1" applyAlignment="1"/>
    <xf numFmtId="164" fontId="39" fillId="11" borderId="0" xfId="0" applyFont="1" applyFill="1" applyAlignment="1" applyProtection="1">
      <alignment horizontal="right" vertical="top"/>
      <protection locked="0"/>
    </xf>
    <xf numFmtId="5" fontId="0" fillId="0" borderId="0" xfId="0" applyNumberFormat="1" applyFill="1" applyBorder="1" applyAlignment="1"/>
    <xf numFmtId="164" fontId="51" fillId="18" borderId="25" xfId="0" applyFont="1" applyFill="1" applyBorder="1" applyAlignment="1">
      <alignment horizontal="left"/>
    </xf>
    <xf numFmtId="5" fontId="0" fillId="0" borderId="25" xfId="0" applyNumberFormat="1" applyFill="1" applyBorder="1" applyAlignment="1"/>
    <xf numFmtId="167" fontId="0" fillId="0" borderId="0" xfId="0" applyNumberFormat="1" applyAlignment="1">
      <alignment horizontal="left"/>
    </xf>
    <xf numFmtId="164" fontId="0" fillId="0" borderId="0" xfId="0" applyNumberFormat="1"/>
    <xf numFmtId="173" fontId="0" fillId="0" borderId="0" xfId="0" applyNumberFormat="1"/>
    <xf numFmtId="164" fontId="50" fillId="17" borderId="11" xfId="0" applyFont="1" applyFill="1" applyBorder="1" applyAlignment="1">
      <alignment horizontal="center" vertical="center" wrapText="1"/>
    </xf>
    <xf numFmtId="171" fontId="45" fillId="11" borderId="18" xfId="0" applyNumberFormat="1" applyFont="1" applyFill="1" applyBorder="1" applyAlignment="1" applyProtection="1">
      <alignment horizontal="left" vertical="top"/>
      <protection locked="0"/>
    </xf>
    <xf numFmtId="164" fontId="11" fillId="11" borderId="0" xfId="0" applyFont="1" applyFill="1" applyAlignment="1" applyProtection="1">
      <alignment horizontal="left" vertical="top"/>
      <protection locked="0"/>
    </xf>
    <xf numFmtId="164" fontId="11" fillId="11" borderId="0" xfId="0" applyFont="1" applyFill="1" applyAlignment="1" applyProtection="1">
      <alignment horizontal="right" vertical="top"/>
      <protection locked="0"/>
    </xf>
    <xf numFmtId="164" fontId="11" fillId="11" borderId="0" xfId="0" quotePrefix="1" applyFont="1" applyFill="1" applyAlignment="1" applyProtection="1">
      <alignment horizontal="left" vertical="top"/>
      <protection locked="0"/>
    </xf>
    <xf numFmtId="164" fontId="11" fillId="11" borderId="11" xfId="0" applyFont="1" applyFill="1" applyBorder="1" applyAlignment="1" applyProtection="1">
      <alignment horizontal="left" vertical="top"/>
      <protection locked="0"/>
    </xf>
    <xf numFmtId="164" fontId="11" fillId="11" borderId="0" xfId="0" applyFont="1" applyFill="1" applyBorder="1" applyAlignment="1" applyProtection="1">
      <alignment horizontal="left" vertical="top"/>
      <protection locked="0"/>
    </xf>
    <xf numFmtId="164" fontId="11" fillId="11" borderId="18" xfId="0" applyFont="1" applyFill="1" applyBorder="1" applyAlignment="1" applyProtection="1">
      <alignment horizontal="left" vertical="top"/>
      <protection locked="0"/>
    </xf>
    <xf numFmtId="5" fontId="11" fillId="11" borderId="18" xfId="0" applyNumberFormat="1" applyFont="1" applyFill="1" applyBorder="1" applyAlignment="1" applyProtection="1">
      <alignment horizontal="left" vertical="top"/>
      <protection locked="0"/>
    </xf>
    <xf numFmtId="5" fontId="11" fillId="11" borderId="0" xfId="0" applyNumberFormat="1" applyFont="1" applyFill="1" applyAlignment="1" applyProtection="1">
      <alignment horizontal="left" vertical="top"/>
      <protection locked="0"/>
    </xf>
    <xf numFmtId="171" fontId="11" fillId="11" borderId="0" xfId="0" applyNumberFormat="1" applyFont="1" applyFill="1" applyAlignment="1" applyProtection="1">
      <alignment horizontal="left" vertical="top"/>
      <protection locked="0"/>
    </xf>
    <xf numFmtId="5" fontId="11" fillId="11" borderId="19" xfId="0" applyNumberFormat="1" applyFont="1" applyFill="1" applyBorder="1" applyAlignment="1" applyProtection="1">
      <alignment horizontal="left" vertical="top"/>
      <protection locked="0"/>
    </xf>
    <xf numFmtId="5" fontId="11" fillId="11" borderId="0" xfId="0" applyNumberFormat="1" applyFont="1" applyFill="1" applyBorder="1" applyAlignment="1" applyProtection="1">
      <alignment horizontal="left" vertical="top"/>
      <protection locked="0"/>
    </xf>
    <xf numFmtId="5" fontId="11" fillId="11" borderId="20" xfId="0" applyNumberFormat="1" applyFont="1" applyFill="1" applyBorder="1" applyAlignment="1" applyProtection="1">
      <alignment horizontal="left" vertical="top"/>
      <protection locked="0"/>
    </xf>
    <xf numFmtId="9" fontId="11" fillId="12" borderId="22" xfId="1" applyFont="1" applyFill="1" applyBorder="1"/>
    <xf numFmtId="172" fontId="11" fillId="11" borderId="0" xfId="0" applyNumberFormat="1" applyFont="1" applyFill="1" applyBorder="1" applyAlignment="1" applyProtection="1">
      <alignment horizontal="left" vertical="top"/>
      <protection locked="0"/>
    </xf>
    <xf numFmtId="171" fontId="11" fillId="11" borderId="0" xfId="0" applyNumberFormat="1" applyFont="1" applyFill="1" applyBorder="1" applyAlignment="1" applyProtection="1">
      <alignment horizontal="left" vertical="top"/>
      <protection locked="0"/>
    </xf>
    <xf numFmtId="0" fontId="53" fillId="0" borderId="0" xfId="30" applyFont="1"/>
    <xf numFmtId="171" fontId="0" fillId="11" borderId="0" xfId="0" applyNumberFormat="1" applyFont="1" applyFill="1" applyAlignment="1" applyProtection="1">
      <alignment horizontal="left" vertical="top"/>
      <protection locked="0"/>
    </xf>
    <xf numFmtId="171" fontId="0" fillId="11" borderId="0" xfId="0" applyNumberFormat="1" applyFont="1" applyFill="1" applyBorder="1" applyAlignment="1" applyProtection="1">
      <alignment horizontal="left" vertical="top"/>
      <protection locked="0"/>
    </xf>
    <xf numFmtId="164" fontId="0" fillId="11" borderId="0" xfId="0" applyFont="1" applyFill="1" applyAlignment="1" applyProtection="1">
      <alignment horizontal="right" vertical="top"/>
      <protection locked="0"/>
    </xf>
    <xf numFmtId="8" fontId="26" fillId="0" borderId="0" xfId="30" applyNumberFormat="1"/>
    <xf numFmtId="167" fontId="26" fillId="0" borderId="0" xfId="1" applyNumberFormat="1" applyFont="1"/>
    <xf numFmtId="166" fontId="0" fillId="0" borderId="0" xfId="0" applyNumberFormat="1"/>
    <xf numFmtId="0" fontId="54" fillId="0" borderId="0" xfId="30" applyFont="1"/>
    <xf numFmtId="164" fontId="55" fillId="0" borderId="0" xfId="0" applyFont="1"/>
    <xf numFmtId="0" fontId="56" fillId="0" borderId="0" xfId="30" applyNumberFormat="1" applyFont="1" applyFill="1" applyBorder="1"/>
    <xf numFmtId="49" fontId="57" fillId="0" borderId="0" xfId="0" applyNumberFormat="1" applyFont="1" applyAlignment="1">
      <alignment vertical="top"/>
    </xf>
    <xf numFmtId="164" fontId="0" fillId="0" borderId="26" xfId="0" applyBorder="1"/>
    <xf numFmtId="0" fontId="60" fillId="20" borderId="26" xfId="27" applyNumberFormat="1" applyFont="1" applyFill="1" applyBorder="1" applyAlignment="1">
      <alignment horizontal="center"/>
    </xf>
    <xf numFmtId="164" fontId="60" fillId="20" borderId="26" xfId="0" applyFont="1" applyFill="1" applyBorder="1" applyAlignment="1">
      <alignment horizontal="center"/>
    </xf>
    <xf numFmtId="49" fontId="57" fillId="0" borderId="0" xfId="0" applyNumberFormat="1" applyFont="1" applyAlignment="1">
      <alignment horizontal="left" vertical="top" indent="2"/>
    </xf>
    <xf numFmtId="0" fontId="61" fillId="0" borderId="0" xfId="30" applyFont="1" applyFill="1" applyBorder="1"/>
    <xf numFmtId="164" fontId="3" fillId="0" borderId="0" xfId="0" applyFont="1"/>
    <xf numFmtId="164" fontId="62" fillId="11" borderId="0" xfId="0" applyFont="1" applyFill="1" applyAlignment="1" applyProtection="1">
      <alignment horizontal="left" vertical="top"/>
      <protection locked="0"/>
    </xf>
    <xf numFmtId="164" fontId="62" fillId="11" borderId="0" xfId="0" applyFont="1" applyFill="1" applyAlignment="1" applyProtection="1">
      <alignment horizontal="right" vertical="top"/>
      <protection locked="0"/>
    </xf>
    <xf numFmtId="0" fontId="59" fillId="0" borderId="0" xfId="30" applyFont="1"/>
    <xf numFmtId="164" fontId="3" fillId="11" borderId="0" xfId="0" applyFont="1" applyFill="1" applyAlignment="1" applyProtection="1">
      <alignment horizontal="left" vertical="top"/>
      <protection locked="0"/>
    </xf>
    <xf numFmtId="164" fontId="3" fillId="11" borderId="0" xfId="0" applyFont="1" applyFill="1" applyAlignment="1" applyProtection="1">
      <alignment horizontal="right" vertical="top"/>
      <protection locked="0"/>
    </xf>
    <xf numFmtId="164" fontId="3" fillId="11" borderId="0" xfId="0" quotePrefix="1" applyFont="1" applyFill="1" applyAlignment="1" applyProtection="1">
      <alignment horizontal="center" vertical="top"/>
      <protection locked="0"/>
    </xf>
    <xf numFmtId="170" fontId="63" fillId="20" borderId="26" xfId="0" applyNumberFormat="1" applyFont="1" applyFill="1" applyBorder="1" applyAlignment="1" applyProtection="1">
      <alignment horizontal="center" vertical="top"/>
      <protection locked="0"/>
    </xf>
    <xf numFmtId="164" fontId="3" fillId="11" borderId="0" xfId="0" applyFont="1" applyFill="1" applyBorder="1" applyAlignment="1" applyProtection="1">
      <alignment horizontal="left" vertical="top"/>
      <protection locked="0"/>
    </xf>
    <xf numFmtId="171" fontId="3" fillId="11" borderId="0" xfId="0" applyNumberFormat="1" applyFont="1" applyFill="1" applyAlignment="1" applyProtection="1">
      <alignment horizontal="left" vertical="top"/>
      <protection locked="0"/>
    </xf>
    <xf numFmtId="5" fontId="3" fillId="11" borderId="0" xfId="0" applyNumberFormat="1" applyFont="1" applyFill="1" applyBorder="1" applyAlignment="1" applyProtection="1">
      <alignment horizontal="left" vertical="top"/>
      <protection locked="0"/>
    </xf>
    <xf numFmtId="164" fontId="58" fillId="11" borderId="0" xfId="0" applyFont="1" applyFill="1" applyAlignment="1" applyProtection="1">
      <alignment horizontal="right" vertical="top"/>
      <protection locked="0"/>
    </xf>
    <xf numFmtId="5" fontId="58" fillId="11" borderId="0" xfId="0" applyNumberFormat="1" applyFont="1" applyFill="1" applyBorder="1" applyAlignment="1" applyProtection="1">
      <alignment horizontal="left" vertical="top"/>
      <protection locked="0"/>
    </xf>
    <xf numFmtId="172" fontId="3" fillId="11" borderId="0" xfId="0" applyNumberFormat="1" applyFont="1" applyFill="1" applyBorder="1" applyAlignment="1" applyProtection="1">
      <alignment horizontal="left" vertical="top"/>
      <protection locked="0"/>
    </xf>
    <xf numFmtId="171" fontId="3" fillId="11" borderId="0" xfId="0" applyNumberFormat="1" applyFont="1" applyFill="1" applyBorder="1" applyAlignment="1" applyProtection="1">
      <alignment horizontal="left" vertical="top"/>
      <protection locked="0"/>
    </xf>
    <xf numFmtId="164" fontId="65" fillId="0" borderId="0" xfId="0" applyFont="1" applyAlignment="1">
      <alignment horizontal="left"/>
    </xf>
    <xf numFmtId="0" fontId="59" fillId="0" borderId="0" xfId="30" applyFont="1" applyFill="1" applyBorder="1"/>
    <xf numFmtId="5" fontId="66" fillId="11" borderId="0" xfId="0" applyNumberFormat="1" applyFont="1" applyFill="1" applyBorder="1" applyAlignment="1" applyProtection="1">
      <alignment horizontal="left" vertical="top"/>
      <protection locked="0"/>
    </xf>
    <xf numFmtId="5" fontId="66" fillId="11" borderId="11" xfId="0" applyNumberFormat="1" applyFont="1" applyFill="1" applyBorder="1" applyAlignment="1" applyProtection="1">
      <alignment horizontal="left" vertical="top"/>
      <protection locked="0"/>
    </xf>
    <xf numFmtId="5" fontId="59" fillId="11" borderId="11" xfId="0" applyNumberFormat="1" applyFont="1" applyFill="1" applyBorder="1" applyAlignment="1" applyProtection="1">
      <alignment horizontal="left" vertical="top"/>
      <protection locked="0"/>
    </xf>
    <xf numFmtId="5" fontId="3" fillId="11" borderId="11" xfId="0" applyNumberFormat="1" applyFont="1" applyFill="1" applyBorder="1" applyAlignment="1" applyProtection="1">
      <alignment horizontal="left" vertical="top"/>
      <protection locked="0"/>
    </xf>
    <xf numFmtId="5" fontId="66" fillId="11" borderId="29" xfId="0" applyNumberFormat="1" applyFont="1" applyFill="1" applyBorder="1" applyAlignment="1" applyProtection="1">
      <alignment horizontal="left" vertical="top"/>
      <protection locked="0"/>
    </xf>
    <xf numFmtId="5" fontId="66" fillId="11" borderId="30" xfId="0" applyNumberFormat="1" applyFont="1" applyFill="1" applyBorder="1" applyAlignment="1" applyProtection="1">
      <alignment horizontal="left" vertical="top"/>
      <protection locked="0"/>
    </xf>
    <xf numFmtId="5" fontId="3" fillId="11" borderId="29" xfId="0" applyNumberFormat="1" applyFont="1" applyFill="1" applyBorder="1" applyAlignment="1" applyProtection="1">
      <alignment horizontal="left" vertical="top"/>
      <protection locked="0"/>
    </xf>
    <xf numFmtId="5" fontId="58" fillId="11" borderId="29" xfId="0" applyNumberFormat="1" applyFont="1" applyFill="1" applyBorder="1" applyAlignment="1" applyProtection="1">
      <alignment horizontal="left" vertical="top"/>
      <protection locked="0"/>
    </xf>
    <xf numFmtId="171" fontId="66" fillId="11" borderId="31" xfId="0" applyNumberFormat="1" applyFont="1" applyFill="1" applyBorder="1" applyAlignment="1" applyProtection="1">
      <alignment horizontal="left" vertical="top"/>
      <protection locked="0"/>
    </xf>
    <xf numFmtId="171" fontId="66" fillId="11" borderId="32" xfId="0" applyNumberFormat="1" applyFont="1" applyFill="1" applyBorder="1" applyAlignment="1" applyProtection="1">
      <alignment horizontal="left" vertical="top"/>
      <protection locked="0"/>
    </xf>
    <xf numFmtId="164" fontId="3" fillId="11" borderId="33" xfId="0" applyFont="1" applyFill="1" applyBorder="1" applyAlignment="1" applyProtection="1">
      <alignment horizontal="center" vertical="top"/>
      <protection locked="0"/>
    </xf>
    <xf numFmtId="171" fontId="59" fillId="11" borderId="33" xfId="0" applyNumberFormat="1" applyFont="1" applyFill="1" applyBorder="1" applyAlignment="1" applyProtection="1">
      <alignment horizontal="center" vertical="center" wrapText="1"/>
      <protection locked="0"/>
    </xf>
    <xf numFmtId="171" fontId="67" fillId="11" borderId="0" xfId="0" applyNumberFormat="1" applyFont="1" applyFill="1" applyAlignment="1" applyProtection="1">
      <alignment horizontal="left" vertical="top"/>
      <protection locked="0"/>
    </xf>
    <xf numFmtId="171" fontId="67" fillId="11" borderId="11" xfId="0" applyNumberFormat="1" applyFont="1" applyFill="1" applyBorder="1" applyAlignment="1" applyProtection="1">
      <alignment horizontal="left" vertical="top"/>
      <protection locked="0"/>
    </xf>
    <xf numFmtId="171" fontId="68" fillId="11" borderId="0" xfId="0" applyNumberFormat="1" applyFont="1" applyFill="1" applyBorder="1" applyAlignment="1" applyProtection="1">
      <alignment horizontal="left" vertical="top"/>
      <protection locked="0"/>
    </xf>
    <xf numFmtId="164" fontId="64" fillId="13" borderId="26" xfId="0" applyNumberFormat="1" applyFont="1" applyFill="1" applyBorder="1"/>
    <xf numFmtId="49" fontId="57" fillId="0" borderId="0" xfId="0" applyNumberFormat="1" applyFont="1" applyAlignment="1">
      <alignment horizontal="left" vertical="center"/>
    </xf>
    <xf numFmtId="0" fontId="61" fillId="0" borderId="0" xfId="30" applyFont="1"/>
    <xf numFmtId="164" fontId="57" fillId="0" borderId="0" xfId="0" applyFont="1" applyAlignment="1">
      <alignment horizontal="left" vertical="center"/>
    </xf>
    <xf numFmtId="164" fontId="0" fillId="0" borderId="26" xfId="0" applyFont="1" applyFill="1" applyBorder="1" applyAlignment="1">
      <alignment horizontal="right"/>
    </xf>
    <xf numFmtId="3" fontId="0" fillId="0" borderId="26" xfId="0" applyNumberFormat="1" applyFont="1" applyFill="1" applyBorder="1"/>
    <xf numFmtId="168" fontId="0" fillId="0" borderId="26" xfId="0" applyNumberFormat="1" applyFont="1" applyFill="1" applyBorder="1"/>
    <xf numFmtId="5" fontId="44" fillId="14" borderId="26" xfId="41" applyNumberFormat="1" applyFont="1" applyFill="1" applyBorder="1"/>
    <xf numFmtId="164" fontId="23" fillId="21" borderId="26" xfId="0" applyFont="1" applyFill="1" applyBorder="1" applyAlignment="1">
      <alignment horizontal="right"/>
    </xf>
    <xf numFmtId="168" fontId="23" fillId="21" borderId="26" xfId="0" applyNumberFormat="1" applyFont="1" applyFill="1" applyBorder="1"/>
    <xf numFmtId="5" fontId="10" fillId="20" borderId="26" xfId="41" applyNumberFormat="1" applyFont="1" applyFill="1" applyBorder="1" applyAlignment="1">
      <alignment horizontal="right" vertical="center"/>
    </xf>
    <xf numFmtId="0" fontId="10" fillId="20" borderId="26" xfId="38" applyFont="1" applyFill="1" applyBorder="1" applyAlignment="1">
      <alignment horizontal="right" vertical="center"/>
    </xf>
    <xf numFmtId="166" fontId="10" fillId="20" borderId="26" xfId="31" applyNumberFormat="1" applyFont="1" applyFill="1" applyBorder="1" applyAlignment="1">
      <alignment horizontal="center"/>
    </xf>
    <xf numFmtId="49" fontId="63" fillId="20" borderId="26" xfId="31" applyNumberFormat="1" applyFont="1" applyFill="1" applyBorder="1" applyAlignment="1">
      <alignment horizontal="center" vertical="center" wrapText="1"/>
    </xf>
    <xf numFmtId="0" fontId="59" fillId="0" borderId="26" xfId="40" applyFont="1" applyBorder="1"/>
    <xf numFmtId="164" fontId="3" fillId="0" borderId="26" xfId="0" applyFont="1" applyBorder="1"/>
    <xf numFmtId="6" fontId="59" fillId="0" borderId="26" xfId="30" applyNumberFormat="1" applyFont="1" applyBorder="1"/>
    <xf numFmtId="7" fontId="3" fillId="0" borderId="26" xfId="41" applyNumberFormat="1" applyFont="1" applyBorder="1"/>
    <xf numFmtId="49" fontId="63" fillId="20" borderId="26" xfId="31" applyNumberFormat="1" applyFont="1" applyFill="1" applyBorder="1" applyAlignment="1">
      <alignment horizontal="right" vertical="center" wrapText="1"/>
    </xf>
    <xf numFmtId="9" fontId="59" fillId="0" borderId="26" xfId="30" applyNumberFormat="1" applyFont="1" applyBorder="1"/>
    <xf numFmtId="1" fontId="59" fillId="0" borderId="26" xfId="30" applyNumberFormat="1" applyFont="1" applyBorder="1" applyAlignment="1">
      <alignment horizontal="right"/>
    </xf>
    <xf numFmtId="166" fontId="63" fillId="20" borderId="26" xfId="31" applyNumberFormat="1" applyFont="1" applyFill="1" applyBorder="1" applyAlignment="1">
      <alignment horizontal="center" vertical="center" wrapText="1"/>
    </xf>
    <xf numFmtId="3" fontId="3" fillId="0" borderId="26" xfId="0" applyNumberFormat="1" applyFont="1" applyFill="1" applyBorder="1" applyAlignment="1">
      <alignment vertical="center"/>
    </xf>
    <xf numFmtId="166" fontId="63" fillId="20" borderId="26" xfId="31" applyNumberFormat="1" applyFont="1" applyFill="1" applyBorder="1" applyAlignment="1">
      <alignment horizontal="center" wrapText="1"/>
    </xf>
    <xf numFmtId="168" fontId="3" fillId="0" borderId="26" xfId="0" applyNumberFormat="1" applyFont="1" applyFill="1" applyBorder="1" applyAlignment="1">
      <alignment vertical="center"/>
    </xf>
    <xf numFmtId="5" fontId="59" fillId="14" borderId="26" xfId="41" applyNumberFormat="1" applyFont="1" applyFill="1" applyBorder="1"/>
    <xf numFmtId="164" fontId="3" fillId="0" borderId="0" xfId="0" applyFont="1" applyAlignment="1">
      <alignment vertical="center"/>
    </xf>
    <xf numFmtId="0" fontId="58" fillId="0" borderId="0" xfId="30" applyFont="1" applyAlignment="1">
      <alignment horizontal="center"/>
    </xf>
    <xf numFmtId="8" fontId="44" fillId="14" borderId="26" xfId="1" applyNumberFormat="1" applyFont="1" applyFill="1" applyBorder="1"/>
    <xf numFmtId="7" fontId="39" fillId="14" borderId="26" xfId="41" applyNumberFormat="1" applyFont="1" applyFill="1" applyBorder="1"/>
    <xf numFmtId="164" fontId="2" fillId="11" borderId="0" xfId="0" applyFont="1" applyFill="1" applyBorder="1" applyAlignment="1" applyProtection="1">
      <alignment horizontal="center" vertical="top"/>
      <protection locked="0"/>
    </xf>
    <xf numFmtId="37" fontId="0" fillId="0" borderId="26" xfId="0" applyNumberFormat="1" applyBorder="1"/>
    <xf numFmtId="10" fontId="44" fillId="14" borderId="26" xfId="1" applyNumberFormat="1" applyFont="1" applyFill="1" applyBorder="1"/>
    <xf numFmtId="164" fontId="1" fillId="11" borderId="0" xfId="0" quotePrefix="1" applyFont="1" applyFill="1" applyAlignment="1" applyProtection="1">
      <alignment horizontal="center" vertical="center"/>
      <protection locked="0"/>
    </xf>
    <xf numFmtId="37" fontId="0" fillId="21" borderId="26" xfId="0" applyNumberFormat="1" applyFill="1" applyBorder="1"/>
    <xf numFmtId="164" fontId="0" fillId="21" borderId="26" xfId="0" applyFill="1" applyBorder="1" applyAlignment="1">
      <alignment horizontal="right"/>
    </xf>
    <xf numFmtId="10" fontId="63" fillId="20" borderId="26" xfId="1" applyNumberFormat="1" applyFont="1" applyFill="1" applyBorder="1" applyAlignment="1">
      <alignment horizontal="right"/>
    </xf>
    <xf numFmtId="164" fontId="63" fillId="20" borderId="27" xfId="0" applyFont="1" applyFill="1" applyBorder="1" applyAlignment="1" applyProtection="1">
      <alignment horizontal="center" vertical="top"/>
      <protection locked="0"/>
    </xf>
    <xf numFmtId="164" fontId="63" fillId="20" borderId="24" xfId="0" applyFont="1" applyFill="1" applyBorder="1" applyAlignment="1" applyProtection="1">
      <alignment horizontal="center" vertical="top"/>
      <protection locked="0"/>
    </xf>
    <xf numFmtId="164" fontId="63" fillId="20" borderId="28" xfId="0" applyFont="1" applyFill="1" applyBorder="1" applyAlignment="1" applyProtection="1">
      <alignment horizontal="center" vertical="top"/>
      <protection locked="0"/>
    </xf>
    <xf numFmtId="164" fontId="38" fillId="13" borderId="27" xfId="0" applyNumberFormat="1" applyFont="1" applyFill="1" applyBorder="1" applyAlignment="1">
      <alignment horizontal="right"/>
    </xf>
    <xf numFmtId="164" fontId="38" fillId="13" borderId="28" xfId="0" applyNumberFormat="1" applyFont="1" applyFill="1" applyBorder="1" applyAlignment="1">
      <alignment horizontal="right"/>
    </xf>
    <xf numFmtId="164" fontId="38" fillId="13" borderId="26" xfId="0" applyNumberFormat="1" applyFont="1" applyFill="1" applyBorder="1" applyAlignment="1">
      <alignment horizontal="right"/>
    </xf>
    <xf numFmtId="164" fontId="0" fillId="15" borderId="26" xfId="0" applyNumberFormat="1" applyFont="1" applyFill="1" applyBorder="1" applyAlignment="1">
      <alignment horizontal="right"/>
    </xf>
    <xf numFmtId="164" fontId="63" fillId="20" borderId="26" xfId="0" applyFont="1" applyFill="1" applyBorder="1" applyAlignment="1" applyProtection="1">
      <alignment horizontal="center" vertical="top"/>
      <protection locked="0"/>
    </xf>
    <xf numFmtId="164" fontId="38" fillId="22" borderId="26" xfId="0" applyNumberFormat="1" applyFont="1" applyFill="1" applyBorder="1" applyAlignment="1">
      <alignment horizontal="center"/>
    </xf>
    <xf numFmtId="0" fontId="39" fillId="0" borderId="11" xfId="30" applyFont="1" applyBorder="1" applyAlignment="1">
      <alignment horizontal="center"/>
    </xf>
    <xf numFmtId="0" fontId="23" fillId="0" borderId="29" xfId="38" applyFont="1" applyFill="1" applyBorder="1" applyAlignment="1">
      <alignment horizontal="right" vertical="center" textRotation="90"/>
    </xf>
    <xf numFmtId="49" fontId="63" fillId="20" borderId="33" xfId="31" applyNumberFormat="1" applyFont="1" applyFill="1" applyBorder="1" applyAlignment="1">
      <alignment horizontal="center" vertical="center" wrapText="1"/>
    </xf>
    <xf numFmtId="49" fontId="63" fillId="20" borderId="11" xfId="31" applyNumberFormat="1" applyFont="1" applyFill="1" applyBorder="1" applyAlignment="1">
      <alignment horizontal="center" vertical="center" wrapText="1"/>
    </xf>
    <xf numFmtId="164" fontId="50" fillId="17" borderId="11" xfId="0" applyFont="1" applyFill="1" applyBorder="1" applyAlignment="1">
      <alignment horizontal="right"/>
    </xf>
  </cellXfs>
  <cellStyles count="42">
    <cellStyle name="Bad" xfId="8" builtinId="27" customBuiltin="1"/>
    <cellStyle name="Calculation" xfId="12" builtinId="22" customBuiltin="1"/>
    <cellStyle name="Check Cell" xfId="14" builtinId="23" customBuiltin="1"/>
    <cellStyle name="Comma" xfId="31" builtinId="3"/>
    <cellStyle name="Comma 2" xfId="39" xr:uid="{00000000-0005-0000-0000-000004000000}"/>
    <cellStyle name="Currency" xfId="41" builtinId="4"/>
    <cellStyle name="Explanatory Text" xfId="16" builtinId="53" customBuiltin="1"/>
    <cellStyle name="Followed Hyperlink" xfId="33" builtinId="9" hidden="1"/>
    <cellStyle name="Followed Hyperlink" xfId="35" builtinId="9" hidden="1"/>
    <cellStyle name="Followed Hyperlink" xfId="37" builtinId="9" hidde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2" builtinId="8" hidden="1"/>
    <cellStyle name="Hyperlink" xfId="34" builtinId="8" hidden="1"/>
    <cellStyle name="Hyperlink" xfId="36" builtinId="8" hidden="1"/>
    <cellStyle name="Input" xfId="10" builtinId="20" customBuiltin="1"/>
    <cellStyle name="Linked Cell" xfId="13" builtinId="24" customBuiltin="1"/>
    <cellStyle name="Neutral" xfId="9" builtinId="28" customBuiltin="1"/>
    <cellStyle name="Normal" xfId="0" builtinId="0" customBuiltin="1"/>
    <cellStyle name="Normal 2" xfId="30" xr:uid="{00000000-0005-0000-0000-000016000000}"/>
    <cellStyle name="Normal 3" xfId="38" xr:uid="{00000000-0005-0000-0000-000017000000}"/>
    <cellStyle name="Normal 4" xfId="40" xr:uid="{00000000-0005-0000-0000-000018000000}"/>
    <cellStyle name="Note" xfId="15" builtinId="10" customBuiltin="1"/>
    <cellStyle name="Output" xfId="11" builtinId="21" customBuiltin="1"/>
    <cellStyle name="Percent" xfId="1" builtinId="5" customBuiltin="1"/>
    <cellStyle name="Smart Bold" xfId="18" xr:uid="{00000000-0005-0000-0000-00001C000000}"/>
    <cellStyle name="Smart Forecast" xfId="19" xr:uid="{00000000-0005-0000-0000-00001D000000}"/>
    <cellStyle name="Smart General" xfId="20" xr:uid="{00000000-0005-0000-0000-00001E000000}"/>
    <cellStyle name="Smart Highlight" xfId="21" xr:uid="{00000000-0005-0000-0000-00001F000000}"/>
    <cellStyle name="Smart Percent" xfId="22" xr:uid="{00000000-0005-0000-0000-000020000000}"/>
    <cellStyle name="Smart Source" xfId="23" xr:uid="{00000000-0005-0000-0000-000021000000}"/>
    <cellStyle name="Smart Subtitle 1" xfId="24" xr:uid="{00000000-0005-0000-0000-000022000000}"/>
    <cellStyle name="Smart Subtitle 2" xfId="25" xr:uid="{00000000-0005-0000-0000-000023000000}"/>
    <cellStyle name="Smart Subtitle 3" xfId="26" xr:uid="{00000000-0005-0000-0000-000024000000}"/>
    <cellStyle name="Smart Subtotal" xfId="27" xr:uid="{00000000-0005-0000-0000-000025000000}"/>
    <cellStyle name="Smart Title" xfId="28" xr:uid="{00000000-0005-0000-0000-000026000000}"/>
    <cellStyle name="Smart Total" xfId="29" xr:uid="{00000000-0005-0000-0000-000027000000}"/>
    <cellStyle name="Title" xfId="2" builtinId="15" customBuiltin="1"/>
    <cellStyle name="Total" xfId="17" builtinId="25" customBuiltin="1"/>
  </cellStyles>
  <dxfs count="0"/>
  <tableStyles count="0" defaultTableStyle="TableStyleMedium2" defaultPivotStyle="PivotStyleLight16"/>
  <colors>
    <mruColors>
      <color rgb="FFA3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'List Data'!$B$2</c:f>
              <c:strCache>
                <c:ptCount val="1"/>
                <c:pt idx="0">
                  <c:v>Summary Information Histogram </c:v>
                </c:pt>
              </c:strCache>
            </c:strRef>
          </c:tx>
          <c:spPr>
            <a:solidFill>
              <a:schemeClr val="accent1"/>
            </a:solidFill>
            <a:ln>
              <a:noFill/>
            </a:ln>
            <a:effectLst/>
          </c:spPr>
          <c:invertIfNegative val="0"/>
          <c:cat>
            <c:strRef>
              <c:f>'List Data'!$C$10:$C$16</c:f>
              <c:strCache>
                <c:ptCount val="6"/>
                <c:pt idx="0">
                  <c:v>($1,839,899) to ($563,497)</c:v>
                </c:pt>
                <c:pt idx="1">
                  <c:v>($563,496) to ($1)</c:v>
                </c:pt>
                <c:pt idx="2">
                  <c:v>$0 to $712,906</c:v>
                </c:pt>
                <c:pt idx="3">
                  <c:v>$712,907 to $1,989,309</c:v>
                </c:pt>
                <c:pt idx="4">
                  <c:v>$1,989,310 to $3,265,712</c:v>
                </c:pt>
                <c:pt idx="5">
                  <c:v>$3,265,713 to $4,542,115</c:v>
                </c:pt>
              </c:strCache>
            </c:strRef>
          </c:cat>
          <c:val>
            <c:numRef>
              <c:f>'List Data'!$B$10:$B$16</c:f>
              <c:numCache>
                <c:formatCode>_(* #,##0_);_(* \(#,##0\);_(* "-"_);@_)</c:formatCode>
                <c:ptCount val="7"/>
                <c:pt idx="0">
                  <c:v>6</c:v>
                </c:pt>
                <c:pt idx="1">
                  <c:v>3</c:v>
                </c:pt>
                <c:pt idx="2">
                  <c:v>13</c:v>
                </c:pt>
                <c:pt idx="3">
                  <c:v>32</c:v>
                </c:pt>
                <c:pt idx="4">
                  <c:v>21</c:v>
                </c:pt>
                <c:pt idx="5">
                  <c:v>15</c:v>
                </c:pt>
              </c:numCache>
            </c:numRef>
          </c:val>
          <c:extLst>
            <c:ext xmlns:c16="http://schemas.microsoft.com/office/drawing/2014/chart" uri="{C3380CC4-5D6E-409C-BE32-E72D297353CC}">
              <c16:uniqueId val="{00000000-DEC5-446A-B8D7-6C63829C3003}"/>
            </c:ext>
          </c:extLst>
        </c:ser>
        <c:dLbls>
          <c:showLegendKey val="0"/>
          <c:showVal val="0"/>
          <c:showCatName val="0"/>
          <c:showSerName val="0"/>
          <c:showPercent val="0"/>
          <c:showBubbleSize val="0"/>
        </c:dLbls>
        <c:gapWidth val="219"/>
        <c:overlap val="-27"/>
        <c:axId val="449267872"/>
        <c:axId val="449268264"/>
      </c:barChart>
      <c:catAx>
        <c:axId val="44926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449268264"/>
        <c:crosses val="autoZero"/>
        <c:auto val="1"/>
        <c:lblAlgn val="ctr"/>
        <c:lblOffset val="100"/>
        <c:noMultiLvlLbl val="0"/>
      </c:catAx>
      <c:valAx>
        <c:axId val="449268264"/>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4492678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9</xdr:row>
      <xdr:rowOff>28575</xdr:rowOff>
    </xdr:from>
    <xdr:to>
      <xdr:col>7</xdr:col>
      <xdr:colOff>681607</xdr:colOff>
      <xdr:row>18</xdr:row>
      <xdr:rowOff>142874</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23875" y="1571625"/>
          <a:ext cx="12399738" cy="165734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latin typeface="+mn-lt"/>
            </a:rPr>
            <a:t>Background</a:t>
          </a:r>
        </a:p>
        <a:p>
          <a:r>
            <a:rPr lang="en-US" sz="1000" baseline="0">
              <a:latin typeface="+mn-lt"/>
            </a:rPr>
            <a:t>The Retailer A is considering adding a new product to its existing product mix. This will require an initial investment of $250k to establish the manufacture insfrastructure  equired for the new product. Next, we estimate that the new product line will generate $100k in incremental profit in year one, and $50k in incremental profit for years two through five. We've outlined the outlay projections in the table below in the "Outlays" column. What is the internal rate of return for this project?</a:t>
          </a:r>
        </a:p>
        <a:p>
          <a:endParaRPr lang="en-US" sz="1000" baseline="0">
            <a:latin typeface="+mn-lt"/>
          </a:endParaRPr>
        </a:p>
        <a:p>
          <a:r>
            <a:rPr lang="en-US" sz="1000" baseline="0">
              <a:latin typeface="+mn-lt"/>
            </a:rPr>
            <a:t>We have two techniques to evaluate </a:t>
          </a:r>
          <a:r>
            <a:rPr lang="en-US" sz="1000" baseline="0">
              <a:solidFill>
                <a:schemeClr val="dk1"/>
              </a:solidFill>
              <a:effectLst/>
              <a:latin typeface="+mn-lt"/>
              <a:ea typeface="+mn-ea"/>
              <a:cs typeface="+mn-cs"/>
            </a:rPr>
            <a:t>if this project should be carried out based on our projections and initial investment over the five-year horizon. </a:t>
          </a:r>
          <a:r>
            <a:rPr lang="en-US" sz="1000" baseline="0">
              <a:latin typeface="+mn-lt"/>
            </a:rPr>
            <a:t> Net Present Value (NPV) and Internal Rate of Return (IRR). NPV accounts for the time-value of money and calculates the value of a dollar, to be received in a future time period, in today's terms for a given interest rate and also factors any costs associated with the investment (hence the "Net" part). IRR looks at the same problem from a different angle. IRR seeks to find what interest rate we'd need to arrive at a NPV of zero. In other words, NPV can be viewed as the profitability of a project in absolute terms ($$$), where IRR is the profitability of a project in relative terms (%).</a:t>
          </a:r>
        </a:p>
        <a:p>
          <a:endParaRPr lang="en-US" sz="1000">
            <a:latin typeface="+mn-lt"/>
          </a:endParaRPr>
        </a:p>
      </xdr:txBody>
    </xdr:sp>
    <xdr:clientData/>
  </xdr:twoCellAnchor>
  <mc:AlternateContent xmlns:mc="http://schemas.openxmlformats.org/markup-compatibility/2006">
    <mc:Choice xmlns:a14="http://schemas.microsoft.com/office/drawing/2010/main" Requires="a14">
      <xdr:twoCellAnchor editAs="absolute">
        <xdr:from>
          <xdr:col>3</xdr:col>
          <xdr:colOff>857250</xdr:colOff>
          <xdr:row>24</xdr:row>
          <xdr:rowOff>114300</xdr:rowOff>
        </xdr:from>
        <xdr:to>
          <xdr:col>7</xdr:col>
          <xdr:colOff>904875</xdr:colOff>
          <xdr:row>31</xdr:row>
          <xdr:rowOff>0</xdr:rowOff>
        </xdr:to>
        <xdr:sp macro="" textlink="">
          <xdr:nvSpPr>
            <xdr:cNvPr id="7169" name="Group Box 1" hidden="1">
              <a:extLst>
                <a:ext uri="{63B3BB69-23CF-44E3-9099-C40C66FF867C}">
                  <a14:compatExt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Find IRR using Goal Seek</a:t>
              </a:r>
            </a:p>
          </xdr:txBody>
        </xdr:sp>
        <xdr:clientData/>
      </xdr:twoCellAnchor>
    </mc:Choice>
    <mc:Fallback/>
  </mc:AlternateContent>
  <xdr:twoCellAnchor editAs="oneCell">
    <xdr:from>
      <xdr:col>1</xdr:col>
      <xdr:colOff>19050</xdr:colOff>
      <xdr:row>36</xdr:row>
      <xdr:rowOff>38100</xdr:rowOff>
    </xdr:from>
    <xdr:to>
      <xdr:col>7</xdr:col>
      <xdr:colOff>691132</xdr:colOff>
      <xdr:row>45</xdr:row>
      <xdr:rowOff>154781</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33400" y="6210300"/>
          <a:ext cx="12399738" cy="165973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latin typeface="+mn-lt"/>
            </a:rPr>
            <a:t>Background</a:t>
          </a:r>
        </a:p>
        <a:p>
          <a:r>
            <a:rPr lang="en-US" sz="1050" baseline="0">
              <a:latin typeface="+mn-lt"/>
            </a:rPr>
            <a:t>The Retailer A wants to explore the potential profitability and growth potential of this product line, under different market envrionments for demand growth. Marketing and Finance has come up with the following scenarios. Please use Scenario Manager to simulate the operating income for this new route. </a:t>
          </a:r>
        </a:p>
        <a:p>
          <a:endParaRPr lang="en-US" sz="1050" baseline="0">
            <a:latin typeface="+mn-lt"/>
          </a:endParaRPr>
        </a:p>
        <a:p>
          <a:r>
            <a:rPr lang="en-US" sz="1050" b="1" baseline="0">
              <a:latin typeface="+mn-lt"/>
            </a:rPr>
            <a:t>Scenarios</a:t>
          </a:r>
        </a:p>
        <a:p>
          <a:r>
            <a:rPr lang="en-US" sz="1100" b="0" i="0" u="none" strike="noStrike">
              <a:solidFill>
                <a:schemeClr val="dk1"/>
              </a:solidFill>
              <a:effectLst/>
              <a:latin typeface="+mn-lt"/>
              <a:ea typeface="+mn-ea"/>
              <a:cs typeface="+mn-cs"/>
            </a:rPr>
            <a:t>1. Normal: No Change</a:t>
          </a:r>
          <a:r>
            <a:rPr lang="en-US" sz="1100" b="0" i="0" u="none" strike="noStrike" baseline="0">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2. High Growth with Margin Impact: Sales start at 8%, which drives higher margins of 45% but includes slightly higher SG&amp;A at 30% </a:t>
          </a:r>
          <a:endParaRPr lang="en-US" sz="105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3. Low Growth with Margin Impact: Sales dropped to 3% growth which drove lower margins of 32% with no effect on SG&amp;A</a:t>
          </a:r>
        </a:p>
        <a:p>
          <a:r>
            <a:rPr lang="en-US" sz="1100" b="0" i="0" u="none" strike="noStrike">
              <a:solidFill>
                <a:schemeClr val="dk1"/>
              </a:solidFill>
              <a:effectLst/>
              <a:latin typeface="+mn-lt"/>
              <a:ea typeface="+mn-ea"/>
              <a:cs typeface="+mn-cs"/>
            </a:rPr>
            <a:t>4. Exploding Market Growth: The market started growing rapidly in 2016, leading the year on year growth in cell K66  to increase to 2% with everything else staying stable </a:t>
          </a:r>
          <a:r>
            <a:rPr lang="en-US" sz="1050"/>
            <a:t> </a:t>
          </a:r>
          <a:endParaRPr lang="en-US" sz="1050">
            <a:latin typeface="+mn-lt"/>
          </a:endParaRPr>
        </a:p>
      </xdr:txBody>
    </xdr:sp>
    <xdr:clientData/>
  </xdr:twoCellAnchor>
  <xdr:twoCellAnchor editAs="absolute">
    <xdr:from>
      <xdr:col>0</xdr:col>
      <xdr:colOff>540544</xdr:colOff>
      <xdr:row>201</xdr:row>
      <xdr:rowOff>71438</xdr:rowOff>
    </xdr:from>
    <xdr:to>
      <xdr:col>5</xdr:col>
      <xdr:colOff>366712</xdr:colOff>
      <xdr:row>219</xdr:row>
      <xdr:rowOff>128588</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4"/>
  <sheetViews>
    <sheetView showGridLines="0" zoomScale="80" zoomScaleNormal="80" workbookViewId="0"/>
  </sheetViews>
  <sheetFormatPr defaultColWidth="8.85546875" defaultRowHeight="12"/>
  <sheetData>
    <row r="1" spans="1:1" ht="18">
      <c r="A1" s="109" t="s">
        <v>144</v>
      </c>
    </row>
    <row r="2" spans="1:1" ht="18">
      <c r="A2" s="109" t="s">
        <v>0</v>
      </c>
    </row>
    <row r="3" spans="1:1" ht="18">
      <c r="A3" s="109" t="s">
        <v>1</v>
      </c>
    </row>
    <row r="4" spans="1:1" ht="18">
      <c r="A4" s="109" t="s">
        <v>143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
  <sheetViews>
    <sheetView showGridLines="0" workbookViewId="0"/>
  </sheetViews>
  <sheetFormatPr defaultRowHeight="1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A308E-D323-49CC-8928-ABF8989A565C}">
  <sheetPr>
    <outlinePr summaryBelow="0"/>
  </sheetPr>
  <dimension ref="B1:G16"/>
  <sheetViews>
    <sheetView showGridLines="0" workbookViewId="0">
      <selection activeCell="G22" sqref="G22"/>
    </sheetView>
  </sheetViews>
  <sheetFormatPr defaultRowHeight="12" outlineLevelRow="1" outlineLevelCol="1"/>
  <cols>
    <col min="3" max="3" width="6.7109375" bestFit="1" customWidth="1"/>
    <col min="4" max="7" width="25" bestFit="1" customWidth="1" outlineLevel="1"/>
  </cols>
  <sheetData>
    <row r="1" spans="2:7" ht="12.75" thickBot="1"/>
    <row r="2" spans="2:7" ht="12.75">
      <c r="B2" s="65" t="s">
        <v>52</v>
      </c>
      <c r="C2" s="65"/>
      <c r="D2" s="66"/>
      <c r="E2" s="66"/>
      <c r="F2" s="66"/>
      <c r="G2" s="66"/>
    </row>
    <row r="3" spans="2:7" ht="12.75" collapsed="1">
      <c r="B3" s="67"/>
      <c r="C3" s="67"/>
      <c r="D3" s="200" t="s">
        <v>53</v>
      </c>
      <c r="E3" s="200" t="s">
        <v>180</v>
      </c>
      <c r="F3" s="200" t="s">
        <v>181</v>
      </c>
      <c r="G3" s="200" t="s">
        <v>182</v>
      </c>
    </row>
    <row r="4" spans="2:7" hidden="1" outlineLevel="1">
      <c r="B4" s="68"/>
      <c r="C4" s="68"/>
      <c r="D4" s="69"/>
      <c r="E4" s="70"/>
      <c r="F4" s="70"/>
      <c r="G4" s="70"/>
    </row>
    <row r="5" spans="2:7" collapsed="1">
      <c r="B5" s="71" t="s">
        <v>62</v>
      </c>
      <c r="C5" s="71"/>
      <c r="D5" s="72"/>
      <c r="E5" s="72"/>
      <c r="F5" s="72"/>
      <c r="G5" s="72"/>
    </row>
    <row r="6" spans="2:7" hidden="1" outlineLevel="1">
      <c r="B6" s="68"/>
      <c r="C6" s="68" t="s">
        <v>79</v>
      </c>
      <c r="D6" s="74">
        <v>0.03</v>
      </c>
      <c r="E6" s="75">
        <v>0.05</v>
      </c>
      <c r="F6" s="75">
        <v>0.08</v>
      </c>
      <c r="G6" s="75">
        <v>0.03</v>
      </c>
    </row>
    <row r="7" spans="2:7" hidden="1" outlineLevel="1">
      <c r="B7" s="68"/>
      <c r="C7" s="68" t="s">
        <v>80</v>
      </c>
      <c r="D7" s="74">
        <v>0.32</v>
      </c>
      <c r="E7" s="75">
        <v>0.4</v>
      </c>
      <c r="F7" s="75">
        <v>0.5</v>
      </c>
      <c r="G7" s="75">
        <v>0.32</v>
      </c>
    </row>
    <row r="8" spans="2:7" hidden="1" outlineLevel="1">
      <c r="B8" s="68"/>
      <c r="C8" s="68" t="s">
        <v>81</v>
      </c>
      <c r="D8" s="74">
        <v>0.3</v>
      </c>
      <c r="E8" s="75">
        <v>0.27500000000000002</v>
      </c>
      <c r="F8" s="75">
        <v>0.27500000000000002</v>
      </c>
      <c r="G8" s="75">
        <v>0.3</v>
      </c>
    </row>
    <row r="9" spans="2:7">
      <c r="B9" s="71" t="s">
        <v>63</v>
      </c>
      <c r="C9" s="71"/>
      <c r="D9" s="72"/>
      <c r="E9" s="72"/>
      <c r="F9" s="72"/>
      <c r="G9" s="72"/>
    </row>
    <row r="10" spans="2:7" outlineLevel="1">
      <c r="B10" s="68"/>
      <c r="C10" s="68" t="s">
        <v>83</v>
      </c>
      <c r="D10" s="74">
        <v>0.03</v>
      </c>
      <c r="E10" s="74">
        <v>5.00000000000001E-2</v>
      </c>
      <c r="F10" s="74">
        <v>7.9999999999999905E-2</v>
      </c>
      <c r="G10" s="74">
        <v>0.03</v>
      </c>
    </row>
    <row r="11" spans="2:7" outlineLevel="1">
      <c r="B11" s="68"/>
      <c r="C11" s="68" t="s">
        <v>85</v>
      </c>
      <c r="D11" s="79">
        <v>4616164.4445144404</v>
      </c>
      <c r="E11" s="79">
        <v>4484189.7442124998</v>
      </c>
      <c r="F11" s="79">
        <v>4302045.6760627199</v>
      </c>
      <c r="G11" s="79">
        <v>4616164.4445144404</v>
      </c>
    </row>
    <row r="12" spans="2:7" outlineLevel="1">
      <c r="B12" s="68"/>
      <c r="C12" s="68" t="s">
        <v>179</v>
      </c>
      <c r="D12" s="79">
        <v>2172312.6797715002</v>
      </c>
      <c r="E12" s="79">
        <v>2989459.829475</v>
      </c>
      <c r="F12" s="79">
        <v>4302045.6760627199</v>
      </c>
      <c r="G12" s="79">
        <v>2172312.6797715002</v>
      </c>
    </row>
    <row r="13" spans="2:7" ht="12.75" outlineLevel="1" thickBot="1">
      <c r="B13" s="80"/>
      <c r="C13" s="80" t="s">
        <v>64</v>
      </c>
      <c r="D13" s="81">
        <v>1591381.8927545799</v>
      </c>
      <c r="E13" s="81">
        <v>1606002.5227640599</v>
      </c>
      <c r="F13" s="81">
        <v>1848921.6388009</v>
      </c>
      <c r="G13" s="81">
        <v>1591381.8927545799</v>
      </c>
    </row>
    <row r="14" spans="2:7">
      <c r="B14" t="s">
        <v>66</v>
      </c>
    </row>
    <row r="15" spans="2:7">
      <c r="B15" t="s">
        <v>67</v>
      </c>
    </row>
    <row r="16" spans="2:7">
      <c r="B16" t="s">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8" tint="0.59999389629810485"/>
  </sheetPr>
  <dimension ref="A1:V300"/>
  <sheetViews>
    <sheetView showGridLines="0" tabSelected="1" topLeftCell="A283" zoomScale="83" zoomScaleNormal="100" workbookViewId="0">
      <selection activeCell="I296" sqref="I296"/>
    </sheetView>
  </sheetViews>
  <sheetFormatPr defaultColWidth="8.85546875" defaultRowHeight="12.75" outlineLevelRow="1"/>
  <cols>
    <col min="1" max="1" width="6" style="1" customWidth="1"/>
    <col min="2" max="2" width="24.140625" style="1" customWidth="1"/>
    <col min="3" max="7" width="20.85546875" style="1" customWidth="1"/>
    <col min="8" max="8" width="17" style="1" customWidth="1"/>
    <col min="9" max="9" width="23" style="1" customWidth="1"/>
    <col min="10" max="10" width="17.42578125" style="1" bestFit="1" customWidth="1"/>
    <col min="11" max="11" width="19.5703125" style="1" bestFit="1" customWidth="1"/>
    <col min="12" max="12" width="14.285156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8">
      <c r="A1" s="110" t="str">
        <f>'Cover Page'!A1</f>
        <v>Data Visualization with Advanced Excel - Course 3</v>
      </c>
    </row>
    <row r="2" spans="1:7" ht="18">
      <c r="A2" s="110" t="str">
        <f>'Cover Page'!A2</f>
        <v>Week 2</v>
      </c>
    </row>
    <row r="3" spans="1:7" ht="18">
      <c r="A3" s="110" t="str">
        <f>'Cover Page'!A3</f>
        <v>Scenario Analysis</v>
      </c>
    </row>
    <row r="4" spans="1:7" ht="18">
      <c r="A4" s="110" t="s">
        <v>116</v>
      </c>
    </row>
    <row r="7" spans="1:7" hidden="1" outlineLevel="1">
      <c r="A7" s="14"/>
    </row>
    <row r="8" spans="1:7" ht="15.75" hidden="1" outlineLevel="1">
      <c r="A8" s="14"/>
      <c r="B8" s="111" t="s">
        <v>142</v>
      </c>
    </row>
    <row r="9" spans="1:7" hidden="1" outlineLevel="1">
      <c r="A9" s="14"/>
    </row>
    <row r="10" spans="1:7" ht="14.25" hidden="1" outlineLevel="1">
      <c r="A10" s="14"/>
      <c r="B10" s="112" t="s">
        <v>151</v>
      </c>
      <c r="C10" s="11"/>
    </row>
    <row r="11" spans="1:7" ht="14.25" hidden="1" outlineLevel="1">
      <c r="A11" s="14"/>
      <c r="B11" s="112" t="s">
        <v>110</v>
      </c>
      <c r="C11" s="11"/>
      <c r="E11"/>
      <c r="F11"/>
      <c r="G11"/>
    </row>
    <row r="12" spans="1:7" ht="14.25" hidden="1" outlineLevel="1">
      <c r="A12" s="14"/>
      <c r="B12" s="112" t="s">
        <v>115</v>
      </c>
      <c r="C12" s="11"/>
      <c r="E12"/>
      <c r="F12"/>
      <c r="G12"/>
    </row>
    <row r="13" spans="1:7" hidden="1" outlineLevel="1">
      <c r="A13" s="14"/>
      <c r="C13" s="11"/>
      <c r="E13"/>
      <c r="F13"/>
      <c r="G13"/>
    </row>
    <row r="14" spans="1:7" ht="14.25" hidden="1" outlineLevel="1">
      <c r="A14" s="14"/>
      <c r="B14" s="112" t="s">
        <v>152</v>
      </c>
      <c r="C14" s="11"/>
      <c r="E14"/>
      <c r="F14"/>
      <c r="G14"/>
    </row>
    <row r="15" spans="1:7" ht="14.25" hidden="1" outlineLevel="1">
      <c r="A15" s="14"/>
      <c r="B15" s="112" t="s">
        <v>111</v>
      </c>
      <c r="C15" s="11"/>
      <c r="E15"/>
      <c r="F15"/>
      <c r="G15"/>
    </row>
    <row r="16" spans="1:7" ht="14.25" hidden="1" outlineLevel="1">
      <c r="A16" s="14"/>
      <c r="B16" s="112" t="s">
        <v>112</v>
      </c>
      <c r="C16"/>
      <c r="E16"/>
      <c r="F16"/>
      <c r="G16"/>
    </row>
    <row r="17" spans="1:12" ht="14.25" hidden="1" outlineLevel="1">
      <c r="A17" s="14"/>
      <c r="B17" s="112" t="s">
        <v>113</v>
      </c>
      <c r="C17"/>
      <c r="E17"/>
      <c r="F17"/>
      <c r="G17"/>
    </row>
    <row r="18" spans="1:12" ht="14.25" hidden="1" outlineLevel="1">
      <c r="A18" s="14"/>
      <c r="B18" s="112" t="s">
        <v>114</v>
      </c>
      <c r="C18"/>
      <c r="E18"/>
      <c r="F18"/>
      <c r="G18"/>
    </row>
    <row r="19" spans="1:12" hidden="1" outlineLevel="1">
      <c r="A19" s="14"/>
      <c r="C19"/>
      <c r="E19"/>
      <c r="F19"/>
      <c r="G19"/>
    </row>
    <row r="20" spans="1:12" ht="15.75" hidden="1" outlineLevel="1">
      <c r="A20" s="14"/>
      <c r="B20" s="111" t="s">
        <v>153</v>
      </c>
      <c r="C20"/>
      <c r="E20"/>
      <c r="F20"/>
      <c r="G20"/>
    </row>
    <row r="21" spans="1:12" ht="15.75" hidden="1" outlineLevel="1">
      <c r="A21" s="14"/>
      <c r="B21" s="111" t="s">
        <v>154</v>
      </c>
      <c r="C21"/>
      <c r="E21"/>
      <c r="F21"/>
      <c r="G21"/>
    </row>
    <row r="22" spans="1:12" ht="15.75" hidden="1" outlineLevel="1">
      <c r="A22" s="14"/>
      <c r="B22" s="111" t="s">
        <v>155</v>
      </c>
      <c r="C22"/>
      <c r="E22"/>
      <c r="F22"/>
      <c r="G22"/>
    </row>
    <row r="23" spans="1:12" hidden="1" outlineLevel="1">
      <c r="A23" s="14"/>
      <c r="B23"/>
      <c r="C23"/>
      <c r="E23"/>
      <c r="F23"/>
      <c r="G23"/>
    </row>
    <row r="24" spans="1:12" hidden="1" outlineLevel="1">
      <c r="A24" s="14"/>
      <c r="B24"/>
      <c r="C24"/>
      <c r="E24"/>
      <c r="F24"/>
      <c r="G24"/>
    </row>
    <row r="25" spans="1:12" hidden="1" outlineLevel="1">
      <c r="A25" s="14"/>
      <c r="B25" s="114" t="s">
        <v>8</v>
      </c>
      <c r="C25" s="115" t="s">
        <v>9</v>
      </c>
      <c r="E25"/>
    </row>
    <row r="26" spans="1:12" hidden="1" outlineLevel="1">
      <c r="A26" s="14"/>
      <c r="B26" s="184">
        <v>-250</v>
      </c>
      <c r="C26" s="185" t="s">
        <v>149</v>
      </c>
      <c r="I26" s="5"/>
    </row>
    <row r="27" spans="1:12" hidden="1" outlineLevel="1">
      <c r="A27" s="14"/>
      <c r="B27" s="181">
        <v>100</v>
      </c>
      <c r="C27" s="113">
        <v>1</v>
      </c>
      <c r="E27"/>
      <c r="F27" s="190" t="s">
        <v>12</v>
      </c>
      <c r="G27" s="191"/>
      <c r="H27" s="178">
        <f>NPV(H28,B27:B31 )+B26</f>
        <v>1.3371745723134154E-5</v>
      </c>
      <c r="I27" s="28"/>
    </row>
    <row r="28" spans="1:12" hidden="1" outlineLevel="1">
      <c r="A28" s="14"/>
      <c r="B28" s="181">
        <v>150</v>
      </c>
      <c r="C28" s="113">
        <v>2</v>
      </c>
      <c r="E28"/>
      <c r="F28" s="192" t="s">
        <v>10</v>
      </c>
      <c r="G28" s="192"/>
      <c r="H28" s="182">
        <v>0.56723030297957477</v>
      </c>
      <c r="I28" s="28"/>
    </row>
    <row r="29" spans="1:12" hidden="1" outlineLevel="1">
      <c r="A29" s="14"/>
      <c r="B29" s="181">
        <v>200</v>
      </c>
      <c r="C29" s="113">
        <v>3</v>
      </c>
      <c r="E29"/>
    </row>
    <row r="30" spans="1:12" hidden="1" outlineLevel="1">
      <c r="A30" s="14"/>
      <c r="B30" s="181">
        <v>250</v>
      </c>
      <c r="C30" s="113">
        <v>4</v>
      </c>
      <c r="E30"/>
      <c r="F30" s="193" t="s">
        <v>11</v>
      </c>
      <c r="G30" s="193"/>
      <c r="H30" s="182">
        <f>IRR(B26:B31,0.2)</f>
        <v>0.5672303344358538</v>
      </c>
      <c r="I30" s="28"/>
    </row>
    <row r="31" spans="1:12" hidden="1" outlineLevel="1">
      <c r="A31" s="14"/>
      <c r="B31" s="181">
        <v>300</v>
      </c>
      <c r="C31" s="113">
        <v>5</v>
      </c>
      <c r="E31"/>
      <c r="L31" s="24"/>
    </row>
    <row r="32" spans="1:12" hidden="1" outlineLevel="1">
      <c r="A32" s="14"/>
      <c r="B32" s="22"/>
      <c r="C32"/>
      <c r="E32"/>
      <c r="L32" s="24"/>
    </row>
    <row r="33" spans="1:15" hidden="1" outlineLevel="1">
      <c r="A33" s="14"/>
      <c r="C33" s="15"/>
      <c r="D33" s="4"/>
      <c r="E33" s="4"/>
    </row>
    <row r="34" spans="1:15" hidden="1" outlineLevel="1">
      <c r="A34" s="14"/>
      <c r="C34" s="18"/>
      <c r="D34" s="18"/>
      <c r="E34" s="14"/>
    </row>
    <row r="35" spans="1:15" hidden="1" outlineLevel="1">
      <c r="A35" s="14"/>
    </row>
    <row r="36" spans="1:15" hidden="1" outlineLevel="1">
      <c r="A36" s="14"/>
      <c r="C36" s="18"/>
      <c r="D36" s="18"/>
      <c r="E36" s="14"/>
    </row>
    <row r="37" spans="1:15" hidden="1" outlineLevel="1">
      <c r="A37" s="14"/>
      <c r="C37" s="40"/>
      <c r="D37" s="40"/>
      <c r="E37" s="40"/>
      <c r="F37" s="40"/>
      <c r="G37" s="40"/>
      <c r="H37" s="40"/>
      <c r="I37" s="40"/>
      <c r="J37" s="40"/>
      <c r="K37" s="40"/>
      <c r="L37" s="40"/>
      <c r="M37" s="40"/>
      <c r="N37" s="40"/>
      <c r="O37" s="31"/>
    </row>
    <row r="38" spans="1:15" hidden="1" outlineLevel="1">
      <c r="A38" s="14"/>
      <c r="C38" s="40"/>
      <c r="D38" s="40"/>
      <c r="E38" s="40"/>
      <c r="F38" s="40"/>
      <c r="G38" s="40"/>
      <c r="H38" s="40"/>
      <c r="I38" s="40"/>
      <c r="J38" s="40"/>
      <c r="K38" s="40"/>
      <c r="L38" s="40"/>
      <c r="M38" s="40"/>
      <c r="N38" s="40"/>
      <c r="O38" s="31"/>
    </row>
    <row r="39" spans="1:15" collapsed="1">
      <c r="A39" s="14"/>
      <c r="C39" s="40"/>
      <c r="D39" s="40"/>
      <c r="E39" s="40"/>
      <c r="F39" s="40"/>
      <c r="G39" s="40"/>
      <c r="H39" s="40"/>
      <c r="I39" s="40"/>
      <c r="J39" s="40"/>
      <c r="K39" s="40"/>
      <c r="L39" s="40"/>
      <c r="M39" s="40"/>
      <c r="N39" s="40"/>
      <c r="O39" s="31"/>
    </row>
    <row r="40" spans="1:15" ht="15.75" hidden="1" outlineLevel="1" collapsed="1">
      <c r="A40" s="14"/>
      <c r="B40" s="111" t="s">
        <v>117</v>
      </c>
      <c r="C40" s="31"/>
      <c r="D40" s="31"/>
      <c r="E40" s="32"/>
      <c r="F40" s="31"/>
      <c r="G40" s="31"/>
      <c r="H40" s="31"/>
      <c r="I40" s="31"/>
      <c r="J40" s="31"/>
      <c r="K40" s="31"/>
      <c r="L40" s="31"/>
      <c r="M40" s="31"/>
      <c r="N40" s="31"/>
      <c r="O40" s="31"/>
    </row>
    <row r="41" spans="1:15" hidden="1" outlineLevel="1">
      <c r="A41" s="14"/>
      <c r="C41" s="31"/>
      <c r="D41" s="31"/>
      <c r="E41" s="32"/>
      <c r="F41" s="31"/>
      <c r="G41" s="31"/>
      <c r="H41" s="31"/>
      <c r="I41" s="31"/>
      <c r="J41" s="31"/>
      <c r="K41" s="31"/>
      <c r="L41" s="31"/>
      <c r="M41" s="31"/>
      <c r="N41" s="31"/>
      <c r="O41" s="31"/>
    </row>
    <row r="42" spans="1:15" ht="14.25" hidden="1" outlineLevel="1">
      <c r="A42" s="14"/>
      <c r="B42" s="112" t="s">
        <v>141</v>
      </c>
      <c r="C42" s="31"/>
      <c r="D42" s="31"/>
      <c r="E42" s="32"/>
      <c r="F42" s="31"/>
      <c r="G42" s="31"/>
      <c r="H42" s="31"/>
      <c r="I42" s="31"/>
      <c r="J42" s="31"/>
      <c r="K42" s="31"/>
      <c r="L42" s="31"/>
      <c r="M42" s="31"/>
      <c r="N42" s="31"/>
      <c r="O42" s="31"/>
    </row>
    <row r="43" spans="1:15" ht="14.25" hidden="1" outlineLevel="1">
      <c r="A43" s="14"/>
      <c r="B43" s="112" t="s">
        <v>156</v>
      </c>
      <c r="C43" s="31"/>
      <c r="D43" s="31"/>
      <c r="E43" s="32"/>
      <c r="F43" s="31"/>
      <c r="G43" s="31"/>
      <c r="H43" s="31"/>
      <c r="I43" s="31"/>
      <c r="J43" s="31"/>
      <c r="K43" s="31"/>
      <c r="L43" s="31"/>
      <c r="M43" s="31"/>
      <c r="N43" s="31"/>
      <c r="O43" s="31"/>
    </row>
    <row r="44" spans="1:15" hidden="1" outlineLevel="1">
      <c r="A44" s="14"/>
      <c r="C44" s="31"/>
      <c r="D44" s="31"/>
      <c r="E44" s="32"/>
      <c r="F44" s="31"/>
      <c r="G44" s="31"/>
      <c r="H44" s="31"/>
      <c r="I44" s="31"/>
      <c r="J44" s="31"/>
      <c r="K44" s="31"/>
      <c r="L44" s="31"/>
      <c r="M44" s="31"/>
      <c r="N44" s="31"/>
      <c r="O44" s="31"/>
    </row>
    <row r="45" spans="1:15" ht="14.25" hidden="1" outlineLevel="1">
      <c r="A45" s="14"/>
      <c r="B45" s="116" t="s">
        <v>146</v>
      </c>
      <c r="C45" s="31"/>
      <c r="D45" s="31"/>
      <c r="E45" s="32"/>
      <c r="F45" s="31"/>
      <c r="G45" s="31"/>
      <c r="H45" s="31"/>
      <c r="I45" s="31"/>
      <c r="J45" s="31"/>
      <c r="K45" s="31"/>
      <c r="L45" s="31"/>
      <c r="M45" s="31"/>
      <c r="N45" s="31"/>
      <c r="O45" s="31"/>
    </row>
    <row r="46" spans="1:15" ht="14.25" hidden="1" outlineLevel="1">
      <c r="A46" s="14"/>
      <c r="B46" s="116" t="s">
        <v>150</v>
      </c>
      <c r="C46" s="33"/>
      <c r="D46" s="33"/>
      <c r="E46" s="34"/>
      <c r="F46" s="33"/>
      <c r="G46" s="33"/>
      <c r="H46" s="33"/>
      <c r="I46" s="33"/>
      <c r="J46" s="33"/>
      <c r="K46" s="33"/>
      <c r="L46" s="33"/>
      <c r="M46" s="33"/>
      <c r="N46" s="33"/>
    </row>
    <row r="47" spans="1:15" ht="14.25" hidden="1" outlineLevel="1">
      <c r="A47" s="14"/>
      <c r="B47" s="116" t="s">
        <v>157</v>
      </c>
      <c r="C47" s="33"/>
      <c r="D47" s="33"/>
      <c r="E47" s="34"/>
      <c r="F47" s="33"/>
      <c r="G47" s="33"/>
      <c r="H47" s="33"/>
      <c r="I47" s="33"/>
      <c r="J47" s="33"/>
      <c r="K47" s="33"/>
      <c r="L47" s="33"/>
      <c r="M47" s="33"/>
      <c r="N47" s="33"/>
    </row>
    <row r="48" spans="1:15" ht="14.25" hidden="1" outlineLevel="1">
      <c r="A48" s="14"/>
      <c r="B48" s="116" t="s">
        <v>147</v>
      </c>
      <c r="C48" s="33"/>
      <c r="D48" s="33"/>
      <c r="E48" s="34"/>
      <c r="F48" s="33"/>
      <c r="G48" s="33"/>
      <c r="H48" s="33"/>
      <c r="I48" s="33"/>
      <c r="J48" s="33"/>
      <c r="K48" s="33"/>
      <c r="L48" s="33"/>
      <c r="M48" s="33"/>
      <c r="N48" s="33"/>
    </row>
    <row r="49" spans="1:15" hidden="1" outlineLevel="1">
      <c r="A49" s="14"/>
      <c r="B49" s="31"/>
      <c r="M49" s="33"/>
      <c r="N49" s="33"/>
    </row>
    <row r="50" spans="1:15" hidden="1" outlineLevel="1">
      <c r="A50" s="14"/>
      <c r="C50" s="31"/>
      <c r="D50" s="31"/>
      <c r="E50" s="31"/>
      <c r="F50" s="31"/>
      <c r="G50" s="31"/>
      <c r="H50" s="31"/>
      <c r="I50" s="31"/>
      <c r="J50" s="31"/>
      <c r="K50" s="31"/>
      <c r="L50" s="31"/>
      <c r="M50" s="33"/>
      <c r="N50" s="33"/>
    </row>
    <row r="51" spans="1:15" ht="15.75" hidden="1" outlineLevel="1">
      <c r="A51" s="117"/>
      <c r="B51" s="111" t="s">
        <v>158</v>
      </c>
      <c r="C51" s="119"/>
      <c r="D51" s="119"/>
      <c r="E51" s="120"/>
      <c r="F51" s="119"/>
      <c r="G51" s="119"/>
      <c r="H51" s="119"/>
      <c r="I51" s="119"/>
      <c r="J51" s="119"/>
      <c r="K51" s="119"/>
      <c r="L51" s="119"/>
      <c r="M51" s="33"/>
      <c r="N51" s="33"/>
    </row>
    <row r="52" spans="1:15" ht="14.25" hidden="1" outlineLevel="1">
      <c r="A52" s="117"/>
      <c r="B52" s="121"/>
      <c r="C52" s="122"/>
      <c r="D52" s="122"/>
      <c r="E52" s="123"/>
      <c r="F52" s="122"/>
      <c r="G52" s="122"/>
      <c r="H52" s="122"/>
      <c r="I52" s="122"/>
      <c r="J52" s="122"/>
      <c r="K52" s="124"/>
      <c r="L52" s="122"/>
      <c r="M52" s="33"/>
      <c r="N52" s="33"/>
      <c r="O52" s="35"/>
    </row>
    <row r="53" spans="1:15" ht="15" hidden="1" outlineLevel="1">
      <c r="A53" s="117"/>
      <c r="B53" s="123"/>
      <c r="C53" s="187" t="s">
        <v>19</v>
      </c>
      <c r="D53" s="188"/>
      <c r="E53" s="189"/>
      <c r="F53" s="194" t="s">
        <v>20</v>
      </c>
      <c r="G53" s="194"/>
      <c r="H53" s="194"/>
      <c r="I53" s="194"/>
      <c r="J53" s="194"/>
      <c r="K53" s="180" t="s">
        <v>145</v>
      </c>
      <c r="L53" s="121"/>
      <c r="N53" s="33"/>
    </row>
    <row r="54" spans="1:15" ht="15" hidden="1" outlineLevel="1">
      <c r="A54" s="117"/>
      <c r="B54" s="123"/>
      <c r="C54" s="125">
        <f ca="1">D54-1</f>
        <v>2019</v>
      </c>
      <c r="D54" s="125">
        <f ca="1">E54-1</f>
        <v>2020</v>
      </c>
      <c r="E54" s="125">
        <f ca="1">F54-1</f>
        <v>2021</v>
      </c>
      <c r="F54" s="125">
        <f ca="1">YEAR(NOW())</f>
        <v>2022</v>
      </c>
      <c r="G54" s="125">
        <f ca="1">F54+1</f>
        <v>2023</v>
      </c>
      <c r="H54" s="125">
        <f ca="1">G54+1</f>
        <v>2024</v>
      </c>
      <c r="I54" s="125">
        <f ca="1">H54+1</f>
        <v>2025</v>
      </c>
      <c r="J54" s="125">
        <f ca="1">I54+1</f>
        <v>2026</v>
      </c>
      <c r="K54" s="145" t="s">
        <v>118</v>
      </c>
      <c r="L54" s="121"/>
      <c r="N54" s="33"/>
    </row>
    <row r="55" spans="1:15" ht="14.25" hidden="1" outlineLevel="1">
      <c r="A55" s="117"/>
      <c r="B55" s="123"/>
      <c r="C55" s="122"/>
      <c r="D55" s="122"/>
      <c r="E55" s="126"/>
      <c r="F55" s="126"/>
      <c r="G55" s="122"/>
      <c r="H55" s="122"/>
      <c r="I55" s="122"/>
      <c r="J55" s="122"/>
      <c r="K55" s="122"/>
      <c r="L55" s="121"/>
      <c r="N55" s="36"/>
    </row>
    <row r="56" spans="1:15" ht="14.25" hidden="1" outlineLevel="1">
      <c r="A56" s="117"/>
      <c r="B56" s="123" t="s">
        <v>58</v>
      </c>
      <c r="C56" s="135">
        <v>3950500</v>
      </c>
      <c r="D56" s="135">
        <v>4225000</v>
      </c>
      <c r="E56" s="139">
        <v>4575800</v>
      </c>
      <c r="F56" s="128">
        <f>E56*(1+$F$66)</f>
        <v>4713074</v>
      </c>
      <c r="G56" s="128">
        <f>F56*(1+$G$66)</f>
        <v>4854466.22</v>
      </c>
      <c r="H56" s="128">
        <f>G56*(1+$H$66)</f>
        <v>5000100.2066000002</v>
      </c>
      <c r="I56" s="128">
        <f>H56*(1+$I$66)</f>
        <v>5150103.2127980003</v>
      </c>
      <c r="J56" s="128">
        <f>I56*(1+$J$66)</f>
        <v>5304606.3091819407</v>
      </c>
      <c r="K56" s="147">
        <f ca="1">RATE($J$54-$E$54,0,-E56,J56)</f>
        <v>2.9999999999999992E-2</v>
      </c>
      <c r="L56" s="121"/>
      <c r="N56" s="36"/>
    </row>
    <row r="57" spans="1:15" ht="14.25" hidden="1" outlineLevel="1">
      <c r="A57" s="117"/>
      <c r="B57" s="123" t="s">
        <v>61</v>
      </c>
      <c r="C57" s="135">
        <v>975000</v>
      </c>
      <c r="D57" s="135">
        <v>1150000</v>
      </c>
      <c r="E57" s="139">
        <v>1280000</v>
      </c>
      <c r="F57" s="128">
        <f>E57*(1+$F$66)</f>
        <v>1318400</v>
      </c>
      <c r="G57" s="128">
        <f>F57*(1+$G$66)</f>
        <v>1357952</v>
      </c>
      <c r="H57" s="128">
        <f>G57*(1+$H$66)</f>
        <v>1398690.56</v>
      </c>
      <c r="I57" s="128">
        <f>H57*(1+$I$66)</f>
        <v>1440651.2768000001</v>
      </c>
      <c r="J57" s="128">
        <f>I57*(1+$J$66)</f>
        <v>1483870.815104</v>
      </c>
      <c r="K57" s="147">
        <f t="shared" ref="K57:K58" ca="1" si="0">RATE($J$54-$E$54,0,-E57,J57)</f>
        <v>3.0000000000000096E-2</v>
      </c>
      <c r="L57" s="121"/>
      <c r="N57" s="36"/>
    </row>
    <row r="58" spans="1:15" ht="14.25" hidden="1" outlineLevel="1">
      <c r="A58" s="117"/>
      <c r="B58" s="123" t="s">
        <v>22</v>
      </c>
      <c r="C58" s="136">
        <v>2350000</v>
      </c>
      <c r="D58" s="136">
        <v>2514000</v>
      </c>
      <c r="E58" s="140">
        <v>2745500</v>
      </c>
      <c r="F58" s="137">
        <f>(F56+F57)*(1-F67)</f>
        <v>4101402.32</v>
      </c>
      <c r="G58" s="138">
        <f t="shared" ref="G58:J58" si="1">(G56+G57)*(1-G67)</f>
        <v>4224444.3895999994</v>
      </c>
      <c r="H58" s="137">
        <f t="shared" si="1"/>
        <v>4351177.7212879993</v>
      </c>
      <c r="I58" s="137">
        <f t="shared" si="1"/>
        <v>4481713.05292664</v>
      </c>
      <c r="J58" s="137">
        <f t="shared" si="1"/>
        <v>4616164.4445144394</v>
      </c>
      <c r="K58" s="148">
        <f t="shared" ca="1" si="0"/>
        <v>0.10951190028937131</v>
      </c>
      <c r="L58" s="121"/>
      <c r="N58" s="36"/>
    </row>
    <row r="59" spans="1:15" ht="14.25" hidden="1" outlineLevel="1">
      <c r="A59" s="117"/>
      <c r="B59" s="123" t="s">
        <v>23</v>
      </c>
      <c r="C59" s="128">
        <f>C56+C57-C58</f>
        <v>2575500</v>
      </c>
      <c r="D59" s="128">
        <f t="shared" ref="D59:J59" si="2">D56+D57-D58</f>
        <v>2861000</v>
      </c>
      <c r="E59" s="141">
        <f>E56+E57-E58</f>
        <v>3110300</v>
      </c>
      <c r="F59" s="128">
        <f t="shared" si="2"/>
        <v>1930071.6800000002</v>
      </c>
      <c r="G59" s="128">
        <f t="shared" si="2"/>
        <v>1987973.8304000003</v>
      </c>
      <c r="H59" s="128">
        <f t="shared" si="2"/>
        <v>2047613.0453120004</v>
      </c>
      <c r="I59" s="128">
        <f t="shared" si="2"/>
        <v>2109041.4366713604</v>
      </c>
      <c r="J59" s="128">
        <f t="shared" si="2"/>
        <v>2172312.6797715016</v>
      </c>
      <c r="K59" s="147">
        <f ca="1">RATE(J54-E54,0,-E59,J59)</f>
        <v>-6.9269359831481567E-2</v>
      </c>
      <c r="L59" s="121"/>
      <c r="N59" s="36"/>
    </row>
    <row r="60" spans="1:15" ht="14.25" hidden="1" outlineLevel="1">
      <c r="A60" s="117"/>
      <c r="B60" s="123"/>
      <c r="C60" s="128"/>
      <c r="D60" s="128"/>
      <c r="E60" s="128"/>
      <c r="F60" s="128"/>
      <c r="G60" s="128"/>
      <c r="H60" s="128"/>
      <c r="I60" s="128"/>
      <c r="J60" s="128"/>
      <c r="K60" s="127"/>
      <c r="L60" s="121"/>
      <c r="N60" s="36"/>
    </row>
    <row r="61" spans="1:15" ht="14.25" hidden="1" outlineLevel="1">
      <c r="A61" s="117"/>
      <c r="B61" s="123" t="s">
        <v>24</v>
      </c>
      <c r="C61" s="136">
        <v>1042800</v>
      </c>
      <c r="D61" s="136">
        <v>1119700</v>
      </c>
      <c r="E61" s="140">
        <v>1254600</v>
      </c>
      <c r="F61" s="138">
        <f>F56*F68</f>
        <v>1413922.2</v>
      </c>
      <c r="G61" s="138">
        <f>G56*G68</f>
        <v>1456339.8659999999</v>
      </c>
      <c r="H61" s="138">
        <f>H56*H68</f>
        <v>1500030.06198</v>
      </c>
      <c r="I61" s="138">
        <f>I56*I68</f>
        <v>1545030.9638394001</v>
      </c>
      <c r="J61" s="138">
        <f>J56*J68</f>
        <v>1591381.8927545822</v>
      </c>
      <c r="K61" s="148">
        <f t="shared" ref="K61" ca="1" si="3">RATE($J$54-$E$54,0,-E61,J61)</f>
        <v>4.870617638692628E-2</v>
      </c>
      <c r="L61" s="121"/>
      <c r="N61" s="36"/>
    </row>
    <row r="62" spans="1:15" ht="15" hidden="1" outlineLevel="1">
      <c r="A62" s="117"/>
      <c r="B62" s="129" t="s">
        <v>25</v>
      </c>
      <c r="C62" s="130">
        <f t="shared" ref="C62:J62" si="4">C59-C61</f>
        <v>1532700</v>
      </c>
      <c r="D62" s="130">
        <f t="shared" si="4"/>
        <v>1741300</v>
      </c>
      <c r="E62" s="142">
        <f t="shared" si="4"/>
        <v>1855700</v>
      </c>
      <c r="F62" s="130">
        <f t="shared" si="4"/>
        <v>516149.48000000021</v>
      </c>
      <c r="G62" s="130">
        <f t="shared" si="4"/>
        <v>531633.9644000004</v>
      </c>
      <c r="H62" s="130">
        <f t="shared" si="4"/>
        <v>547582.98333200044</v>
      </c>
      <c r="I62" s="130">
        <f t="shared" si="4"/>
        <v>564010.4728319603</v>
      </c>
      <c r="J62" s="130">
        <f t="shared" si="4"/>
        <v>580930.78701691935</v>
      </c>
      <c r="K62" s="147">
        <f ca="1">RATE(J54-E54,0,-E62,J62)</f>
        <v>-0.20727359380951965</v>
      </c>
      <c r="L62" s="121"/>
      <c r="N62" s="37"/>
    </row>
    <row r="63" spans="1:15" ht="14.25" hidden="1" outlineLevel="1">
      <c r="A63" s="117"/>
      <c r="B63" s="123"/>
      <c r="C63" s="122"/>
      <c r="D63" s="122"/>
      <c r="E63" s="123"/>
      <c r="F63" s="131"/>
      <c r="G63" s="131"/>
      <c r="H63" s="131"/>
      <c r="I63" s="131"/>
      <c r="J63" s="131"/>
      <c r="K63" s="131"/>
      <c r="L63" s="131"/>
      <c r="M63" s="38"/>
      <c r="N63" s="36"/>
      <c r="O63" s="39"/>
    </row>
    <row r="64" spans="1:15" ht="15" hidden="1" outlineLevel="1">
      <c r="A64" s="117"/>
      <c r="B64" s="129" t="s">
        <v>26</v>
      </c>
      <c r="C64" s="187" t="s">
        <v>19</v>
      </c>
      <c r="D64" s="188"/>
      <c r="E64" s="189"/>
      <c r="F64" s="187" t="s">
        <v>20</v>
      </c>
      <c r="G64" s="188"/>
      <c r="H64" s="188"/>
      <c r="I64" s="188"/>
      <c r="J64" s="189"/>
      <c r="K64" s="183" t="s">
        <v>148</v>
      </c>
      <c r="L64" s="121"/>
    </row>
    <row r="65" spans="1:22" ht="15" hidden="1" outlineLevel="1">
      <c r="A65" s="117"/>
      <c r="B65" s="122"/>
      <c r="C65" s="125">
        <f ca="1">D65-1</f>
        <v>2019</v>
      </c>
      <c r="D65" s="125">
        <f ca="1">E65-1</f>
        <v>2020</v>
      </c>
      <c r="E65" s="125">
        <f ca="1">F65-1</f>
        <v>2021</v>
      </c>
      <c r="F65" s="125">
        <f ca="1">YEAR(NOW())</f>
        <v>2022</v>
      </c>
      <c r="G65" s="125">
        <f ca="1">F65+1</f>
        <v>2023</v>
      </c>
      <c r="H65" s="125">
        <f ca="1">G65+1</f>
        <v>2024</v>
      </c>
      <c r="I65" s="125">
        <f ca="1">H65+1</f>
        <v>2025</v>
      </c>
      <c r="J65" s="125">
        <f ca="1">I65+1</f>
        <v>2026</v>
      </c>
      <c r="K65" s="146">
        <v>0.02</v>
      </c>
      <c r="L65" s="121"/>
      <c r="M65" s="36"/>
    </row>
    <row r="66" spans="1:22" ht="15" hidden="1" outlineLevel="1">
      <c r="A66" s="117"/>
      <c r="B66" s="150" t="s">
        <v>65</v>
      </c>
      <c r="C66" s="122" t="s">
        <v>5</v>
      </c>
      <c r="D66" s="127">
        <f>(D56+D57)/(C56+C57)-1</f>
        <v>9.1259770581666899E-2</v>
      </c>
      <c r="E66" s="132">
        <f>(E56+E57)/(D56+D57)-1</f>
        <v>8.9451162790697758E-2</v>
      </c>
      <c r="F66" s="143">
        <v>0.03</v>
      </c>
      <c r="G66" s="127">
        <f>F66+$K$66</f>
        <v>0.03</v>
      </c>
      <c r="H66" s="127">
        <f t="shared" ref="H66:J66" si="5">G66+$K$66</f>
        <v>0.03</v>
      </c>
      <c r="I66" s="127">
        <f t="shared" si="5"/>
        <v>0.03</v>
      </c>
      <c r="J66" s="127">
        <f t="shared" si="5"/>
        <v>0.03</v>
      </c>
      <c r="K66" s="149">
        <v>0</v>
      </c>
      <c r="L66" s="121"/>
    </row>
    <row r="67" spans="1:22" ht="15" hidden="1" outlineLevel="1">
      <c r="A67" s="117"/>
      <c r="B67" s="150" t="s">
        <v>28</v>
      </c>
      <c r="C67" s="127">
        <f>C59/(C56+C57)</f>
        <v>0.52289107704801541</v>
      </c>
      <c r="D67" s="127">
        <f>D59/(D56+D57)</f>
        <v>0.53227906976744188</v>
      </c>
      <c r="E67" s="127">
        <f>E59/(E56+E57)</f>
        <v>0.5311486048020766</v>
      </c>
      <c r="F67" s="144">
        <v>0.32</v>
      </c>
      <c r="G67" s="127">
        <f>F67+$K$67</f>
        <v>0.32</v>
      </c>
      <c r="H67" s="127">
        <f t="shared" ref="H67:J67" si="6">G67+$K$67</f>
        <v>0.32</v>
      </c>
      <c r="I67" s="127">
        <f t="shared" si="6"/>
        <v>0.32</v>
      </c>
      <c r="J67" s="127">
        <f t="shared" si="6"/>
        <v>0.32</v>
      </c>
      <c r="K67" s="149">
        <v>0</v>
      </c>
      <c r="L67" s="121"/>
    </row>
    <row r="68" spans="1:22" ht="15" hidden="1" outlineLevel="1">
      <c r="A68" s="117"/>
      <c r="B68" s="150" t="s">
        <v>89</v>
      </c>
      <c r="C68" s="127" t="s">
        <v>5</v>
      </c>
      <c r="D68" s="127" t="s">
        <v>5</v>
      </c>
      <c r="E68" s="132" t="s">
        <v>5</v>
      </c>
      <c r="F68" s="144">
        <v>0.3</v>
      </c>
      <c r="G68" s="127">
        <f>F68+K68</f>
        <v>0.3</v>
      </c>
      <c r="H68" s="127">
        <f t="shared" ref="H68:J68" si="7">G68+L68</f>
        <v>0.3</v>
      </c>
      <c r="I68" s="127">
        <f t="shared" si="7"/>
        <v>0.3</v>
      </c>
      <c r="J68" s="127">
        <f t="shared" si="7"/>
        <v>0.3</v>
      </c>
      <c r="K68" s="149">
        <v>0</v>
      </c>
      <c r="L68" s="121"/>
    </row>
    <row r="69" spans="1:22" ht="15" hidden="1" outlineLevel="1">
      <c r="A69" s="117"/>
      <c r="B69" s="133"/>
      <c r="C69" s="133"/>
      <c r="D69" s="134"/>
      <c r="E69" s="134"/>
      <c r="F69" s="121"/>
      <c r="G69" s="121"/>
      <c r="H69" s="121"/>
      <c r="I69" s="121"/>
      <c r="J69" s="121"/>
      <c r="K69" s="121"/>
      <c r="L69" s="121"/>
    </row>
    <row r="70" spans="1:22" ht="15" hidden="1" outlineLevel="1">
      <c r="A70" s="117"/>
      <c r="B70" s="133"/>
      <c r="C70" s="133"/>
      <c r="D70" s="134"/>
      <c r="E70" s="134"/>
      <c r="F70" s="121"/>
      <c r="G70" s="121"/>
      <c r="H70" s="121"/>
      <c r="I70" s="121"/>
      <c r="J70" s="121"/>
      <c r="K70" s="121"/>
      <c r="L70" s="121"/>
      <c r="P70"/>
      <c r="Q70"/>
      <c r="R70"/>
      <c r="S70"/>
      <c r="T70"/>
      <c r="U70"/>
      <c r="V70"/>
    </row>
    <row r="71" spans="1:22" ht="14.25" hidden="1" outlineLevel="1">
      <c r="A71" s="117"/>
      <c r="B71" s="44"/>
      <c r="C71" s="44"/>
      <c r="D71" s="44"/>
      <c r="E71" s="44"/>
      <c r="F71" s="44"/>
      <c r="G71" s="44"/>
      <c r="H71" s="44"/>
      <c r="I71" s="44"/>
      <c r="J71" s="44"/>
      <c r="K71" s="121"/>
      <c r="L71" s="121"/>
      <c r="P71"/>
      <c r="Q71"/>
      <c r="R71"/>
      <c r="S71"/>
      <c r="T71"/>
      <c r="U71"/>
      <c r="V71"/>
    </row>
    <row r="72" spans="1:22" hidden="1" outlineLevel="1">
      <c r="A72" s="14"/>
      <c r="B72" s="44"/>
      <c r="C72" s="44"/>
      <c r="D72" s="44"/>
      <c r="E72" s="44"/>
      <c r="F72" s="44"/>
      <c r="G72" s="44"/>
      <c r="H72" s="44"/>
      <c r="I72" s="44"/>
      <c r="J72" s="44"/>
      <c r="K72" s="44"/>
      <c r="L72" s="44"/>
      <c r="P72"/>
      <c r="Q72"/>
      <c r="R72"/>
      <c r="S72"/>
      <c r="T72"/>
      <c r="U72"/>
      <c r="V72"/>
    </row>
    <row r="73" spans="1:22" hidden="1" outlineLevel="1">
      <c r="A73" s="14"/>
      <c r="B73" s="44"/>
      <c r="C73" s="44"/>
      <c r="D73" s="44"/>
      <c r="E73" s="44"/>
      <c r="F73" s="44"/>
      <c r="G73" s="44"/>
      <c r="H73" s="44"/>
      <c r="I73" s="44"/>
      <c r="J73" s="44"/>
      <c r="K73" s="44"/>
      <c r="L73" s="44"/>
      <c r="P73"/>
      <c r="Q73"/>
      <c r="R73"/>
      <c r="S73"/>
      <c r="T73"/>
      <c r="U73"/>
      <c r="V73"/>
    </row>
    <row r="74" spans="1:22" hidden="1" outlineLevel="1">
      <c r="A74" s="14"/>
      <c r="B74" s="44"/>
      <c r="C74" s="44"/>
      <c r="D74" s="44"/>
      <c r="E74" s="44"/>
      <c r="F74" s="44"/>
      <c r="G74" s="44"/>
      <c r="H74" s="44"/>
      <c r="I74" s="44"/>
      <c r="J74" s="44"/>
      <c r="K74" s="44"/>
      <c r="L74" s="44"/>
      <c r="P74"/>
      <c r="Q74"/>
      <c r="R74"/>
      <c r="S74"/>
      <c r="T74"/>
      <c r="U74"/>
      <c r="V74"/>
    </row>
    <row r="75" spans="1:22" hidden="1" outlineLevel="1">
      <c r="A75" s="14"/>
      <c r="B75" s="44"/>
      <c r="C75" s="44"/>
      <c r="D75" s="44"/>
      <c r="E75" s="44"/>
      <c r="F75" s="44"/>
      <c r="G75" s="44"/>
      <c r="H75" s="44"/>
      <c r="I75" s="44"/>
      <c r="J75" s="44"/>
      <c r="K75" s="44"/>
      <c r="L75" s="44"/>
      <c r="P75"/>
      <c r="Q75"/>
      <c r="R75"/>
      <c r="S75"/>
      <c r="T75"/>
      <c r="U75"/>
      <c r="V75"/>
    </row>
    <row r="76" spans="1:22" hidden="1" outlineLevel="1">
      <c r="A76" s="14"/>
      <c r="B76" s="44"/>
      <c r="C76" s="44"/>
      <c r="D76" s="44"/>
      <c r="E76" s="44"/>
      <c r="F76" s="44"/>
      <c r="G76" s="44"/>
      <c r="H76" s="44"/>
      <c r="I76" s="44"/>
      <c r="J76" s="44"/>
      <c r="K76" s="44"/>
      <c r="L76" s="44"/>
      <c r="P76"/>
      <c r="Q76"/>
      <c r="R76"/>
      <c r="S76"/>
      <c r="T76"/>
      <c r="U76"/>
      <c r="V76"/>
    </row>
    <row r="77" spans="1:22" hidden="1" outlineLevel="1">
      <c r="A77" s="14"/>
      <c r="B77" s="44"/>
      <c r="C77" s="44"/>
      <c r="D77" s="44"/>
      <c r="E77" s="44"/>
      <c r="F77" s="44"/>
      <c r="G77" s="44"/>
      <c r="H77" s="44"/>
      <c r="I77" s="44"/>
      <c r="J77" s="44"/>
      <c r="K77" s="44"/>
      <c r="L77" s="44"/>
      <c r="P77"/>
      <c r="Q77"/>
      <c r="R77"/>
      <c r="S77"/>
      <c r="T77"/>
      <c r="U77"/>
      <c r="V77"/>
    </row>
    <row r="78" spans="1:22" hidden="1" outlineLevel="1">
      <c r="A78" s="14"/>
      <c r="B78" s="44"/>
      <c r="C78" s="44"/>
      <c r="D78" s="44"/>
      <c r="E78" s="44"/>
      <c r="F78" s="44"/>
      <c r="G78" s="44"/>
      <c r="H78" s="44"/>
      <c r="I78" s="44"/>
      <c r="J78" s="44"/>
      <c r="K78" s="44"/>
      <c r="L78" s="44"/>
      <c r="P78"/>
      <c r="Q78"/>
      <c r="R78"/>
      <c r="S78"/>
      <c r="T78"/>
      <c r="U78"/>
      <c r="V78"/>
    </row>
    <row r="79" spans="1:22" hidden="1" outlineLevel="1">
      <c r="A79" s="14"/>
      <c r="B79" s="44"/>
      <c r="C79" s="44"/>
      <c r="D79" s="44"/>
      <c r="E79" s="44"/>
      <c r="F79" s="44"/>
      <c r="G79" s="44"/>
      <c r="H79" s="44"/>
      <c r="I79" s="44"/>
      <c r="J79" s="44"/>
      <c r="K79" s="44"/>
      <c r="L79" s="44"/>
      <c r="P79"/>
      <c r="Q79"/>
      <c r="R79"/>
      <c r="S79"/>
      <c r="T79"/>
      <c r="U79"/>
      <c r="V79"/>
    </row>
    <row r="80" spans="1:22" hidden="1" outlineLevel="1">
      <c r="A80" s="14"/>
      <c r="B80" s="44"/>
      <c r="C80" s="44"/>
      <c r="D80" s="44"/>
      <c r="E80" s="44"/>
      <c r="F80" s="44"/>
      <c r="G80" s="44"/>
      <c r="H80" s="44"/>
      <c r="I80" s="44"/>
      <c r="J80" s="44"/>
      <c r="K80" s="44"/>
      <c r="L80" s="44"/>
      <c r="P80"/>
      <c r="Q80"/>
      <c r="R80"/>
      <c r="S80"/>
      <c r="T80"/>
      <c r="U80"/>
      <c r="V80"/>
    </row>
    <row r="81" spans="1:22" hidden="1" outlineLevel="1">
      <c r="A81" s="14"/>
      <c r="B81" s="44"/>
      <c r="C81" s="44"/>
      <c r="D81" s="44"/>
      <c r="E81" s="44"/>
      <c r="F81" s="44"/>
      <c r="G81" s="44"/>
      <c r="H81" s="44"/>
      <c r="I81" s="44"/>
      <c r="J81" s="44"/>
      <c r="K81" s="44"/>
      <c r="L81" s="44"/>
      <c r="P81"/>
      <c r="Q81"/>
      <c r="R81"/>
      <c r="S81"/>
      <c r="T81"/>
      <c r="U81"/>
      <c r="V81"/>
    </row>
    <row r="82" spans="1:22" hidden="1" outlineLevel="1">
      <c r="A82" s="14"/>
      <c r="B82" s="44"/>
      <c r="C82" s="44"/>
      <c r="D82" s="44"/>
      <c r="E82" s="44"/>
      <c r="F82" s="44"/>
      <c r="G82" s="44"/>
      <c r="H82" s="44"/>
      <c r="I82" s="44"/>
      <c r="J82" s="44"/>
      <c r="K82" s="44"/>
      <c r="L82" s="44"/>
      <c r="P82"/>
      <c r="Q82"/>
      <c r="R82"/>
      <c r="S82"/>
      <c r="T82"/>
      <c r="U82"/>
      <c r="V82"/>
    </row>
    <row r="83" spans="1:22" hidden="1" outlineLevel="1">
      <c r="A83" s="14"/>
      <c r="B83" s="44"/>
      <c r="C83" s="44"/>
      <c r="D83" s="44"/>
      <c r="E83" s="44"/>
      <c r="F83" s="44"/>
      <c r="G83" s="44"/>
      <c r="H83" s="44"/>
      <c r="I83" s="44"/>
      <c r="J83" s="44"/>
      <c r="K83" s="44"/>
      <c r="L83" s="44"/>
      <c r="P83"/>
      <c r="Q83"/>
      <c r="R83"/>
      <c r="S83"/>
      <c r="T83"/>
      <c r="U83"/>
      <c r="V83"/>
    </row>
    <row r="84" spans="1:22" hidden="1" outlineLevel="1">
      <c r="A84" s="14"/>
      <c r="B84" s="44"/>
      <c r="C84" s="44"/>
      <c r="D84" s="44"/>
      <c r="E84" s="44"/>
      <c r="F84" s="44"/>
      <c r="G84" s="44"/>
      <c r="H84" s="44"/>
      <c r="I84" s="44"/>
      <c r="J84" s="44"/>
      <c r="K84" s="44"/>
      <c r="L84" s="44"/>
      <c r="P84"/>
      <c r="Q84"/>
      <c r="R84"/>
      <c r="S84"/>
      <c r="T84"/>
      <c r="U84"/>
      <c r="V84"/>
    </row>
    <row r="85" spans="1:22" hidden="1" outlineLevel="1">
      <c r="A85" s="14"/>
      <c r="B85" s="44"/>
      <c r="C85" s="44"/>
      <c r="D85" s="44"/>
      <c r="E85" s="44"/>
      <c r="F85" s="44"/>
      <c r="G85" s="44"/>
      <c r="H85" s="44"/>
      <c r="I85" s="44"/>
      <c r="J85" s="44"/>
      <c r="K85" s="44"/>
      <c r="L85" s="44"/>
      <c r="P85"/>
      <c r="Q85"/>
      <c r="R85"/>
      <c r="S85"/>
      <c r="T85"/>
      <c r="U85"/>
      <c r="V85"/>
    </row>
    <row r="86" spans="1:22" hidden="1" outlineLevel="1">
      <c r="A86" s="14"/>
      <c r="B86" s="44"/>
      <c r="C86" s="44"/>
      <c r="D86" s="44"/>
      <c r="E86" s="44"/>
      <c r="F86" s="44"/>
      <c r="G86" s="44"/>
      <c r="H86" s="44"/>
      <c r="I86" s="44"/>
      <c r="J86" s="44"/>
      <c r="K86" s="44"/>
      <c r="L86" s="44"/>
      <c r="P86"/>
      <c r="Q86"/>
      <c r="R86"/>
      <c r="S86"/>
      <c r="T86"/>
      <c r="U86"/>
      <c r="V86"/>
    </row>
    <row r="87" spans="1:22" hidden="1" outlineLevel="1">
      <c r="A87" s="14"/>
      <c r="B87" s="44"/>
      <c r="C87" s="44"/>
      <c r="D87" s="44"/>
      <c r="E87" s="44"/>
      <c r="F87" s="44"/>
      <c r="G87" s="44"/>
      <c r="H87" s="44"/>
      <c r="I87" s="44"/>
      <c r="J87" s="44"/>
      <c r="K87" s="44"/>
      <c r="L87" s="44"/>
      <c r="P87"/>
      <c r="Q87"/>
      <c r="R87"/>
      <c r="S87"/>
      <c r="T87"/>
      <c r="U87"/>
      <c r="V87"/>
    </row>
    <row r="88" spans="1:22" hidden="1" outlineLevel="1">
      <c r="A88" s="14"/>
      <c r="B88" s="44"/>
      <c r="C88" s="44"/>
      <c r="D88" s="44"/>
      <c r="E88" s="44"/>
      <c r="F88" s="44"/>
      <c r="G88" s="44"/>
      <c r="H88" s="44"/>
      <c r="I88" s="44"/>
      <c r="J88" s="44"/>
      <c r="K88" s="44"/>
      <c r="L88" s="44"/>
      <c r="P88"/>
      <c r="Q88"/>
      <c r="R88"/>
      <c r="S88"/>
      <c r="T88"/>
      <c r="U88"/>
      <c r="V88"/>
    </row>
    <row r="89" spans="1:22" hidden="1" outlineLevel="1">
      <c r="A89" s="14"/>
      <c r="B89" s="44"/>
      <c r="C89" s="44"/>
      <c r="D89" s="44"/>
      <c r="E89" s="44"/>
      <c r="F89" s="44"/>
      <c r="G89" s="44"/>
      <c r="H89" s="44"/>
      <c r="I89" s="44"/>
      <c r="J89" s="44"/>
      <c r="K89" s="44"/>
      <c r="L89" s="44"/>
      <c r="P89"/>
      <c r="Q89"/>
      <c r="R89"/>
      <c r="S89"/>
      <c r="T89"/>
      <c r="U89"/>
      <c r="V89"/>
    </row>
    <row r="90" spans="1:22" hidden="1" outlineLevel="1">
      <c r="A90" s="14"/>
      <c r="B90" s="44"/>
      <c r="C90" s="44"/>
      <c r="D90" s="44"/>
      <c r="E90" s="44"/>
      <c r="F90" s="44"/>
      <c r="G90" s="44"/>
      <c r="H90" s="44"/>
      <c r="I90" s="44"/>
      <c r="J90" s="44"/>
      <c r="K90" s="44"/>
      <c r="L90" s="44"/>
      <c r="P90"/>
      <c r="Q90"/>
      <c r="R90"/>
      <c r="S90"/>
      <c r="T90"/>
      <c r="U90"/>
      <c r="V90"/>
    </row>
    <row r="91" spans="1:22" hidden="1" outlineLevel="1">
      <c r="A91" s="14"/>
      <c r="B91" s="44"/>
      <c r="C91" s="44"/>
      <c r="D91" s="44"/>
      <c r="E91" s="44"/>
      <c r="F91" s="44"/>
      <c r="G91" s="44"/>
      <c r="H91" s="44"/>
      <c r="I91" s="44"/>
      <c r="J91" s="44"/>
      <c r="K91" s="44"/>
      <c r="L91" s="44"/>
      <c r="P91"/>
      <c r="Q91"/>
      <c r="R91"/>
      <c r="S91"/>
      <c r="T91"/>
      <c r="U91"/>
      <c r="V91"/>
    </row>
    <row r="92" spans="1:22" hidden="1" outlineLevel="1">
      <c r="A92" s="14"/>
      <c r="B92" s="44"/>
      <c r="C92" s="44"/>
      <c r="D92" s="44"/>
      <c r="E92" s="44"/>
      <c r="F92" s="44"/>
      <c r="G92" s="44"/>
      <c r="H92" s="44"/>
      <c r="I92" s="44"/>
      <c r="J92" s="44"/>
      <c r="K92" s="44"/>
      <c r="L92" s="44"/>
      <c r="P92"/>
      <c r="Q92"/>
      <c r="R92"/>
      <c r="S92"/>
      <c r="T92"/>
      <c r="U92"/>
      <c r="V92"/>
    </row>
    <row r="93" spans="1:22" hidden="1" outlineLevel="1">
      <c r="A93" s="14"/>
      <c r="B93" s="44"/>
      <c r="C93" s="44"/>
      <c r="D93" s="44"/>
      <c r="E93" s="44"/>
      <c r="F93" s="44"/>
      <c r="G93" s="44"/>
      <c r="H93" s="44"/>
      <c r="I93" s="44"/>
      <c r="J93" s="44"/>
      <c r="K93" s="44"/>
      <c r="L93" s="44"/>
      <c r="P93"/>
      <c r="Q93"/>
      <c r="R93"/>
      <c r="S93"/>
      <c r="T93"/>
      <c r="U93"/>
      <c r="V93"/>
    </row>
    <row r="94" spans="1:22" hidden="1" outlineLevel="1">
      <c r="A94" s="14"/>
      <c r="B94" s="44"/>
      <c r="C94" s="44"/>
      <c r="D94" s="44"/>
      <c r="E94" s="44"/>
      <c r="F94" s="44"/>
      <c r="G94" s="44"/>
      <c r="H94" s="44"/>
      <c r="I94" s="44"/>
      <c r="J94" s="44"/>
      <c r="K94" s="44"/>
      <c r="L94" s="44"/>
      <c r="P94"/>
      <c r="Q94"/>
      <c r="R94"/>
      <c r="S94"/>
      <c r="T94"/>
      <c r="U94"/>
      <c r="V94"/>
    </row>
    <row r="95" spans="1:22" hidden="1" outlineLevel="1">
      <c r="A95" s="14"/>
      <c r="B95" s="44"/>
      <c r="C95" s="44"/>
      <c r="D95" s="44"/>
      <c r="E95" s="44"/>
      <c r="F95" s="44"/>
      <c r="G95" s="44"/>
      <c r="H95" s="44"/>
      <c r="I95" s="44"/>
      <c r="J95" s="44"/>
      <c r="K95" s="44"/>
      <c r="L95" s="44"/>
      <c r="P95"/>
      <c r="Q95"/>
      <c r="R95"/>
      <c r="S95"/>
      <c r="T95"/>
      <c r="U95"/>
      <c r="V95"/>
    </row>
    <row r="96" spans="1:22" hidden="1" outlineLevel="1">
      <c r="A96" s="14"/>
      <c r="B96" s="53"/>
      <c r="C96" s="53"/>
      <c r="D96" s="54"/>
      <c r="E96" s="54"/>
      <c r="F96" s="44"/>
      <c r="G96" s="44"/>
      <c r="H96" s="44"/>
      <c r="I96" s="44"/>
      <c r="J96" s="44"/>
      <c r="K96" s="44"/>
      <c r="L96" s="44"/>
      <c r="P96"/>
      <c r="Q96"/>
      <c r="R96"/>
      <c r="S96"/>
      <c r="T96"/>
      <c r="U96"/>
      <c r="V96"/>
    </row>
    <row r="97" spans="1:22" hidden="1" outlineLevel="1">
      <c r="A97" s="14"/>
      <c r="B97" s="53"/>
      <c r="C97" s="53"/>
      <c r="D97" s="54"/>
      <c r="E97" s="54"/>
      <c r="F97" s="44"/>
      <c r="G97" s="44"/>
      <c r="H97" s="44"/>
      <c r="I97" s="44"/>
      <c r="J97" s="44"/>
      <c r="K97" s="44"/>
      <c r="L97" s="44"/>
      <c r="P97"/>
      <c r="Q97"/>
      <c r="R97"/>
      <c r="S97"/>
      <c r="T97"/>
      <c r="U97"/>
      <c r="V97"/>
    </row>
    <row r="98" spans="1:22" hidden="1" outlineLevel="1">
      <c r="A98" s="14"/>
    </row>
    <row r="99" spans="1:22" collapsed="1">
      <c r="A99" s="14"/>
      <c r="C99" s="14"/>
    </row>
    <row r="100" spans="1:22" ht="15.75" hidden="1" outlineLevel="1">
      <c r="A100" s="14"/>
      <c r="B100" s="111" t="s">
        <v>178</v>
      </c>
      <c r="C100" s="18"/>
    </row>
    <row r="101" spans="1:22" hidden="1" outlineLevel="1">
      <c r="A101" s="14"/>
      <c r="B101" s="13"/>
      <c r="C101" s="18"/>
    </row>
    <row r="102" spans="1:22" ht="14.25" hidden="1" outlineLevel="1">
      <c r="A102" s="14"/>
      <c r="B102" s="151" t="s">
        <v>119</v>
      </c>
      <c r="C102" s="18"/>
    </row>
    <row r="103" spans="1:22" ht="14.25" hidden="1" outlineLevel="1">
      <c r="A103" s="14"/>
      <c r="B103" s="152" t="s">
        <v>120</v>
      </c>
      <c r="C103" s="18"/>
    </row>
    <row r="104" spans="1:22" ht="14.25" hidden="1" outlineLevel="1">
      <c r="A104" s="14"/>
      <c r="B104" s="112" t="s">
        <v>121</v>
      </c>
      <c r="C104" s="18"/>
    </row>
    <row r="105" spans="1:22" ht="14.25" hidden="1" outlineLevel="1">
      <c r="A105" s="14"/>
      <c r="B105" s="112" t="s">
        <v>159</v>
      </c>
      <c r="C105" s="18"/>
    </row>
    <row r="106" spans="1:22" ht="14.25" hidden="1" outlineLevel="1">
      <c r="A106" s="14"/>
      <c r="B106" s="112" t="s">
        <v>160</v>
      </c>
      <c r="C106" s="18"/>
    </row>
    <row r="107" spans="1:22" ht="14.25" hidden="1" outlineLevel="1">
      <c r="A107" s="14"/>
      <c r="B107" s="112"/>
      <c r="C107" s="18"/>
    </row>
    <row r="108" spans="1:22" ht="14.25" hidden="1" outlineLevel="1">
      <c r="A108" s="14"/>
      <c r="B108" s="153" t="s">
        <v>161</v>
      </c>
      <c r="C108" s="18"/>
    </row>
    <row r="109" spans="1:22" hidden="1" outlineLevel="1">
      <c r="A109" s="14"/>
      <c r="C109" s="18"/>
    </row>
    <row r="110" spans="1:22" hidden="1" outlineLevel="1">
      <c r="A110" s="14"/>
      <c r="C110" s="18"/>
    </row>
    <row r="111" spans="1:22" ht="15.75" hidden="1" outlineLevel="1">
      <c r="A111" s="14"/>
      <c r="B111" s="111" t="s">
        <v>162</v>
      </c>
      <c r="C111" s="18"/>
    </row>
    <row r="112" spans="1:22" hidden="1" outlineLevel="1">
      <c r="A112" s="14"/>
      <c r="B112" s="55"/>
      <c r="C112" s="18"/>
    </row>
    <row r="113" spans="1:8" hidden="1" outlineLevel="1">
      <c r="A113" s="14"/>
      <c r="B113" s="195" t="s">
        <v>97</v>
      </c>
      <c r="C113" s="195"/>
      <c r="E113" s="107"/>
      <c r="F113" s="161" t="s">
        <v>102</v>
      </c>
      <c r="G113" s="159">
        <f>C120</f>
        <v>5100</v>
      </c>
    </row>
    <row r="114" spans="1:8" hidden="1" outlineLevel="1">
      <c r="A114" s="14"/>
      <c r="B114" s="154" t="s">
        <v>96</v>
      </c>
      <c r="C114" s="155">
        <v>170</v>
      </c>
      <c r="F114" s="160">
        <v>30</v>
      </c>
      <c r="G114" s="157">
        <f t="dataTable" ref="G114:G124" dt2D="0" dtr="0" r1="C117"/>
        <v>10200</v>
      </c>
    </row>
    <row r="115" spans="1:8" hidden="1" outlineLevel="1">
      <c r="A115" s="14"/>
      <c r="B115" s="154" t="s">
        <v>30</v>
      </c>
      <c r="C115" s="155">
        <v>510</v>
      </c>
      <c r="F115" s="160">
        <v>32</v>
      </c>
      <c r="G115" s="157">
        <v>9180</v>
      </c>
    </row>
    <row r="116" spans="1:8" hidden="1" outlineLevel="1">
      <c r="A116" s="14"/>
      <c r="B116" s="154" t="s">
        <v>98</v>
      </c>
      <c r="C116" s="156">
        <v>150</v>
      </c>
      <c r="F116" s="160">
        <v>34</v>
      </c>
      <c r="G116" s="157">
        <v>8160</v>
      </c>
    </row>
    <row r="117" spans="1:8" hidden="1" outlineLevel="1">
      <c r="A117" s="14"/>
      <c r="B117" s="154" t="s">
        <v>102</v>
      </c>
      <c r="C117" s="156">
        <v>40</v>
      </c>
      <c r="F117" s="160">
        <v>36</v>
      </c>
      <c r="G117" s="157">
        <v>7140</v>
      </c>
    </row>
    <row r="118" spans="1:8" hidden="1" outlineLevel="1">
      <c r="A118" s="14"/>
      <c r="B118" s="154" t="s">
        <v>32</v>
      </c>
      <c r="C118" s="156">
        <f>C114*C116</f>
        <v>25500</v>
      </c>
      <c r="F118" s="160">
        <v>38</v>
      </c>
      <c r="G118" s="157">
        <v>6120</v>
      </c>
    </row>
    <row r="119" spans="1:8" hidden="1" outlineLevel="1">
      <c r="A119" s="14"/>
      <c r="B119" s="154" t="s">
        <v>33</v>
      </c>
      <c r="C119" s="156">
        <f>C115*C117</f>
        <v>20400</v>
      </c>
      <c r="F119" s="160">
        <v>40</v>
      </c>
      <c r="G119" s="157">
        <v>5100</v>
      </c>
    </row>
    <row r="120" spans="1:8" hidden="1" outlineLevel="1">
      <c r="A120" s="14"/>
      <c r="B120" s="158" t="s">
        <v>31</v>
      </c>
      <c r="C120" s="159">
        <f>C118-C119</f>
        <v>5100</v>
      </c>
      <c r="F120" s="160">
        <v>42</v>
      </c>
      <c r="G120" s="157">
        <v>4080</v>
      </c>
    </row>
    <row r="121" spans="1:8" hidden="1" outlineLevel="1">
      <c r="A121" s="14"/>
      <c r="E121" s="56"/>
      <c r="F121" s="160">
        <v>44</v>
      </c>
      <c r="G121" s="157">
        <v>3060</v>
      </c>
    </row>
    <row r="122" spans="1:8" hidden="1" outlineLevel="1">
      <c r="A122" s="14"/>
      <c r="E122" s="56"/>
      <c r="F122" s="160">
        <v>46</v>
      </c>
      <c r="G122" s="157">
        <v>2040</v>
      </c>
    </row>
    <row r="123" spans="1:8" hidden="1" outlineLevel="1">
      <c r="A123" s="14"/>
      <c r="F123" s="160">
        <v>48</v>
      </c>
      <c r="G123" s="157">
        <v>1020</v>
      </c>
    </row>
    <row r="124" spans="1:8" hidden="1" outlineLevel="1">
      <c r="A124" s="14"/>
      <c r="E124" s="57"/>
      <c r="F124" s="160">
        <v>50</v>
      </c>
      <c r="G124" s="157">
        <v>0</v>
      </c>
    </row>
    <row r="125" spans="1:8" hidden="1" outlineLevel="1">
      <c r="A125" s="14"/>
      <c r="B125" s="9"/>
      <c r="C125" s="9"/>
    </row>
    <row r="126" spans="1:8" hidden="1" outlineLevel="1">
      <c r="A126" s="14"/>
      <c r="B126" s="14"/>
      <c r="C126" s="14"/>
      <c r="D126" s="14"/>
      <c r="E126" s="14"/>
      <c r="F126" s="14"/>
      <c r="G126" s="14"/>
      <c r="H126" s="14"/>
    </row>
    <row r="127" spans="1:8" hidden="1" outlineLevel="1"/>
    <row r="128" spans="1:8" ht="18" hidden="1" outlineLevel="1">
      <c r="B128" s="3"/>
    </row>
    <row r="129" spans="1:17" hidden="1" outlineLevel="1">
      <c r="C129" s="16"/>
    </row>
    <row r="130" spans="1:17" collapsed="1"/>
    <row r="131" spans="1:17" ht="15.75" hidden="1" outlineLevel="1">
      <c r="B131" s="111" t="s">
        <v>176</v>
      </c>
    </row>
    <row r="132" spans="1:17" hidden="1" outlineLevel="1"/>
    <row r="133" spans="1:17" ht="14.25" hidden="1" outlineLevel="1">
      <c r="B133" s="151" t="s">
        <v>122</v>
      </c>
    </row>
    <row r="134" spans="1:17" ht="14.25" hidden="1" outlineLevel="1">
      <c r="B134" s="152" t="s">
        <v>123</v>
      </c>
    </row>
    <row r="135" spans="1:17" ht="14.25" hidden="1" outlineLevel="1">
      <c r="B135" s="152" t="s">
        <v>124</v>
      </c>
    </row>
    <row r="136" spans="1:17" hidden="1" outlineLevel="1"/>
    <row r="137" spans="1:17" ht="14.25" hidden="1" outlineLevel="1">
      <c r="B137" s="151" t="s">
        <v>163</v>
      </c>
    </row>
    <row r="138" spans="1:17" hidden="1" outlineLevel="1"/>
    <row r="139" spans="1:17" ht="15.75" hidden="1" outlineLevel="1">
      <c r="B139" s="111" t="s">
        <v>164</v>
      </c>
    </row>
    <row r="140" spans="1:17" hidden="1" outlineLevel="1"/>
    <row r="141" spans="1:17" hidden="1" outlineLevel="1">
      <c r="A141" s="8"/>
      <c r="G141" s="196" t="s">
        <v>96</v>
      </c>
      <c r="H141" s="196"/>
      <c r="I141" s="196"/>
      <c r="J141" s="196"/>
      <c r="K141" s="196"/>
      <c r="L141" s="196"/>
      <c r="Q141" s="6"/>
    </row>
    <row r="142" spans="1:17" hidden="1" outlineLevel="1">
      <c r="A142" s="8"/>
      <c r="B142" s="195" t="s">
        <v>97</v>
      </c>
      <c r="C142" s="195"/>
      <c r="F142" s="157">
        <f>C149</f>
        <v>5100</v>
      </c>
      <c r="G142" s="162">
        <v>150</v>
      </c>
      <c r="H142" s="162">
        <v>160</v>
      </c>
      <c r="I142" s="162">
        <v>170</v>
      </c>
      <c r="J142" s="162">
        <v>180</v>
      </c>
      <c r="K142" s="162">
        <v>190</v>
      </c>
      <c r="L142" s="162">
        <v>200</v>
      </c>
      <c r="Q142" s="6"/>
    </row>
    <row r="143" spans="1:17" hidden="1" outlineLevel="1">
      <c r="A143" s="8"/>
      <c r="B143" s="154" t="s">
        <v>96</v>
      </c>
      <c r="C143" s="155">
        <v>170</v>
      </c>
      <c r="E143" s="197" t="s">
        <v>101</v>
      </c>
      <c r="F143" s="160">
        <v>30</v>
      </c>
      <c r="G143" s="157">
        <f t="dataTable" ref="G143:L153" dt2D="1" dtr="1" r1="C143" r2="C146"/>
        <v>7200</v>
      </c>
      <c r="H143" s="157">
        <v>8700</v>
      </c>
      <c r="I143" s="157">
        <v>10200</v>
      </c>
      <c r="J143" s="157">
        <v>11700</v>
      </c>
      <c r="K143" s="157">
        <v>13200</v>
      </c>
      <c r="L143" s="157">
        <v>14700</v>
      </c>
      <c r="Q143" s="6"/>
    </row>
    <row r="144" spans="1:17" hidden="1" outlineLevel="1">
      <c r="A144" s="8"/>
      <c r="B144" s="154" t="s">
        <v>30</v>
      </c>
      <c r="C144" s="155">
        <v>510</v>
      </c>
      <c r="E144" s="197"/>
      <c r="F144" s="160">
        <v>32</v>
      </c>
      <c r="G144" s="157">
        <v>6180</v>
      </c>
      <c r="H144" s="157">
        <v>7680</v>
      </c>
      <c r="I144" s="157">
        <v>9180</v>
      </c>
      <c r="J144" s="157">
        <v>10680</v>
      </c>
      <c r="K144" s="157">
        <v>12180</v>
      </c>
      <c r="L144" s="157">
        <v>13680</v>
      </c>
      <c r="Q144" s="6"/>
    </row>
    <row r="145" spans="1:17" hidden="1" outlineLevel="1">
      <c r="A145" s="8"/>
      <c r="B145" s="154" t="s">
        <v>98</v>
      </c>
      <c r="C145" s="156">
        <v>150</v>
      </c>
      <c r="E145" s="197"/>
      <c r="F145" s="160">
        <v>34</v>
      </c>
      <c r="G145" s="157">
        <v>5160</v>
      </c>
      <c r="H145" s="157">
        <v>6660</v>
      </c>
      <c r="I145" s="157">
        <v>8160</v>
      </c>
      <c r="J145" s="157">
        <v>9660</v>
      </c>
      <c r="K145" s="157">
        <v>11160</v>
      </c>
      <c r="L145" s="157">
        <v>12660</v>
      </c>
      <c r="Q145" s="6"/>
    </row>
    <row r="146" spans="1:17" hidden="1" outlineLevel="1">
      <c r="A146" s="8"/>
      <c r="B146" s="154" t="s">
        <v>102</v>
      </c>
      <c r="C146" s="156">
        <v>40</v>
      </c>
      <c r="E146" s="197"/>
      <c r="F146" s="160">
        <v>36</v>
      </c>
      <c r="G146" s="157">
        <v>4140</v>
      </c>
      <c r="H146" s="157">
        <v>5640</v>
      </c>
      <c r="I146" s="157">
        <v>7140</v>
      </c>
      <c r="J146" s="157">
        <v>8640</v>
      </c>
      <c r="K146" s="157">
        <v>10140</v>
      </c>
      <c r="L146" s="157">
        <v>11640</v>
      </c>
      <c r="Q146" s="6"/>
    </row>
    <row r="147" spans="1:17" hidden="1" outlineLevel="1">
      <c r="B147" s="154" t="s">
        <v>32</v>
      </c>
      <c r="C147" s="156">
        <f>C143*C145</f>
        <v>25500</v>
      </c>
      <c r="D147" s="56"/>
      <c r="E147" s="197"/>
      <c r="F147" s="160">
        <v>38</v>
      </c>
      <c r="G147" s="157">
        <v>3120</v>
      </c>
      <c r="H147" s="157">
        <v>4620</v>
      </c>
      <c r="I147" s="157">
        <v>6120</v>
      </c>
      <c r="J147" s="157">
        <v>7620</v>
      </c>
      <c r="K147" s="157">
        <v>9120</v>
      </c>
      <c r="L147" s="157">
        <v>10620</v>
      </c>
      <c r="Q147" s="6"/>
    </row>
    <row r="148" spans="1:17" hidden="1" outlineLevel="1">
      <c r="B148" s="154" t="s">
        <v>33</v>
      </c>
      <c r="C148" s="156">
        <f>C144*C146</f>
        <v>20400</v>
      </c>
      <c r="E148" s="197"/>
      <c r="F148" s="160">
        <v>40</v>
      </c>
      <c r="G148" s="157">
        <v>2100</v>
      </c>
      <c r="H148" s="157">
        <v>3600</v>
      </c>
      <c r="I148" s="157">
        <v>5100</v>
      </c>
      <c r="J148" s="157">
        <v>6600</v>
      </c>
      <c r="K148" s="157">
        <v>8100</v>
      </c>
      <c r="L148" s="157">
        <v>9600</v>
      </c>
      <c r="Q148" s="6"/>
    </row>
    <row r="149" spans="1:17" hidden="1" outlineLevel="1">
      <c r="B149" s="158" t="s">
        <v>31</v>
      </c>
      <c r="C149" s="159">
        <f>C147-C148</f>
        <v>5100</v>
      </c>
      <c r="E149" s="197"/>
      <c r="F149" s="160">
        <v>42</v>
      </c>
      <c r="G149" s="157">
        <v>1080</v>
      </c>
      <c r="H149" s="157">
        <v>2580</v>
      </c>
      <c r="I149" s="157">
        <v>4080</v>
      </c>
      <c r="J149" s="157">
        <v>5580</v>
      </c>
      <c r="K149" s="157">
        <v>7080</v>
      </c>
      <c r="L149" s="157">
        <v>8580</v>
      </c>
      <c r="Q149" s="6"/>
    </row>
    <row r="150" spans="1:17" hidden="1" outlineLevel="1">
      <c r="E150" s="197"/>
      <c r="F150" s="160">
        <v>44</v>
      </c>
      <c r="G150" s="157">
        <v>60</v>
      </c>
      <c r="H150" s="157">
        <v>1560</v>
      </c>
      <c r="I150" s="157">
        <v>3060</v>
      </c>
      <c r="J150" s="157">
        <v>4560</v>
      </c>
      <c r="K150" s="157">
        <v>6060</v>
      </c>
      <c r="L150" s="157">
        <v>7560</v>
      </c>
      <c r="Q150" s="6"/>
    </row>
    <row r="151" spans="1:17" hidden="1" outlineLevel="1">
      <c r="E151" s="197"/>
      <c r="F151" s="160">
        <v>46</v>
      </c>
      <c r="G151" s="157">
        <v>-960</v>
      </c>
      <c r="H151" s="157">
        <v>540</v>
      </c>
      <c r="I151" s="157">
        <v>2040</v>
      </c>
      <c r="J151" s="157">
        <v>3540</v>
      </c>
      <c r="K151" s="157">
        <v>5040</v>
      </c>
      <c r="L151" s="157">
        <v>6540</v>
      </c>
      <c r="Q151" s="6"/>
    </row>
    <row r="152" spans="1:17" hidden="1" outlineLevel="1">
      <c r="E152" s="197"/>
      <c r="F152" s="160">
        <v>48</v>
      </c>
      <c r="G152" s="157">
        <v>-1980</v>
      </c>
      <c r="H152" s="157">
        <v>-480</v>
      </c>
      <c r="I152" s="157">
        <v>1020</v>
      </c>
      <c r="J152" s="157">
        <v>2520</v>
      </c>
      <c r="K152" s="157">
        <v>4020</v>
      </c>
      <c r="L152" s="157">
        <v>5520</v>
      </c>
      <c r="Q152" s="6"/>
    </row>
    <row r="153" spans="1:17" hidden="1" outlineLevel="1">
      <c r="E153" s="197"/>
      <c r="F153" s="160">
        <v>50</v>
      </c>
      <c r="G153" s="157">
        <v>-3000</v>
      </c>
      <c r="H153" s="157">
        <v>-1500</v>
      </c>
      <c r="I153" s="157">
        <v>0</v>
      </c>
      <c r="J153" s="157">
        <v>1500</v>
      </c>
      <c r="K153" s="157">
        <v>3000</v>
      </c>
      <c r="L153" s="157">
        <v>4500</v>
      </c>
      <c r="Q153" s="6"/>
    </row>
    <row r="154" spans="1:17" hidden="1" outlineLevel="1">
      <c r="Q154" s="6"/>
    </row>
    <row r="155" spans="1:17" hidden="1" outlineLevel="1">
      <c r="C155" s="16"/>
      <c r="G155" s="58"/>
      <c r="Q155" s="6"/>
    </row>
    <row r="156" spans="1:17" hidden="1" outlineLevel="1">
      <c r="C156" s="16"/>
      <c r="Q156" s="6"/>
    </row>
    <row r="157" spans="1:17" hidden="1" outlineLevel="1"/>
    <row r="158" spans="1:17" ht="14.25" hidden="1" outlineLevel="1">
      <c r="A158" s="151"/>
      <c r="C158" s="14"/>
      <c r="D158" s="14"/>
      <c r="E158" s="14"/>
    </row>
    <row r="159" spans="1:17" ht="14.25" hidden="1" outlineLevel="1">
      <c r="A159" s="151"/>
      <c r="C159" s="18"/>
      <c r="D159" s="14"/>
      <c r="E159" s="14"/>
    </row>
    <row r="160" spans="1:17" ht="14.25" hidden="1" outlineLevel="1">
      <c r="A160" s="151"/>
      <c r="C160" s="18"/>
      <c r="D160" s="14"/>
      <c r="E160" s="14"/>
    </row>
    <row r="161" spans="1:10" ht="14.25" hidden="1" outlineLevel="1">
      <c r="A161" s="151"/>
      <c r="C161" s="18"/>
      <c r="D161" s="14"/>
      <c r="E161" s="14"/>
    </row>
    <row r="162" spans="1:10" ht="14.25" hidden="1" outlineLevel="1">
      <c r="A162" s="151"/>
      <c r="C162" s="18"/>
      <c r="D162" s="14"/>
      <c r="E162" s="14"/>
    </row>
    <row r="163" spans="1:10" ht="14.25" collapsed="1">
      <c r="A163" s="151"/>
      <c r="C163" s="18"/>
      <c r="D163" s="14"/>
      <c r="E163" s="14"/>
    </row>
    <row r="164" spans="1:10" ht="15.75" hidden="1" outlineLevel="1">
      <c r="A164" s="151"/>
      <c r="B164" s="111" t="s">
        <v>177</v>
      </c>
      <c r="C164" s="18"/>
      <c r="D164" s="14"/>
      <c r="E164" s="14"/>
    </row>
    <row r="165" spans="1:10" ht="14.25" hidden="1" outlineLevel="1">
      <c r="A165" s="151"/>
      <c r="B165" s="151"/>
      <c r="C165" s="18"/>
      <c r="D165" s="14"/>
      <c r="E165" s="14"/>
    </row>
    <row r="166" spans="1:10" ht="14.25" hidden="1" outlineLevel="1">
      <c r="B166" s="151" t="s">
        <v>165</v>
      </c>
      <c r="C166" s="18"/>
      <c r="D166" s="14"/>
      <c r="E166" s="14"/>
    </row>
    <row r="167" spans="1:10" ht="14.25" hidden="1" outlineLevel="1">
      <c r="B167" s="151" t="s">
        <v>125</v>
      </c>
      <c r="C167" s="18"/>
      <c r="D167" s="14"/>
      <c r="E167" s="14"/>
    </row>
    <row r="168" spans="1:10" ht="14.25" hidden="1" outlineLevel="1">
      <c r="B168" s="151" t="s">
        <v>126</v>
      </c>
      <c r="C168" s="18"/>
      <c r="D168" s="14"/>
      <c r="E168" s="14"/>
    </row>
    <row r="169" spans="1:10" ht="14.25" hidden="1" outlineLevel="1">
      <c r="B169" s="151" t="s">
        <v>127</v>
      </c>
      <c r="C169" s="18"/>
      <c r="D169" s="14"/>
      <c r="E169" s="14"/>
    </row>
    <row r="170" spans="1:10" hidden="1" outlineLevel="1">
      <c r="C170" s="18"/>
      <c r="D170" s="14"/>
      <c r="E170" s="14"/>
    </row>
    <row r="171" spans="1:10" ht="14.25" hidden="1" outlineLevel="1">
      <c r="B171" s="151" t="s">
        <v>128</v>
      </c>
      <c r="C171" s="18"/>
      <c r="D171" s="14"/>
      <c r="E171" s="14"/>
    </row>
    <row r="172" spans="1:10" ht="18" hidden="1" outlineLevel="1">
      <c r="B172" s="19"/>
      <c r="C172" s="18"/>
      <c r="D172" s="14"/>
      <c r="E172" s="14"/>
    </row>
    <row r="173" spans="1:10" ht="30" hidden="1" outlineLevel="1">
      <c r="B173" s="163" t="s">
        <v>43</v>
      </c>
      <c r="C173" s="163" t="s">
        <v>47</v>
      </c>
      <c r="D173" s="163" t="s">
        <v>109</v>
      </c>
      <c r="E173" s="163" t="s">
        <v>44</v>
      </c>
      <c r="F173" s="163" t="s">
        <v>99</v>
      </c>
      <c r="G173" s="163" t="s">
        <v>100</v>
      </c>
      <c r="H173" s="163" t="s">
        <v>95</v>
      </c>
      <c r="I173" s="62"/>
      <c r="J173" s="62"/>
    </row>
    <row r="174" spans="1:10" ht="14.25" hidden="1" outlineLevel="1">
      <c r="B174" s="164" t="s">
        <v>42</v>
      </c>
      <c r="C174" s="165">
        <v>510</v>
      </c>
      <c r="D174" s="165">
        <v>385</v>
      </c>
      <c r="E174" s="165">
        <f>C174*D174</f>
        <v>196350</v>
      </c>
      <c r="F174" s="166">
        <v>30</v>
      </c>
      <c r="G174" s="166">
        <v>50</v>
      </c>
      <c r="H174" s="166">
        <v>150</v>
      </c>
      <c r="I174"/>
      <c r="J174"/>
    </row>
    <row r="175" spans="1:10" hidden="1" outlineLevel="1">
      <c r="B175" s="63"/>
      <c r="C175"/>
      <c r="D175"/>
      <c r="E175"/>
      <c r="F175" s="60"/>
      <c r="G175" s="60"/>
      <c r="H175" s="60"/>
      <c r="I175"/>
      <c r="J175"/>
    </row>
    <row r="176" spans="1:10" ht="15.75" hidden="1" outlineLevel="1">
      <c r="B176" s="111" t="s">
        <v>166</v>
      </c>
      <c r="C176" s="18"/>
      <c r="D176" s="14"/>
      <c r="E176" s="14"/>
    </row>
    <row r="177" spans="2:14" ht="15.75" hidden="1" outlineLevel="1">
      <c r="B177" s="111" t="s">
        <v>167</v>
      </c>
      <c r="C177" s="18"/>
      <c r="D177" s="14"/>
      <c r="E177" s="14"/>
    </row>
    <row r="178" spans="2:14" ht="15.75" hidden="1" outlineLevel="1">
      <c r="B178" s="111" t="s">
        <v>168</v>
      </c>
      <c r="C178" s="18"/>
      <c r="D178" s="14"/>
      <c r="E178" s="14"/>
    </row>
    <row r="179" spans="2:14" ht="15.75" hidden="1" outlineLevel="1">
      <c r="B179" s="111" t="s">
        <v>169</v>
      </c>
    </row>
    <row r="180" spans="2:14" ht="15.75" hidden="1" outlineLevel="1">
      <c r="B180" s="111"/>
      <c r="G180" s="44"/>
    </row>
    <row r="181" spans="2:14" ht="30" hidden="1" outlineLevel="1">
      <c r="B181" s="163" t="s">
        <v>45</v>
      </c>
      <c r="C181" s="163" t="s">
        <v>94</v>
      </c>
      <c r="D181" s="163" t="s">
        <v>107</v>
      </c>
      <c r="G181" s="163" t="s">
        <v>108</v>
      </c>
      <c r="H181" s="163" t="s">
        <v>106</v>
      </c>
      <c r="I181" s="163" t="s">
        <v>129</v>
      </c>
      <c r="J181" s="163" t="s">
        <v>69</v>
      </c>
    </row>
    <row r="182" spans="2:14" ht="15" hidden="1" outlineLevel="1">
      <c r="B182" s="186">
        <v>0</v>
      </c>
      <c r="C182" s="165">
        <v>150</v>
      </c>
      <c r="D182" s="167">
        <f>C182*Revenue_Per_Passenger*$D$174</f>
        <v>8662500</v>
      </c>
      <c r="E182" s="106"/>
      <c r="G182" s="162">
        <v>1</v>
      </c>
      <c r="H182" s="157">
        <f ca="1">Max_Cost_per_Mile- RAND()*(Max_Cost_per_Mile - Min_Cost_per_Mile)</f>
        <v>37.717489739238808</v>
      </c>
      <c r="I182" s="157">
        <f ca="1">VLOOKUP(RAND(),Likelihood_bins,3,TRUE)</f>
        <v>8662500</v>
      </c>
      <c r="J182" s="179">
        <f ca="1">I182 - (Total_Miles *H182)</f>
        <v>1256670.8897004602</v>
      </c>
    </row>
    <row r="183" spans="2:14" ht="15" hidden="1" outlineLevel="1">
      <c r="B183" s="186">
        <v>0.40010000000000001</v>
      </c>
      <c r="C183" s="165">
        <v>175</v>
      </c>
      <c r="D183" s="167">
        <f>C183*Revenue_Per_Passenger*$D$174</f>
        <v>10106250</v>
      </c>
      <c r="E183" s="106"/>
      <c r="G183" s="162">
        <v>2</v>
      </c>
      <c r="H183" s="157">
        <f ca="1">Max_Cost_per_Mile- RAND()*(Max_Cost_per_Mile - Min_Cost_per_Mile)</f>
        <v>36.002029809677154</v>
      </c>
      <c r="I183" s="157">
        <f ca="1">VLOOKUP(RAND(),Likelihood_bins,3,TRUE)</f>
        <v>8662500</v>
      </c>
      <c r="J183" s="179">
        <f ca="1">I183 - (Total_Miles *H183)</f>
        <v>1593501.4468698911</v>
      </c>
    </row>
    <row r="184" spans="2:14" ht="15" hidden="1" outlineLevel="1">
      <c r="B184" s="186">
        <v>0.70009999999999994</v>
      </c>
      <c r="C184" s="165">
        <v>185</v>
      </c>
      <c r="D184" s="167">
        <f>C184*Revenue_Per_Passenger*$D$174</f>
        <v>10683750</v>
      </c>
      <c r="E184" s="106"/>
      <c r="G184" s="162">
        <v>3</v>
      </c>
      <c r="H184" s="157">
        <f ca="1">Max_Cost_per_Mile- RAND()*(Max_Cost_per_Mile - Min_Cost_per_Mile)</f>
        <v>34.751436688482286</v>
      </c>
      <c r="I184" s="157">
        <f ca="1">VLOOKUP(RAND(),Likelihood_bins,3,TRUE)</f>
        <v>10106250</v>
      </c>
      <c r="J184" s="179">
        <f ca="1">I184 - (Total_Miles *H184)</f>
        <v>3282805.4062165031</v>
      </c>
      <c r="L184"/>
      <c r="M184"/>
      <c r="N184"/>
    </row>
    <row r="185" spans="2:14" ht="15" hidden="1" outlineLevel="1">
      <c r="B185" s="186">
        <v>0.90010000000000001</v>
      </c>
      <c r="C185" s="165">
        <v>135</v>
      </c>
      <c r="D185" s="167">
        <f>C185*Revenue_Per_Passenger*$D$174</f>
        <v>7796250</v>
      </c>
      <c r="E185" s="106"/>
      <c r="G185" s="162">
        <v>4</v>
      </c>
      <c r="H185" s="157">
        <f ca="1">Max_Cost_per_Mile- RAND()*(Max_Cost_per_Mile - Min_Cost_per_Mile)</f>
        <v>30.931552955332755</v>
      </c>
      <c r="I185" s="157">
        <f ca="1">VLOOKUP(RAND(),Likelihood_bins,3,TRUE)</f>
        <v>8662500</v>
      </c>
      <c r="J185" s="179">
        <f ca="1">I185 - (Total_Miles *H185)</f>
        <v>2589089.5772204138</v>
      </c>
      <c r="L185" s="82"/>
      <c r="M185" s="83"/>
      <c r="N185"/>
    </row>
    <row r="186" spans="2:14" hidden="1" outlineLevel="1">
      <c r="G186" s="162">
        <v>5</v>
      </c>
      <c r="H186" s="157">
        <f ca="1">Max_Cost_per_Mile- RAND()*(Max_Cost_per_Mile - Min_Cost_per_Mile)</f>
        <v>41.615004195812546</v>
      </c>
      <c r="I186" s="157">
        <f ca="1">VLOOKUP(RAND(),Likelihood_bins,3,TRUE)</f>
        <v>8662500</v>
      </c>
      <c r="J186" s="179">
        <f ca="1">I186 - (Total_Miles *H186)</f>
        <v>491393.92615220696</v>
      </c>
      <c r="L186" s="82"/>
      <c r="M186" s="83"/>
      <c r="N186"/>
    </row>
    <row r="187" spans="2:14" hidden="1" outlineLevel="1">
      <c r="G187" s="162">
        <v>6</v>
      </c>
      <c r="H187" s="157">
        <f ca="1">Max_Cost_per_Mile- RAND()*(Max_Cost_per_Mile - Min_Cost_per_Mile)</f>
        <v>36.023378867895687</v>
      </c>
      <c r="I187" s="157">
        <f ca="1">VLOOKUP(RAND(),Likelihood_bins,3,TRUE)</f>
        <v>10106250</v>
      </c>
      <c r="J187" s="179">
        <f ca="1">I187 - (Total_Miles *H187)</f>
        <v>3033059.5592886815</v>
      </c>
      <c r="L187" s="82"/>
      <c r="M187" s="83"/>
      <c r="N187"/>
    </row>
    <row r="188" spans="2:14" hidden="1" outlineLevel="1">
      <c r="G188" s="162">
        <v>7</v>
      </c>
      <c r="H188" s="157">
        <f ca="1">Max_Cost_per_Mile- RAND()*(Max_Cost_per_Mile - Min_Cost_per_Mile)</f>
        <v>44.190738647775341</v>
      </c>
      <c r="I188" s="157">
        <f ca="1">VLOOKUP(RAND(),Likelihood_bins,3,TRUE)</f>
        <v>10106250</v>
      </c>
      <c r="J188" s="179">
        <f ca="1">I188 - (Total_Miles *H188)</f>
        <v>1429398.4665093124</v>
      </c>
      <c r="L188" s="82"/>
      <c r="M188" s="83"/>
      <c r="N188"/>
    </row>
    <row r="189" spans="2:14" ht="15" hidden="1" outlineLevel="1">
      <c r="B189" s="198" t="s">
        <v>131</v>
      </c>
      <c r="C189" s="199"/>
      <c r="G189" s="162">
        <v>8</v>
      </c>
      <c r="H189" s="157">
        <f ca="1">Max_Cost_per_Mile- RAND()*(Max_Cost_per_Mile - Min_Cost_per_Mile)</f>
        <v>46.973206187880066</v>
      </c>
      <c r="I189" s="157">
        <f ca="1">VLOOKUP(RAND(),Likelihood_bins,3,TRUE)</f>
        <v>8662500</v>
      </c>
      <c r="J189" s="179">
        <f ca="1">I189 - (Total_Miles *H189)</f>
        <v>-560689.03499025106</v>
      </c>
      <c r="L189" s="82"/>
      <c r="M189" s="83"/>
      <c r="N189"/>
    </row>
    <row r="190" spans="2:14" ht="15" hidden="1" outlineLevel="1">
      <c r="B190" s="168" t="s">
        <v>103</v>
      </c>
      <c r="C190" s="166">
        <f ca="1">IFERROR(AVERAGE(J182:J271),0)</f>
        <v>1679598.5931180737</v>
      </c>
      <c r="G190" s="162">
        <v>9</v>
      </c>
      <c r="H190" s="157">
        <f ca="1">Max_Cost_per_Mile- RAND()*(Max_Cost_per_Mile - Min_Cost_per_Mile)</f>
        <v>39.647478084686639</v>
      </c>
      <c r="I190" s="157">
        <f ca="1">VLOOKUP(RAND(),Likelihood_bins,3,TRUE)</f>
        <v>8662500</v>
      </c>
      <c r="J190" s="179">
        <f ca="1">I190 - (Total_Miles *H190)</f>
        <v>877717.67807177827</v>
      </c>
      <c r="L190" s="82"/>
      <c r="M190" s="83"/>
      <c r="N190"/>
    </row>
    <row r="191" spans="2:14" ht="15" hidden="1" outlineLevel="1">
      <c r="B191" s="168" t="s">
        <v>130</v>
      </c>
      <c r="C191" s="169">
        <f ca="1">IFERROR(COUNTIFS(J182:J271,"&gt;0")/COUNT(J182:J271),0)</f>
        <v>0.9</v>
      </c>
      <c r="G191" s="162">
        <v>10</v>
      </c>
      <c r="H191" s="157">
        <f ca="1">Max_Cost_per_Mile- RAND()*(Max_Cost_per_Mile - Min_Cost_per_Mile)</f>
        <v>39.222263991323942</v>
      </c>
      <c r="I191" s="157">
        <f ca="1">VLOOKUP(RAND(),Likelihood_bins,3,TRUE)</f>
        <v>8662500</v>
      </c>
      <c r="J191" s="179">
        <f ca="1">I191 - (Total_Miles *H191)</f>
        <v>961208.46530354396</v>
      </c>
      <c r="L191" s="82"/>
      <c r="M191" s="83"/>
      <c r="N191"/>
    </row>
    <row r="192" spans="2:14" ht="15" hidden="1" outlineLevel="1">
      <c r="B192" s="168" t="s">
        <v>104</v>
      </c>
      <c r="C192" s="170">
        <f ca="1">C191*100</f>
        <v>90</v>
      </c>
      <c r="G192" s="162">
        <v>11</v>
      </c>
      <c r="H192" s="157">
        <f ca="1">Max_Cost_per_Mile- RAND()*(Max_Cost_per_Mile - Min_Cost_per_Mile)</f>
        <v>41.378362495796424</v>
      </c>
      <c r="I192" s="157">
        <f ca="1">VLOOKUP(RAND(),Likelihood_bins,3,TRUE)</f>
        <v>10106250</v>
      </c>
      <c r="J192" s="179">
        <f ca="1">I192 - (Total_Miles *H192)</f>
        <v>1981608.5239503719</v>
      </c>
      <c r="L192"/>
      <c r="M192"/>
      <c r="N192"/>
    </row>
    <row r="193" spans="3:14" hidden="1" outlineLevel="1">
      <c r="G193" s="162">
        <v>12</v>
      </c>
      <c r="H193" s="157">
        <f ca="1">Max_Cost_per_Mile- RAND()*(Max_Cost_per_Mile - Min_Cost_per_Mile)</f>
        <v>34.386783677551804</v>
      </c>
      <c r="I193" s="157">
        <f ca="1">VLOOKUP(RAND(),Likelihood_bins,3,TRUE)</f>
        <v>8662500</v>
      </c>
      <c r="J193" s="179">
        <f ca="1">I193 - (Total_Miles *H193)</f>
        <v>1910655.0249127029</v>
      </c>
      <c r="L193"/>
      <c r="M193"/>
      <c r="N193"/>
    </row>
    <row r="194" spans="3:14" hidden="1" outlineLevel="1">
      <c r="G194" s="162">
        <v>13</v>
      </c>
      <c r="H194" s="157">
        <f ca="1">Max_Cost_per_Mile- RAND()*(Max_Cost_per_Mile - Min_Cost_per_Mile)</f>
        <v>42.081331423134216</v>
      </c>
      <c r="I194" s="157">
        <f ca="1">VLOOKUP(RAND(),Likelihood_bins,3,TRUE)</f>
        <v>10106250</v>
      </c>
      <c r="J194" s="179">
        <f ca="1">I194 - (Total_Miles *H194)</f>
        <v>1843580.5750675965</v>
      </c>
      <c r="L194"/>
      <c r="M194"/>
      <c r="N194"/>
    </row>
    <row r="195" spans="3:14" hidden="1" outlineLevel="1">
      <c r="G195" s="162">
        <v>14</v>
      </c>
      <c r="H195" s="157">
        <f ca="1">Max_Cost_per_Mile- RAND()*(Max_Cost_per_Mile - Min_Cost_per_Mile)</f>
        <v>47.408216055822209</v>
      </c>
      <c r="I195" s="157">
        <f ca="1">VLOOKUP(RAND(),Likelihood_bins,3,TRUE)</f>
        <v>10106250</v>
      </c>
      <c r="J195" s="179">
        <f ca="1">I195 - (Total_Miles *H195)</f>
        <v>797646.77743930928</v>
      </c>
      <c r="L195"/>
      <c r="M195"/>
      <c r="N195"/>
    </row>
    <row r="196" spans="3:14" hidden="1" outlineLevel="1">
      <c r="G196" s="162">
        <v>15</v>
      </c>
      <c r="H196" s="157">
        <f ca="1">Max_Cost_per_Mile- RAND()*(Max_Cost_per_Mile - Min_Cost_per_Mile)</f>
        <v>48.59457839748611</v>
      </c>
      <c r="I196" s="157">
        <f ca="1">VLOOKUP(RAND(),Likelihood_bins,3,TRUE)</f>
        <v>10106250</v>
      </c>
      <c r="J196" s="179">
        <f ca="1">I196 - (Total_Miles *H196)</f>
        <v>564704.53165360168</v>
      </c>
      <c r="L196"/>
      <c r="M196"/>
      <c r="N196"/>
    </row>
    <row r="197" spans="3:14" hidden="1" outlineLevel="1">
      <c r="G197" s="162">
        <v>16</v>
      </c>
      <c r="H197" s="157">
        <f ca="1">Max_Cost_per_Mile- RAND()*(Max_Cost_per_Mile - Min_Cost_per_Mile)</f>
        <v>49.814286651486462</v>
      </c>
      <c r="I197" s="157">
        <f ca="1">VLOOKUP(RAND(),Likelihood_bins,3,TRUE)</f>
        <v>10683750</v>
      </c>
      <c r="J197" s="179">
        <f ca="1">I197 - (Total_Miles *H197)</f>
        <v>902714.81598063372</v>
      </c>
      <c r="L197"/>
      <c r="M197"/>
      <c r="N197"/>
    </row>
    <row r="198" spans="3:14" hidden="1" outlineLevel="1">
      <c r="G198" s="162">
        <v>17</v>
      </c>
      <c r="H198" s="157">
        <f ca="1">Max_Cost_per_Mile- RAND()*(Max_Cost_per_Mile - Min_Cost_per_Mile)</f>
        <v>34.644540510626314</v>
      </c>
      <c r="I198" s="157">
        <f ca="1">VLOOKUP(RAND(),Likelihood_bins,3,TRUE)</f>
        <v>7796250</v>
      </c>
      <c r="J198" s="179">
        <f ca="1">I198 - (Total_Miles *H198)</f>
        <v>993794.47073852364</v>
      </c>
      <c r="L198"/>
      <c r="M198"/>
      <c r="N198"/>
    </row>
    <row r="199" spans="3:14" hidden="1" outlineLevel="1">
      <c r="G199" s="162">
        <v>18</v>
      </c>
      <c r="H199" s="157">
        <f ca="1">Max_Cost_per_Mile- RAND()*(Max_Cost_per_Mile - Min_Cost_per_Mile)</f>
        <v>40.404838770087139</v>
      </c>
      <c r="I199" s="157">
        <f ca="1">VLOOKUP(RAND(),Likelihood_bins,3,TRUE)</f>
        <v>10106250</v>
      </c>
      <c r="J199" s="179">
        <f ca="1">I199 - (Total_Miles *H199)</f>
        <v>2172759.9074933901</v>
      </c>
      <c r="L199"/>
      <c r="M199"/>
      <c r="N199"/>
    </row>
    <row r="200" spans="3:14" hidden="1" outlineLevel="1">
      <c r="C200" s="61"/>
      <c r="G200" s="162">
        <v>19</v>
      </c>
      <c r="H200" s="157">
        <f ca="1">Max_Cost_per_Mile- RAND()*(Max_Cost_per_Mile - Min_Cost_per_Mile)</f>
        <v>37.151722841216632</v>
      </c>
      <c r="I200" s="157">
        <f ca="1">VLOOKUP(RAND(),Likelihood_bins,3,TRUE)</f>
        <v>10683750</v>
      </c>
      <c r="J200" s="179">
        <f ca="1">I200 - (Total_Miles *H200)</f>
        <v>3389009.2201271141</v>
      </c>
      <c r="L200"/>
      <c r="M200"/>
      <c r="N200"/>
    </row>
    <row r="201" spans="3:14" hidden="1" outlineLevel="1">
      <c r="C201" s="61"/>
      <c r="G201" s="162">
        <v>20</v>
      </c>
      <c r="H201" s="157">
        <f ca="1">Max_Cost_per_Mile- RAND()*(Max_Cost_per_Mile - Min_Cost_per_Mile)</f>
        <v>31.33157634278216</v>
      </c>
      <c r="I201" s="157">
        <f ca="1">VLOOKUP(RAND(),Likelihood_bins,3,TRUE)</f>
        <v>8662500</v>
      </c>
      <c r="J201" s="179">
        <f ca="1">I201 - (Total_Miles *H201)</f>
        <v>2510544.9850947233</v>
      </c>
      <c r="L201"/>
      <c r="M201"/>
      <c r="N201"/>
    </row>
    <row r="202" spans="3:14" hidden="1" outlineLevel="1">
      <c r="C202" s="61"/>
      <c r="G202" s="162">
        <v>21</v>
      </c>
      <c r="H202" s="157">
        <f ca="1">Max_Cost_per_Mile- RAND()*(Max_Cost_per_Mile - Min_Cost_per_Mile)</f>
        <v>36.864719734785986</v>
      </c>
      <c r="I202" s="157">
        <f ca="1">VLOOKUP(RAND(),Likelihood_bins,3,TRUE)</f>
        <v>10106250</v>
      </c>
      <c r="J202" s="179">
        <f ca="1">I202 - (Total_Miles *H202)</f>
        <v>2867862.2800747715</v>
      </c>
      <c r="L202"/>
      <c r="M202"/>
    </row>
    <row r="203" spans="3:14" hidden="1" outlineLevel="1">
      <c r="C203" s="61"/>
      <c r="G203" s="162">
        <v>22</v>
      </c>
      <c r="H203" s="157">
        <f ca="1">Max_Cost_per_Mile- RAND()*(Max_Cost_per_Mile - Min_Cost_per_Mile)</f>
        <v>34.49477935240968</v>
      </c>
      <c r="I203" s="157">
        <f ca="1">VLOOKUP(RAND(),Likelihood_bins,3,TRUE)</f>
        <v>8662500</v>
      </c>
      <c r="J203" s="179">
        <f ca="1">I203 - (Total_Miles *H203)</f>
        <v>1889450.0741543593</v>
      </c>
      <c r="L203"/>
      <c r="M203"/>
    </row>
    <row r="204" spans="3:14" hidden="1" outlineLevel="1">
      <c r="G204" s="162">
        <v>23</v>
      </c>
      <c r="H204" s="157">
        <f ca="1">Max_Cost_per_Mile- RAND()*(Max_Cost_per_Mile - Min_Cost_per_Mile)</f>
        <v>41.411540320428351</v>
      </c>
      <c r="I204" s="157">
        <f ca="1">VLOOKUP(RAND(),Likelihood_bins,3,TRUE)</f>
        <v>8662500</v>
      </c>
      <c r="J204" s="179">
        <f ca="1">I204 - (Total_Miles *H204)</f>
        <v>531344.05808389373</v>
      </c>
      <c r="L204"/>
      <c r="M204"/>
    </row>
    <row r="205" spans="3:14" hidden="1" outlineLevel="1">
      <c r="G205" s="162">
        <v>24</v>
      </c>
      <c r="H205" s="157">
        <f ca="1">Max_Cost_per_Mile- RAND()*(Max_Cost_per_Mile - Min_Cost_per_Mile)</f>
        <v>35.621839805128168</v>
      </c>
      <c r="I205" s="157">
        <f ca="1">VLOOKUP(RAND(),Likelihood_bins,3,TRUE)</f>
        <v>8662500</v>
      </c>
      <c r="J205" s="179">
        <f ca="1">I205 - (Total_Miles *H205)</f>
        <v>1668151.7542630844</v>
      </c>
      <c r="L205"/>
      <c r="M205"/>
    </row>
    <row r="206" spans="3:14" hidden="1" outlineLevel="1">
      <c r="G206" s="162">
        <v>25</v>
      </c>
      <c r="H206" s="157">
        <f ca="1">Max_Cost_per_Mile- RAND()*(Max_Cost_per_Mile - Min_Cost_per_Mile)</f>
        <v>44.792840817377559</v>
      </c>
      <c r="I206" s="157">
        <f ca="1">VLOOKUP(RAND(),Likelihood_bins,3,TRUE)</f>
        <v>8662500</v>
      </c>
      <c r="J206" s="179">
        <f ca="1">I206 - (Total_Miles *H206)</f>
        <v>-132574.29449208453</v>
      </c>
      <c r="L206"/>
      <c r="M206"/>
    </row>
    <row r="207" spans="3:14" hidden="1" outlineLevel="1">
      <c r="G207" s="162">
        <v>26</v>
      </c>
      <c r="H207" s="157">
        <f ca="1">Max_Cost_per_Mile- RAND()*(Max_Cost_per_Mile - Min_Cost_per_Mile)</f>
        <v>48.450283566224506</v>
      </c>
      <c r="I207" s="157">
        <f ca="1">VLOOKUP(RAND(),Likelihood_bins,3,TRUE)</f>
        <v>8662500</v>
      </c>
      <c r="J207" s="179">
        <f ca="1">I207 - (Total_Miles *H207)</f>
        <v>-850713.17822818086</v>
      </c>
      <c r="L207"/>
      <c r="M207"/>
    </row>
    <row r="208" spans="3:14" hidden="1" outlineLevel="1">
      <c r="G208" s="162">
        <v>27</v>
      </c>
      <c r="H208" s="157">
        <f ca="1">Max_Cost_per_Mile- RAND()*(Max_Cost_per_Mile - Min_Cost_per_Mile)</f>
        <v>45.111362364329644</v>
      </c>
      <c r="I208" s="157">
        <f ca="1">VLOOKUP(RAND(),Likelihood_bins,3,TRUE)</f>
        <v>10106250</v>
      </c>
      <c r="J208" s="179">
        <f ca="1">I208 - (Total_Miles *H208)</f>
        <v>1248633.9997638743</v>
      </c>
      <c r="L208"/>
      <c r="M208"/>
    </row>
    <row r="209" spans="7:13" hidden="1" outlineLevel="1">
      <c r="G209" s="162">
        <v>28</v>
      </c>
      <c r="H209" s="157">
        <f ca="1">Max_Cost_per_Mile- RAND()*(Max_Cost_per_Mile - Min_Cost_per_Mile)</f>
        <v>39.694413423239176</v>
      </c>
      <c r="I209" s="157">
        <f ca="1">VLOOKUP(RAND(),Likelihood_bins,3,TRUE)</f>
        <v>10106250</v>
      </c>
      <c r="J209" s="179">
        <f ca="1">I209 - (Total_Miles *H209)</f>
        <v>2312251.9243469881</v>
      </c>
      <c r="L209"/>
      <c r="M209"/>
    </row>
    <row r="210" spans="7:13" hidden="1" outlineLevel="1">
      <c r="G210" s="162">
        <v>29</v>
      </c>
      <c r="H210" s="157">
        <f ca="1">Max_Cost_per_Mile- RAND()*(Max_Cost_per_Mile - Min_Cost_per_Mile)</f>
        <v>49.662034018422958</v>
      </c>
      <c r="I210" s="157">
        <f ca="1">VLOOKUP(RAND(),Likelihood_bins,3,TRUE)</f>
        <v>10683750</v>
      </c>
      <c r="J210" s="179">
        <f ca="1">I210 - (Total_Miles *H210)</f>
        <v>932609.62048265152</v>
      </c>
      <c r="L210"/>
      <c r="M210"/>
    </row>
    <row r="211" spans="7:13" hidden="1" outlineLevel="1">
      <c r="G211" s="162">
        <v>30</v>
      </c>
      <c r="H211" s="157">
        <f ca="1">Max_Cost_per_Mile- RAND()*(Max_Cost_per_Mile - Min_Cost_per_Mile)</f>
        <v>31.598065134017787</v>
      </c>
      <c r="I211" s="157">
        <f ca="1">VLOOKUP(RAND(),Likelihood_bins,3,TRUE)</f>
        <v>8662500</v>
      </c>
      <c r="J211" s="179">
        <f ca="1">I211 - (Total_Miles *H211)</f>
        <v>2458219.9109356077</v>
      </c>
      <c r="L211"/>
      <c r="M211"/>
    </row>
    <row r="212" spans="7:13" hidden="1" outlineLevel="1">
      <c r="G212" s="162">
        <v>31</v>
      </c>
      <c r="H212" s="157">
        <f ca="1">Max_Cost_per_Mile- RAND()*(Max_Cost_per_Mile - Min_Cost_per_Mile)</f>
        <v>36.45978067248106</v>
      </c>
      <c r="I212" s="157">
        <f ca="1">VLOOKUP(RAND(),Likelihood_bins,3,TRUE)</f>
        <v>8662500</v>
      </c>
      <c r="J212" s="179">
        <f ca="1">I212 - (Total_Miles *H212)</f>
        <v>1503622.0649583442</v>
      </c>
      <c r="L212"/>
      <c r="M212"/>
    </row>
    <row r="213" spans="7:13" hidden="1" outlineLevel="1">
      <c r="G213" s="162">
        <v>32</v>
      </c>
      <c r="H213" s="157">
        <f ca="1">Max_Cost_per_Mile- RAND()*(Max_Cost_per_Mile - Min_Cost_per_Mile)</f>
        <v>46.646475873085016</v>
      </c>
      <c r="I213" s="157">
        <f ca="1">VLOOKUP(RAND(),Likelihood_bins,3,TRUE)</f>
        <v>7796250</v>
      </c>
      <c r="J213" s="179">
        <f ca="1">I213 - (Total_Miles *H213)</f>
        <v>-1362785.5376802422</v>
      </c>
      <c r="L213"/>
      <c r="M213"/>
    </row>
    <row r="214" spans="7:13" hidden="1" outlineLevel="1">
      <c r="G214" s="162">
        <v>33</v>
      </c>
      <c r="H214" s="157">
        <f ca="1">Max_Cost_per_Mile- RAND()*(Max_Cost_per_Mile - Min_Cost_per_Mile)</f>
        <v>30.048022742497015</v>
      </c>
      <c r="I214" s="157">
        <f ca="1">VLOOKUP(RAND(),Likelihood_bins,3,TRUE)</f>
        <v>10106250</v>
      </c>
      <c r="J214" s="179">
        <f ca="1">I214 - (Total_Miles *H214)</f>
        <v>4206320.7345107114</v>
      </c>
      <c r="L214"/>
      <c r="M214"/>
    </row>
    <row r="215" spans="7:13" hidden="1" outlineLevel="1">
      <c r="G215" s="162">
        <v>34</v>
      </c>
      <c r="H215" s="157">
        <f ca="1">Max_Cost_per_Mile- RAND()*(Max_Cost_per_Mile - Min_Cost_per_Mile)</f>
        <v>32.060131847515848</v>
      </c>
      <c r="I215" s="157">
        <f ca="1">VLOOKUP(RAND(),Likelihood_bins,3,TRUE)</f>
        <v>10106250</v>
      </c>
      <c r="J215" s="179">
        <f ca="1">I215 - (Total_Miles *H215)</f>
        <v>3811243.1117402632</v>
      </c>
      <c r="L215"/>
      <c r="M215"/>
    </row>
    <row r="216" spans="7:13" hidden="1" outlineLevel="1">
      <c r="G216" s="162">
        <v>35</v>
      </c>
      <c r="H216" s="157">
        <f ca="1">Max_Cost_per_Mile- RAND()*(Max_Cost_per_Mile - Min_Cost_per_Mile)</f>
        <v>33.825217871361254</v>
      </c>
      <c r="I216" s="157">
        <f ca="1">VLOOKUP(RAND(),Likelihood_bins,3,TRUE)</f>
        <v>10106250</v>
      </c>
      <c r="J216" s="179">
        <f ca="1">I216 - (Total_Miles *H216)</f>
        <v>3464668.470958218</v>
      </c>
      <c r="L216"/>
      <c r="M216"/>
    </row>
    <row r="217" spans="7:13" hidden="1" outlineLevel="1">
      <c r="G217" s="162">
        <v>36</v>
      </c>
      <c r="H217" s="157">
        <f ca="1">Max_Cost_per_Mile- RAND()*(Max_Cost_per_Mile - Min_Cost_per_Mile)</f>
        <v>37.947671827516842</v>
      </c>
      <c r="I217" s="157">
        <f ca="1">VLOOKUP(RAND(),Likelihood_bins,3,TRUE)</f>
        <v>8662500</v>
      </c>
      <c r="J217" s="179">
        <f ca="1">I217 - (Total_Miles *H217)</f>
        <v>1211474.6366670681</v>
      </c>
      <c r="L217"/>
      <c r="M217"/>
    </row>
    <row r="218" spans="7:13" hidden="1" outlineLevel="1">
      <c r="G218" s="162">
        <v>37</v>
      </c>
      <c r="H218" s="157">
        <f ca="1">Max_Cost_per_Mile- RAND()*(Max_Cost_per_Mile - Min_Cost_per_Mile)</f>
        <v>34.844996222771144</v>
      </c>
      <c r="I218" s="157">
        <f ca="1">VLOOKUP(RAND(),Likelihood_bins,3,TRUE)</f>
        <v>10106250</v>
      </c>
      <c r="J218" s="179">
        <f ca="1">I218 - (Total_Miles *H218)</f>
        <v>3264434.991658886</v>
      </c>
      <c r="L218"/>
      <c r="M218"/>
    </row>
    <row r="219" spans="7:13" hidden="1" outlineLevel="1">
      <c r="G219" s="162">
        <v>38</v>
      </c>
      <c r="H219" s="157">
        <f ca="1">Max_Cost_per_Mile- RAND()*(Max_Cost_per_Mile - Min_Cost_per_Mile)</f>
        <v>43.374521435016902</v>
      </c>
      <c r="I219" s="157">
        <f ca="1">VLOOKUP(RAND(),Likelihood_bins,3,TRUE)</f>
        <v>7796250</v>
      </c>
      <c r="J219" s="179">
        <f ca="1">I219 - (Total_Miles *H219)</f>
        <v>-720337.28376556933</v>
      </c>
      <c r="L219"/>
      <c r="M219"/>
    </row>
    <row r="220" spans="7:13" hidden="1" outlineLevel="1">
      <c r="G220" s="162">
        <v>39</v>
      </c>
      <c r="H220" s="157">
        <f ca="1">Max_Cost_per_Mile- RAND()*(Max_Cost_per_Mile - Min_Cost_per_Mile)</f>
        <v>34.165651106594879</v>
      </c>
      <c r="I220" s="157">
        <f ca="1">VLOOKUP(RAND(),Likelihood_bins,3,TRUE)</f>
        <v>10683750</v>
      </c>
      <c r="J220" s="179">
        <f ca="1">I220 - (Total_Miles *H220)</f>
        <v>3975324.4052200951</v>
      </c>
      <c r="L220"/>
      <c r="M220"/>
    </row>
    <row r="221" spans="7:13" hidden="1" outlineLevel="1">
      <c r="G221" s="162">
        <v>40</v>
      </c>
      <c r="H221" s="157">
        <f ca="1">Max_Cost_per_Mile- RAND()*(Max_Cost_per_Mile - Min_Cost_per_Mile)</f>
        <v>42.715262271121183</v>
      </c>
      <c r="I221" s="157">
        <f ca="1">VLOOKUP(RAND(),Likelihood_bins,3,TRUE)</f>
        <v>8662500</v>
      </c>
      <c r="J221" s="179">
        <f ca="1">I221 - (Total_Miles *H221)</f>
        <v>275358.25306535605</v>
      </c>
      <c r="L221"/>
      <c r="M221"/>
    </row>
    <row r="222" spans="7:13" hidden="1" outlineLevel="1">
      <c r="G222" s="162">
        <v>41</v>
      </c>
      <c r="H222" s="157">
        <f ca="1">Max_Cost_per_Mile- RAND()*(Max_Cost_per_Mile - Min_Cost_per_Mile)</f>
        <v>30.777378555233277</v>
      </c>
      <c r="I222" s="157">
        <f ca="1">VLOOKUP(RAND(),Likelihood_bins,3,TRUE)</f>
        <v>10106250</v>
      </c>
      <c r="J222" s="179">
        <f ca="1">I222 - (Total_Miles *H222)</f>
        <v>4063111.7206799462</v>
      </c>
      <c r="L222"/>
      <c r="M222"/>
    </row>
    <row r="223" spans="7:13" hidden="1" outlineLevel="1">
      <c r="G223" s="162">
        <v>42</v>
      </c>
      <c r="H223" s="157">
        <f ca="1">Max_Cost_per_Mile- RAND()*(Max_Cost_per_Mile - Min_Cost_per_Mile)</f>
        <v>37.332774014963164</v>
      </c>
      <c r="I223" s="157">
        <f ca="1">VLOOKUP(RAND(),Likelihood_bins,3,TRUE)</f>
        <v>10106250</v>
      </c>
      <c r="J223" s="179">
        <f ca="1">I223 - (Total_Miles *H223)</f>
        <v>2775959.8221619828</v>
      </c>
      <c r="L223"/>
      <c r="M223"/>
    </row>
    <row r="224" spans="7:13" hidden="1" outlineLevel="1">
      <c r="G224" s="162">
        <v>43</v>
      </c>
      <c r="H224" s="157">
        <f ca="1">Max_Cost_per_Mile- RAND()*(Max_Cost_per_Mile - Min_Cost_per_Mile)</f>
        <v>36.031800530815573</v>
      </c>
      <c r="I224" s="157">
        <f ca="1">VLOOKUP(RAND(),Likelihood_bins,3,TRUE)</f>
        <v>10106250</v>
      </c>
      <c r="J224" s="179">
        <f ca="1">I224 - (Total_Miles *H224)</f>
        <v>3031405.965774362</v>
      </c>
      <c r="L224"/>
      <c r="M224"/>
    </row>
    <row r="225" spans="7:13" hidden="1" outlineLevel="1">
      <c r="G225" s="162">
        <v>44</v>
      </c>
      <c r="H225" s="157">
        <f ca="1">Max_Cost_per_Mile- RAND()*(Max_Cost_per_Mile - Min_Cost_per_Mile)</f>
        <v>48.469014318877278</v>
      </c>
      <c r="I225" s="157">
        <f ca="1">VLOOKUP(RAND(),Likelihood_bins,3,TRUE)</f>
        <v>7796250</v>
      </c>
      <c r="J225" s="179">
        <f ca="1">I225 - (Total_Miles *H225)</f>
        <v>-1720640.9615115542</v>
      </c>
      <c r="L225"/>
      <c r="M225"/>
    </row>
    <row r="226" spans="7:13" hidden="1" outlineLevel="1">
      <c r="G226" s="162">
        <v>45</v>
      </c>
      <c r="H226" s="157">
        <f ca="1">Max_Cost_per_Mile- RAND()*(Max_Cost_per_Mile - Min_Cost_per_Mile)</f>
        <v>39.591059455010821</v>
      </c>
      <c r="I226" s="157">
        <f ca="1">VLOOKUP(RAND(),Likelihood_bins,3,TRUE)</f>
        <v>10683750</v>
      </c>
      <c r="J226" s="179">
        <f ca="1">I226 - (Total_Miles *H226)</f>
        <v>2910045.4760086248</v>
      </c>
      <c r="L226"/>
      <c r="M226"/>
    </row>
    <row r="227" spans="7:13" hidden="1" outlineLevel="1">
      <c r="G227" s="162">
        <v>46</v>
      </c>
      <c r="H227" s="157">
        <f ca="1">Max_Cost_per_Mile- RAND()*(Max_Cost_per_Mile - Min_Cost_per_Mile)</f>
        <v>36.003467958078048</v>
      </c>
      <c r="I227" s="157">
        <f ca="1">VLOOKUP(RAND(),Likelihood_bins,3,TRUE)</f>
        <v>8662500</v>
      </c>
      <c r="J227" s="179">
        <f ca="1">I227 - (Total_Miles *H227)</f>
        <v>1593219.0664313752</v>
      </c>
      <c r="L227"/>
      <c r="M227"/>
    </row>
    <row r="228" spans="7:13" hidden="1" outlineLevel="1">
      <c r="G228" s="162">
        <v>47</v>
      </c>
      <c r="H228" s="157">
        <f ca="1">Max_Cost_per_Mile- RAND()*(Max_Cost_per_Mile - Min_Cost_per_Mile)</f>
        <v>32.745095608230869</v>
      </c>
      <c r="I228" s="157">
        <f ca="1">VLOOKUP(RAND(),Likelihood_bins,3,TRUE)</f>
        <v>7796250</v>
      </c>
      <c r="J228" s="179">
        <f ca="1">I228 - (Total_Miles *H228)</f>
        <v>1366750.4773238692</v>
      </c>
      <c r="L228"/>
      <c r="M228"/>
    </row>
    <row r="229" spans="7:13" hidden="1" outlineLevel="1">
      <c r="G229" s="162">
        <v>48</v>
      </c>
      <c r="H229" s="157">
        <f ca="1">Max_Cost_per_Mile- RAND()*(Max_Cost_per_Mile - Min_Cost_per_Mile)</f>
        <v>32.425640471778237</v>
      </c>
      <c r="I229" s="157">
        <f ca="1">VLOOKUP(RAND(),Likelihood_bins,3,TRUE)</f>
        <v>7796250</v>
      </c>
      <c r="J229" s="179">
        <f ca="1">I229 - (Total_Miles *H229)</f>
        <v>1429475.493366343</v>
      </c>
      <c r="L229"/>
      <c r="M229"/>
    </row>
    <row r="230" spans="7:13" hidden="1" outlineLevel="1">
      <c r="G230" s="162">
        <v>49</v>
      </c>
      <c r="H230" s="157">
        <f ca="1">Max_Cost_per_Mile- RAND()*(Max_Cost_per_Mile - Min_Cost_per_Mile)</f>
        <v>33.690634068153066</v>
      </c>
      <c r="I230" s="157">
        <f ca="1">VLOOKUP(RAND(),Likelihood_bins,3,TRUE)</f>
        <v>10106250</v>
      </c>
      <c r="J230" s="179">
        <f ca="1">I230 - (Total_Miles *H230)</f>
        <v>3491094.0007181456</v>
      </c>
      <c r="L230"/>
      <c r="M230"/>
    </row>
    <row r="231" spans="7:13" hidden="1" outlineLevel="1">
      <c r="G231" s="162">
        <v>50</v>
      </c>
      <c r="H231" s="157">
        <f ca="1">Max_Cost_per_Mile- RAND()*(Max_Cost_per_Mile - Min_Cost_per_Mile)</f>
        <v>42.996833699320021</v>
      </c>
      <c r="I231" s="157">
        <f ca="1">VLOOKUP(RAND(),Likelihood_bins,3,TRUE)</f>
        <v>8662500</v>
      </c>
      <c r="J231" s="179">
        <f ca="1">I231 - (Total_Miles *H231)</f>
        <v>220071.70313851349</v>
      </c>
      <c r="L231"/>
      <c r="M231"/>
    </row>
    <row r="232" spans="7:13" hidden="1" outlineLevel="1">
      <c r="G232" s="162">
        <v>51</v>
      </c>
      <c r="H232" s="157">
        <f ca="1">Max_Cost_per_Mile- RAND()*(Max_Cost_per_Mile - Min_Cost_per_Mile)</f>
        <v>37.363987269259091</v>
      </c>
      <c r="I232" s="157">
        <f ca="1">VLOOKUP(RAND(),Likelihood_bins,3,TRUE)</f>
        <v>7796250</v>
      </c>
      <c r="J232" s="179">
        <f ca="1">I232 - (Total_Miles *H232)</f>
        <v>459831.09968097787</v>
      </c>
      <c r="L232"/>
      <c r="M232"/>
    </row>
    <row r="233" spans="7:13" hidden="1" outlineLevel="1">
      <c r="G233" s="162">
        <v>52</v>
      </c>
      <c r="H233" s="157">
        <f ca="1">Max_Cost_per_Mile- RAND()*(Max_Cost_per_Mile - Min_Cost_per_Mile)</f>
        <v>49.076389452178475</v>
      </c>
      <c r="I233" s="157">
        <f ca="1">VLOOKUP(RAND(),Likelihood_bins,3,TRUE)</f>
        <v>7796250</v>
      </c>
      <c r="J233" s="179">
        <f ca="1">I233 - (Total_Miles *H233)</f>
        <v>-1839899.0689352434</v>
      </c>
      <c r="L233"/>
      <c r="M233"/>
    </row>
    <row r="234" spans="7:13" hidden="1" outlineLevel="1">
      <c r="G234" s="162">
        <v>53</v>
      </c>
      <c r="H234" s="157">
        <f ca="1">Max_Cost_per_Mile- RAND()*(Max_Cost_per_Mile - Min_Cost_per_Mile)</f>
        <v>46.927610323797175</v>
      </c>
      <c r="I234" s="157">
        <f ca="1">VLOOKUP(RAND(),Likelihood_bins,3,TRUE)</f>
        <v>10106250</v>
      </c>
      <c r="J234" s="179">
        <f ca="1">I234 - (Total_Miles *H234)</f>
        <v>892013.71292242408</v>
      </c>
      <c r="L234"/>
      <c r="M234"/>
    </row>
    <row r="235" spans="7:13" hidden="1" outlineLevel="1">
      <c r="G235" s="162">
        <v>54</v>
      </c>
      <c r="H235" s="157">
        <f ca="1">Max_Cost_per_Mile- RAND()*(Max_Cost_per_Mile - Min_Cost_per_Mile)</f>
        <v>31.185989645695656</v>
      </c>
      <c r="I235" s="157">
        <f ca="1">VLOOKUP(RAND(),Likelihood_bins,3,TRUE)</f>
        <v>10106250</v>
      </c>
      <c r="J235" s="179">
        <f ca="1">I235 - (Total_Miles *H235)</f>
        <v>3982880.933067658</v>
      </c>
      <c r="L235"/>
      <c r="M235"/>
    </row>
    <row r="236" spans="7:13" hidden="1" outlineLevel="1">
      <c r="G236" s="162">
        <v>55</v>
      </c>
      <c r="H236" s="157">
        <f ca="1">Max_Cost_per_Mile- RAND()*(Max_Cost_per_Mile - Min_Cost_per_Mile)</f>
        <v>35.291728459763469</v>
      </c>
      <c r="I236" s="157">
        <f ca="1">VLOOKUP(RAND(),Likelihood_bins,3,TRUE)</f>
        <v>8662500</v>
      </c>
      <c r="J236" s="179">
        <f ca="1">I236 - (Total_Miles *H236)</f>
        <v>1732969.1169254426</v>
      </c>
      <c r="L236"/>
      <c r="M236"/>
    </row>
    <row r="237" spans="7:13" hidden="1" outlineLevel="1">
      <c r="G237" s="162">
        <v>56</v>
      </c>
      <c r="H237" s="157">
        <f ca="1">Max_Cost_per_Mile- RAND()*(Max_Cost_per_Mile - Min_Cost_per_Mile)</f>
        <v>42.676376540041147</v>
      </c>
      <c r="I237" s="157">
        <f ca="1">VLOOKUP(RAND(),Likelihood_bins,3,TRUE)</f>
        <v>10683750</v>
      </c>
      <c r="J237" s="179">
        <f ca="1">I237 - (Total_Miles *H237)</f>
        <v>2304243.4663629206</v>
      </c>
      <c r="L237"/>
      <c r="M237"/>
    </row>
    <row r="238" spans="7:13" hidden="1" outlineLevel="1">
      <c r="G238" s="162">
        <v>57</v>
      </c>
      <c r="H238" s="157">
        <f ca="1">Max_Cost_per_Mile- RAND()*(Max_Cost_per_Mile - Min_Cost_per_Mile)</f>
        <v>33.582097978891355</v>
      </c>
      <c r="I238" s="157">
        <f ca="1">VLOOKUP(RAND(),Likelihood_bins,3,TRUE)</f>
        <v>8662500</v>
      </c>
      <c r="J238" s="179">
        <f ca="1">I238 - (Total_Miles *H238)</f>
        <v>2068655.0618446823</v>
      </c>
      <c r="L238"/>
      <c r="M238"/>
    </row>
    <row r="239" spans="7:13" hidden="1" outlineLevel="1">
      <c r="G239" s="162">
        <v>58</v>
      </c>
      <c r="H239" s="157">
        <f ca="1">Max_Cost_per_Mile- RAND()*(Max_Cost_per_Mile - Min_Cost_per_Mile)</f>
        <v>40.775593902879741</v>
      </c>
      <c r="I239" s="157">
        <f ca="1">VLOOKUP(RAND(),Likelihood_bins,3,TRUE)</f>
        <v>10106250</v>
      </c>
      <c r="J239" s="179">
        <f ca="1">I239 - (Total_Miles *H239)</f>
        <v>2099962.1371695632</v>
      </c>
      <c r="L239"/>
      <c r="M239"/>
    </row>
    <row r="240" spans="7:13" hidden="1" outlineLevel="1">
      <c r="G240" s="162">
        <v>59</v>
      </c>
      <c r="H240" s="157">
        <f ca="1">Max_Cost_per_Mile- RAND()*(Max_Cost_per_Mile - Min_Cost_per_Mile)</f>
        <v>48.84646719113379</v>
      </c>
      <c r="I240" s="157">
        <f ca="1">VLOOKUP(RAND(),Likelihood_bins,3,TRUE)</f>
        <v>10683750</v>
      </c>
      <c r="J240" s="179">
        <f ca="1">I240 - (Total_Miles *H240)</f>
        <v>1092746.1670208797</v>
      </c>
      <c r="L240"/>
      <c r="M240"/>
    </row>
    <row r="241" spans="7:13" hidden="1" outlineLevel="1">
      <c r="G241" s="162">
        <v>60</v>
      </c>
      <c r="H241" s="157">
        <f ca="1">Max_Cost_per_Mile- RAND()*(Max_Cost_per_Mile - Min_Cost_per_Mile)</f>
        <v>32.885996856880112</v>
      </c>
      <c r="I241" s="157">
        <f ca="1">VLOOKUP(RAND(),Likelihood_bins,3,TRUE)</f>
        <v>8662500</v>
      </c>
      <c r="J241" s="179">
        <f ca="1">I241 - (Total_Miles *H241)</f>
        <v>2205334.5171515895</v>
      </c>
      <c r="L241"/>
      <c r="M241"/>
    </row>
    <row r="242" spans="7:13" hidden="1" outlineLevel="1">
      <c r="G242" s="162">
        <v>61</v>
      </c>
      <c r="H242" s="157">
        <f ca="1">Max_Cost_per_Mile- RAND()*(Max_Cost_per_Mile - Min_Cost_per_Mile)</f>
        <v>47.856527407880627</v>
      </c>
      <c r="I242" s="157">
        <f ca="1">VLOOKUP(RAND(),Likelihood_bins,3,TRUE)</f>
        <v>10106250</v>
      </c>
      <c r="J242" s="179">
        <f ca="1">I242 - (Total_Miles *H242)</f>
        <v>709620.84346263856</v>
      </c>
      <c r="L242"/>
      <c r="M242"/>
    </row>
    <row r="243" spans="7:13" hidden="1" outlineLevel="1">
      <c r="G243" s="162">
        <v>62</v>
      </c>
      <c r="H243" s="157">
        <f ca="1">Max_Cost_per_Mile- RAND()*(Max_Cost_per_Mile - Min_Cost_per_Mile)</f>
        <v>41.826961818660635</v>
      </c>
      <c r="I243" s="157">
        <f ca="1">VLOOKUP(RAND(),Likelihood_bins,3,TRUE)</f>
        <v>10683750</v>
      </c>
      <c r="J243" s="179">
        <f ca="1">I243 - (Total_Miles *H243)</f>
        <v>2471026.0469059842</v>
      </c>
      <c r="L243"/>
      <c r="M243"/>
    </row>
    <row r="244" spans="7:13" hidden="1" outlineLevel="1">
      <c r="G244" s="162">
        <v>63</v>
      </c>
      <c r="H244" s="157">
        <f ca="1">Max_Cost_per_Mile- RAND()*(Max_Cost_per_Mile - Min_Cost_per_Mile)</f>
        <v>33.142606172502283</v>
      </c>
      <c r="I244" s="157">
        <f ca="1">VLOOKUP(RAND(),Likelihood_bins,3,TRUE)</f>
        <v>10106250</v>
      </c>
      <c r="J244" s="179">
        <f ca="1">I244 - (Total_Miles *H244)</f>
        <v>3598699.2780291764</v>
      </c>
      <c r="L244"/>
      <c r="M244"/>
    </row>
    <row r="245" spans="7:13" hidden="1" outlineLevel="1">
      <c r="G245" s="162">
        <v>64</v>
      </c>
      <c r="H245" s="157">
        <f ca="1">Max_Cost_per_Mile- RAND()*(Max_Cost_per_Mile - Min_Cost_per_Mile)</f>
        <v>34.630229205509146</v>
      </c>
      <c r="I245" s="157">
        <f ca="1">VLOOKUP(RAND(),Likelihood_bins,3,TRUE)</f>
        <v>8662500</v>
      </c>
      <c r="J245" s="179">
        <f ca="1">I245 - (Total_Miles *H245)</f>
        <v>1862854.4954982791</v>
      </c>
      <c r="L245"/>
      <c r="M245"/>
    </row>
    <row r="246" spans="7:13" hidden="1" outlineLevel="1">
      <c r="G246" s="162">
        <v>65</v>
      </c>
      <c r="H246" s="157">
        <f ca="1">Max_Cost_per_Mile- RAND()*(Max_Cost_per_Mile - Min_Cost_per_Mile)</f>
        <v>35.338061918014049</v>
      </c>
      <c r="I246" s="157">
        <f ca="1">VLOOKUP(RAND(),Likelihood_bins,3,TRUE)</f>
        <v>10683750</v>
      </c>
      <c r="J246" s="179">
        <f ca="1">I246 - (Total_Miles *H246)</f>
        <v>3745121.5423979415</v>
      </c>
      <c r="L246"/>
      <c r="M246"/>
    </row>
    <row r="247" spans="7:13" hidden="1" outlineLevel="1">
      <c r="G247" s="162">
        <v>66</v>
      </c>
      <c r="H247" s="157">
        <f ca="1">Max_Cost_per_Mile- RAND()*(Max_Cost_per_Mile - Min_Cost_per_Mile)</f>
        <v>42.14306155869091</v>
      </c>
      <c r="I247" s="157">
        <f ca="1">VLOOKUP(RAND(),Likelihood_bins,3,TRUE)</f>
        <v>8662500</v>
      </c>
      <c r="J247" s="179">
        <f ca="1">I247 - (Total_Miles *H247)</f>
        <v>387709.86295104027</v>
      </c>
      <c r="L247"/>
      <c r="M247"/>
    </row>
    <row r="248" spans="7:13" hidden="1" outlineLevel="1">
      <c r="G248" s="162">
        <v>67</v>
      </c>
      <c r="H248" s="157">
        <f ca="1">Max_Cost_per_Mile- RAND()*(Max_Cost_per_Mile - Min_Cost_per_Mile)</f>
        <v>30.364969774544434</v>
      </c>
      <c r="I248" s="157">
        <f ca="1">VLOOKUP(RAND(),Likelihood_bins,3,TRUE)</f>
        <v>10106250</v>
      </c>
      <c r="J248" s="179">
        <f ca="1">I248 - (Total_Miles *H248)</f>
        <v>4144088.1847681999</v>
      </c>
      <c r="L248"/>
      <c r="M248"/>
    </row>
    <row r="249" spans="7:13" hidden="1" outlineLevel="1">
      <c r="G249" s="162">
        <v>68</v>
      </c>
      <c r="H249" s="157">
        <f ca="1">Max_Cost_per_Mile- RAND()*(Max_Cost_per_Mile - Min_Cost_per_Mile)</f>
        <v>41.073570957655399</v>
      </c>
      <c r="I249" s="157">
        <f ca="1">VLOOKUP(RAND(),Likelihood_bins,3,TRUE)</f>
        <v>8662500</v>
      </c>
      <c r="J249" s="179">
        <f ca="1">I249 - (Total_Miles *H249)</f>
        <v>597704.34246436227</v>
      </c>
      <c r="L249"/>
      <c r="M249"/>
    </row>
    <row r="250" spans="7:13" hidden="1" outlineLevel="1">
      <c r="G250" s="162">
        <v>69</v>
      </c>
      <c r="H250" s="157">
        <f ca="1">Max_Cost_per_Mile- RAND()*(Max_Cost_per_Mile - Min_Cost_per_Mile)</f>
        <v>36.519222397838483</v>
      </c>
      <c r="I250" s="157">
        <f ca="1">VLOOKUP(RAND(),Likelihood_bins,3,TRUE)</f>
        <v>10683750</v>
      </c>
      <c r="J250" s="179">
        <f ca="1">I250 - (Total_Miles *H250)</f>
        <v>3513200.682184414</v>
      </c>
      <c r="L250"/>
      <c r="M250"/>
    </row>
    <row r="251" spans="7:13" hidden="1" outlineLevel="1">
      <c r="G251" s="162">
        <v>70</v>
      </c>
      <c r="H251" s="157">
        <f ca="1">Max_Cost_per_Mile- RAND()*(Max_Cost_per_Mile - Min_Cost_per_Mile)</f>
        <v>48.56702601388961</v>
      </c>
      <c r="I251" s="157">
        <f ca="1">VLOOKUP(RAND(),Likelihood_bins,3,TRUE)</f>
        <v>10106250</v>
      </c>
      <c r="J251" s="179">
        <f ca="1">I251 - (Total_Miles *H251)</f>
        <v>570114.44217277505</v>
      </c>
      <c r="L251"/>
      <c r="M251"/>
    </row>
    <row r="252" spans="7:13" hidden="1" outlineLevel="1">
      <c r="G252" s="162">
        <v>71</v>
      </c>
      <c r="H252" s="157">
        <f ca="1">Max_Cost_per_Mile- RAND()*(Max_Cost_per_Mile - Min_Cost_per_Mile)</f>
        <v>49.530700527027605</v>
      </c>
      <c r="I252" s="157">
        <f ca="1">VLOOKUP(RAND(),Likelihood_bins,3,TRUE)</f>
        <v>10683750</v>
      </c>
      <c r="J252" s="179">
        <f ca="1">I252 - (Total_Miles *H252)</f>
        <v>958396.95151812956</v>
      </c>
      <c r="L252"/>
      <c r="M252"/>
    </row>
    <row r="253" spans="7:13" hidden="1" outlineLevel="1">
      <c r="G253" s="162">
        <v>72</v>
      </c>
      <c r="H253" s="157">
        <f ca="1">Max_Cost_per_Mile- RAND()*(Max_Cost_per_Mile - Min_Cost_per_Mile)</f>
        <v>34.326831548691615</v>
      </c>
      <c r="I253" s="157">
        <f ca="1">VLOOKUP(RAND(),Likelihood_bins,3,TRUE)</f>
        <v>7796250</v>
      </c>
      <c r="J253" s="179">
        <f ca="1">I253 - (Total_Miles *H253)</f>
        <v>1056176.6254144013</v>
      </c>
      <c r="L253"/>
      <c r="M253"/>
    </row>
    <row r="254" spans="7:13" hidden="1" outlineLevel="1">
      <c r="G254" s="162">
        <v>73</v>
      </c>
      <c r="H254" s="157">
        <f ca="1">Max_Cost_per_Mile- RAND()*(Max_Cost_per_Mile - Min_Cost_per_Mile)</f>
        <v>32.294195772740565</v>
      </c>
      <c r="I254" s="157">
        <f ca="1">VLOOKUP(RAND(),Likelihood_bins,3,TRUE)</f>
        <v>8662500</v>
      </c>
      <c r="J254" s="179">
        <f ca="1">I254 - (Total_Miles *H254)</f>
        <v>2321534.6600223901</v>
      </c>
      <c r="L254"/>
      <c r="M254"/>
    </row>
    <row r="255" spans="7:13" hidden="1" outlineLevel="1">
      <c r="G255" s="162">
        <v>74</v>
      </c>
      <c r="H255" s="157">
        <f ca="1">Max_Cost_per_Mile- RAND()*(Max_Cost_per_Mile - Min_Cost_per_Mile)</f>
        <v>47.389366188999581</v>
      </c>
      <c r="I255" s="157">
        <f ca="1">VLOOKUP(RAND(),Likelihood_bins,3,TRUE)</f>
        <v>10106250</v>
      </c>
      <c r="J255" s="179">
        <f ca="1">I255 - (Total_Miles *H255)</f>
        <v>801347.94878993183</v>
      </c>
      <c r="L255"/>
      <c r="M255"/>
    </row>
    <row r="256" spans="7:13" hidden="1" outlineLevel="1">
      <c r="G256" s="162">
        <v>75</v>
      </c>
      <c r="H256" s="157">
        <f ca="1">Max_Cost_per_Mile- RAND()*(Max_Cost_per_Mile - Min_Cost_per_Mile)</f>
        <v>41.863037538328641</v>
      </c>
      <c r="I256" s="157">
        <f ca="1">VLOOKUP(RAND(),Likelihood_bins,3,TRUE)</f>
        <v>8662500</v>
      </c>
      <c r="J256" s="179">
        <f ca="1">I256 - (Total_Miles *H256)</f>
        <v>442692.57934917137</v>
      </c>
      <c r="L256"/>
      <c r="M256"/>
    </row>
    <row r="257" spans="7:13" hidden="1" outlineLevel="1">
      <c r="G257" s="162">
        <v>76</v>
      </c>
      <c r="H257" s="157">
        <f ca="1">Max_Cost_per_Mile- RAND()*(Max_Cost_per_Mile - Min_Cost_per_Mile)</f>
        <v>39.431382190569501</v>
      </c>
      <c r="I257" s="157">
        <f ca="1">VLOOKUP(RAND(),Likelihood_bins,3,TRUE)</f>
        <v>10683750</v>
      </c>
      <c r="J257" s="179">
        <f ca="1">I257 - (Total_Miles *H257)</f>
        <v>2941398.1068816781</v>
      </c>
      <c r="L257"/>
      <c r="M257"/>
    </row>
    <row r="258" spans="7:13" hidden="1" outlineLevel="1">
      <c r="G258" s="162">
        <v>77</v>
      </c>
      <c r="H258" s="157">
        <f ca="1">Max_Cost_per_Mile- RAND()*(Max_Cost_per_Mile - Min_Cost_per_Mile)</f>
        <v>47.627115672474353</v>
      </c>
      <c r="I258" s="157">
        <f ca="1">VLOOKUP(RAND(),Likelihood_bins,3,TRUE)</f>
        <v>8662500</v>
      </c>
      <c r="J258" s="179">
        <f ca="1">I258 - (Total_Miles *H258)</f>
        <v>-689084.16229033843</v>
      </c>
      <c r="L258"/>
      <c r="M258"/>
    </row>
    <row r="259" spans="7:13" hidden="1" outlineLevel="1">
      <c r="G259" s="162">
        <v>78</v>
      </c>
      <c r="H259" s="157">
        <f ca="1">Max_Cost_per_Mile- RAND()*(Max_Cost_per_Mile - Min_Cost_per_Mile)</f>
        <v>42.117696726506828</v>
      </c>
      <c r="I259" s="157">
        <f ca="1">VLOOKUP(RAND(),Likelihood_bins,3,TRUE)</f>
        <v>10683750</v>
      </c>
      <c r="J259" s="179">
        <f ca="1">I259 - (Total_Miles *H259)</f>
        <v>2413940.2477503838</v>
      </c>
      <c r="L259"/>
      <c r="M259"/>
    </row>
    <row r="260" spans="7:13" hidden="1" outlineLevel="1">
      <c r="G260" s="162">
        <v>79</v>
      </c>
      <c r="H260" s="157">
        <f ca="1">Max_Cost_per_Mile- RAND()*(Max_Cost_per_Mile - Min_Cost_per_Mile)</f>
        <v>31.279010887301201</v>
      </c>
      <c r="I260" s="157">
        <f ca="1">VLOOKUP(RAND(),Likelihood_bins,3,TRUE)</f>
        <v>10683750</v>
      </c>
      <c r="J260" s="179">
        <f ca="1">I260 - (Total_Miles *H260)</f>
        <v>4542116.2122784089</v>
      </c>
      <c r="L260"/>
      <c r="M260"/>
    </row>
    <row r="261" spans="7:13" hidden="1" outlineLevel="1">
      <c r="G261" s="162">
        <v>80</v>
      </c>
      <c r="H261" s="157">
        <f ca="1">Max_Cost_per_Mile- RAND()*(Max_Cost_per_Mile - Min_Cost_per_Mile)</f>
        <v>42.074413634824097</v>
      </c>
      <c r="I261" s="157">
        <f ca="1">VLOOKUP(RAND(),Likelihood_bins,3,TRUE)</f>
        <v>8662500</v>
      </c>
      <c r="J261" s="179">
        <f ca="1">I261 - (Total_Miles *H261)</f>
        <v>401188.88280228898</v>
      </c>
      <c r="L261"/>
      <c r="M261"/>
    </row>
    <row r="262" spans="7:13" hidden="1" outlineLevel="1">
      <c r="G262" s="162">
        <v>81</v>
      </c>
      <c r="H262" s="157">
        <f ca="1">Max_Cost_per_Mile- RAND()*(Max_Cost_per_Mile - Min_Cost_per_Mile)</f>
        <v>39.690069028559954</v>
      </c>
      <c r="I262" s="157">
        <f ca="1">VLOOKUP(RAND(),Likelihood_bins,3,TRUE)</f>
        <v>10106250</v>
      </c>
      <c r="J262" s="179">
        <f ca="1">I262 - (Total_Miles *H262)</f>
        <v>2313104.9462422533</v>
      </c>
      <c r="L262"/>
      <c r="M262"/>
    </row>
    <row r="263" spans="7:13" hidden="1" outlineLevel="1">
      <c r="G263" s="162">
        <v>82</v>
      </c>
      <c r="H263" s="157">
        <f ca="1">Max_Cost_per_Mile- RAND()*(Max_Cost_per_Mile - Min_Cost_per_Mile)</f>
        <v>36.597686473742165</v>
      </c>
      <c r="I263" s="157">
        <f ca="1">VLOOKUP(RAND(),Likelihood_bins,3,TRUE)</f>
        <v>10683750</v>
      </c>
      <c r="J263" s="179">
        <f ca="1">I263 - (Total_Miles *H263)</f>
        <v>3497794.2608807255</v>
      </c>
      <c r="L263"/>
      <c r="M263"/>
    </row>
    <row r="264" spans="7:13" hidden="1" outlineLevel="1">
      <c r="G264" s="162">
        <v>83</v>
      </c>
      <c r="H264" s="157">
        <f ca="1">Max_Cost_per_Mile- RAND()*(Max_Cost_per_Mile - Min_Cost_per_Mile)</f>
        <v>40.536801700579225</v>
      </c>
      <c r="I264" s="157">
        <f ca="1">VLOOKUP(RAND(),Likelihood_bins,3,TRUE)</f>
        <v>8662500</v>
      </c>
      <c r="J264" s="179">
        <f ca="1">I264 - (Total_Miles *H264)</f>
        <v>703098.98609126918</v>
      </c>
      <c r="L264"/>
      <c r="M264"/>
    </row>
    <row r="265" spans="7:13" hidden="1" outlineLevel="1">
      <c r="G265" s="162">
        <v>84</v>
      </c>
      <c r="H265" s="157">
        <f ca="1">Max_Cost_per_Mile- RAND()*(Max_Cost_per_Mile - Min_Cost_per_Mile)</f>
        <v>37.867329337682172</v>
      </c>
      <c r="I265" s="157">
        <f ca="1">VLOOKUP(RAND(),Likelihood_bins,3,TRUE)</f>
        <v>8662500</v>
      </c>
      <c r="J265" s="179">
        <f ca="1">I265 - (Total_Miles *H265)</f>
        <v>1227249.8845461057</v>
      </c>
      <c r="L265"/>
      <c r="M265"/>
    </row>
    <row r="266" spans="7:13" hidden="1" outlineLevel="1">
      <c r="G266" s="162">
        <v>85</v>
      </c>
      <c r="H266" s="157">
        <f ca="1">Max_Cost_per_Mile- RAND()*(Max_Cost_per_Mile - Min_Cost_per_Mile)</f>
        <v>33.323866697027434</v>
      </c>
      <c r="I266" s="157">
        <f ca="1">VLOOKUP(RAND(),Likelihood_bins,3,TRUE)</f>
        <v>7796250</v>
      </c>
      <c r="J266" s="179">
        <f ca="1">I266 - (Total_Miles *H266)</f>
        <v>1253108.7740386631</v>
      </c>
      <c r="L266"/>
      <c r="M266"/>
    </row>
    <row r="267" spans="7:13" hidden="1" outlineLevel="1">
      <c r="G267" s="162">
        <v>86</v>
      </c>
      <c r="H267" s="157">
        <f ca="1">Max_Cost_per_Mile- RAND()*(Max_Cost_per_Mile - Min_Cost_per_Mile)</f>
        <v>34.190722524565089</v>
      </c>
      <c r="I267" s="157">
        <f ca="1">VLOOKUP(RAND(),Likelihood_bins,3,TRUE)</f>
        <v>8662500</v>
      </c>
      <c r="J267" s="179">
        <f ca="1">I267 - (Total_Miles *H267)</f>
        <v>1949151.6323016444</v>
      </c>
      <c r="L267"/>
      <c r="M267"/>
    </row>
    <row r="268" spans="7:13" hidden="1" outlineLevel="1">
      <c r="G268" s="162">
        <v>87</v>
      </c>
      <c r="H268" s="157">
        <f ca="1">Max_Cost_per_Mile- RAND()*(Max_Cost_per_Mile - Min_Cost_per_Mile)</f>
        <v>38.815944956584403</v>
      </c>
      <c r="I268" s="157">
        <f ca="1">VLOOKUP(RAND(),Likelihood_bins,3,TRUE)</f>
        <v>10106250</v>
      </c>
      <c r="J268" s="179">
        <f ca="1">I268 - (Total_Miles *H268)</f>
        <v>2484739.2077746522</v>
      </c>
      <c r="L268"/>
      <c r="M268"/>
    </row>
    <row r="269" spans="7:13" hidden="1" outlineLevel="1">
      <c r="G269" s="162">
        <v>88</v>
      </c>
      <c r="H269" s="157">
        <f ca="1">Max_Cost_per_Mile- RAND()*(Max_Cost_per_Mile - Min_Cost_per_Mile)</f>
        <v>43.522401189031015</v>
      </c>
      <c r="I269" s="157">
        <f ca="1">VLOOKUP(RAND(),Likelihood_bins,3,TRUE)</f>
        <v>10106250</v>
      </c>
      <c r="J269" s="179">
        <f ca="1">I269 - (Total_Miles *H269)</f>
        <v>1560626.5265337601</v>
      </c>
      <c r="L269"/>
      <c r="M269"/>
    </row>
    <row r="270" spans="7:13" hidden="1" outlineLevel="1">
      <c r="G270" s="162">
        <v>89</v>
      </c>
      <c r="H270" s="157">
        <f ca="1">Max_Cost_per_Mile- RAND()*(Max_Cost_per_Mile - Min_Cost_per_Mile)</f>
        <v>47.69840440269563</v>
      </c>
      <c r="I270" s="157">
        <f ca="1">VLOOKUP(RAND(),Likelihood_bins,3,TRUE)</f>
        <v>10106250</v>
      </c>
      <c r="J270" s="179">
        <f ca="1">I270 - (Total_Miles *H270)</f>
        <v>740668.29553071223</v>
      </c>
      <c r="L270"/>
      <c r="M270"/>
    </row>
    <row r="271" spans="7:13" hidden="1" outlineLevel="1">
      <c r="G271" s="162">
        <v>90</v>
      </c>
      <c r="H271" s="157">
        <f ca="1">Max_Cost_per_Mile- RAND()*(Max_Cost_per_Mile - Min_Cost_per_Mile)</f>
        <v>44.578467142783438</v>
      </c>
      <c r="I271" s="157">
        <f ca="1">VLOOKUP(RAND(),Likelihood_bins,3,TRUE)</f>
        <v>8662500</v>
      </c>
      <c r="J271" s="179">
        <f ca="1">I271 - (Total_Miles *H271)</f>
        <v>-90482.023485528305</v>
      </c>
      <c r="L271"/>
      <c r="M271"/>
    </row>
    <row r="272" spans="7:13" hidden="1" outlineLevel="1">
      <c r="L272"/>
      <c r="M272"/>
    </row>
    <row r="273" spans="2:13" hidden="1" outlineLevel="1">
      <c r="L273"/>
      <c r="M273"/>
    </row>
    <row r="274" spans="2:13" collapsed="1">
      <c r="B274" s="17"/>
      <c r="C274" s="14"/>
      <c r="D274" s="14"/>
      <c r="E274" s="14"/>
      <c r="H274" s="7"/>
    </row>
    <row r="275" spans="2:13" ht="15.75" outlineLevel="1">
      <c r="B275" s="111" t="s">
        <v>132</v>
      </c>
      <c r="D275" s="14"/>
      <c r="E275" s="14"/>
      <c r="H275" s="7"/>
    </row>
    <row r="276" spans="2:13" ht="18" outlineLevel="1">
      <c r="B276" s="3"/>
      <c r="D276" s="14"/>
      <c r="E276" s="14"/>
      <c r="H276" s="7"/>
    </row>
    <row r="277" spans="2:13" ht="14.25" outlineLevel="1">
      <c r="B277" s="151" t="s">
        <v>170</v>
      </c>
      <c r="D277" s="14"/>
      <c r="E277" s="14"/>
      <c r="H277" s="7"/>
    </row>
    <row r="278" spans="2:13" ht="14.25" outlineLevel="1">
      <c r="B278" s="151" t="s">
        <v>171</v>
      </c>
      <c r="D278" s="14"/>
      <c r="E278" s="14"/>
      <c r="H278" s="7"/>
    </row>
    <row r="279" spans="2:13" ht="14.25" outlineLevel="1">
      <c r="B279" s="151" t="s">
        <v>133</v>
      </c>
      <c r="D279" s="14"/>
      <c r="E279" s="14"/>
      <c r="H279" s="7"/>
    </row>
    <row r="280" spans="2:13" outlineLevel="1">
      <c r="D280" s="14"/>
      <c r="E280" s="14"/>
      <c r="H280" s="7"/>
    </row>
    <row r="281" spans="2:13" ht="14.25" outlineLevel="1">
      <c r="B281" s="151" t="s">
        <v>172</v>
      </c>
      <c r="D281" s="14"/>
      <c r="E281" s="14"/>
      <c r="H281" s="7"/>
    </row>
    <row r="282" spans="2:13" ht="14.25" outlineLevel="1">
      <c r="B282" s="151" t="s">
        <v>134</v>
      </c>
      <c r="D282" s="14"/>
      <c r="E282" s="14"/>
      <c r="H282" s="7"/>
    </row>
    <row r="283" spans="2:13" ht="14.25" outlineLevel="1">
      <c r="B283" s="151" t="s">
        <v>135</v>
      </c>
      <c r="D283" s="14"/>
      <c r="E283" s="14"/>
      <c r="H283" s="7"/>
    </row>
    <row r="284" spans="2:13" ht="14.25" outlineLevel="1">
      <c r="B284" s="151" t="s">
        <v>136</v>
      </c>
      <c r="D284" s="14"/>
      <c r="E284" s="14"/>
      <c r="H284" s="7"/>
    </row>
    <row r="285" spans="2:13" ht="18" outlineLevel="1">
      <c r="B285" s="3"/>
    </row>
    <row r="286" spans="2:13" ht="15.75" outlineLevel="1">
      <c r="B286" s="111" t="s">
        <v>173</v>
      </c>
    </row>
    <row r="287" spans="2:13" ht="15.75" outlineLevel="1">
      <c r="B287" s="111" t="s">
        <v>174</v>
      </c>
    </row>
    <row r="288" spans="2:13" ht="15.75" outlineLevel="1">
      <c r="B288" s="111" t="s">
        <v>175</v>
      </c>
    </row>
    <row r="289" spans="2:14" outlineLevel="1"/>
    <row r="290" spans="2:14" outlineLevel="1">
      <c r="D290" s="59"/>
      <c r="E290" s="59"/>
      <c r="F290" s="59"/>
      <c r="G290" s="59"/>
      <c r="H290" s="59"/>
      <c r="I290" s="59"/>
      <c r="J290" s="59"/>
      <c r="K290" s="59"/>
      <c r="L290" s="59"/>
      <c r="M290" s="59"/>
      <c r="N290" s="59"/>
    </row>
    <row r="291" spans="2:14" ht="30" outlineLevel="1">
      <c r="B291" s="171" t="s">
        <v>138</v>
      </c>
      <c r="C291" s="171" t="s">
        <v>137</v>
      </c>
      <c r="D291" s="171" t="s">
        <v>34</v>
      </c>
      <c r="E291" s="171" t="s">
        <v>105</v>
      </c>
      <c r="F291" s="171" t="s">
        <v>35</v>
      </c>
      <c r="G291" s="171" t="s">
        <v>36</v>
      </c>
      <c r="H291" s="121"/>
      <c r="I291" s="121"/>
      <c r="J291" s="121"/>
      <c r="K291" s="121"/>
      <c r="L291" s="59"/>
      <c r="M291" s="59"/>
      <c r="N291" s="59"/>
    </row>
    <row r="292" spans="2:14" ht="15" outlineLevel="1">
      <c r="B292" s="171" t="s">
        <v>139</v>
      </c>
      <c r="C292" s="172">
        <v>0</v>
      </c>
      <c r="D292" s="172">
        <v>0</v>
      </c>
      <c r="E292" s="172">
        <v>1</v>
      </c>
      <c r="F292" s="172">
        <v>1</v>
      </c>
      <c r="G292" s="172">
        <v>1</v>
      </c>
      <c r="H292" s="118"/>
      <c r="I292" s="173" t="s">
        <v>41</v>
      </c>
      <c r="J292" s="118"/>
      <c r="K292" s="118"/>
      <c r="L292" s="59"/>
      <c r="M292" s="59"/>
      <c r="N292" s="59"/>
    </row>
    <row r="293" spans="2:14" ht="15" outlineLevel="1">
      <c r="B293" s="171" t="s">
        <v>37</v>
      </c>
      <c r="C293" s="174">
        <v>275629.97558294423</v>
      </c>
      <c r="D293" s="174">
        <v>2943233.9175000004</v>
      </c>
      <c r="E293" s="174">
        <v>824593.51665512472</v>
      </c>
      <c r="F293" s="174">
        <v>2840044.8680632673</v>
      </c>
      <c r="G293" s="174">
        <v>1224403.6253112501</v>
      </c>
      <c r="H293" s="118"/>
      <c r="I293" s="175">
        <f>SUMPRODUCT(C292:G292,C293:G293)</f>
        <v>4889042.0100296419</v>
      </c>
      <c r="J293" s="118"/>
      <c r="K293" s="118"/>
      <c r="L293" s="59"/>
      <c r="M293" s="59"/>
      <c r="N293" s="59"/>
    </row>
    <row r="294" spans="2:14" ht="14.25" outlineLevel="1">
      <c r="B294" s="176"/>
      <c r="C294" s="176"/>
      <c r="D294" s="176"/>
      <c r="E294" s="176"/>
      <c r="F294" s="176"/>
      <c r="G294" s="176"/>
      <c r="H294" s="118"/>
      <c r="I294" s="152"/>
      <c r="J294" s="118"/>
      <c r="K294" s="118"/>
      <c r="L294" s="59"/>
      <c r="M294" s="59"/>
      <c r="N294" s="59"/>
    </row>
    <row r="295" spans="2:14" ht="30" outlineLevel="1">
      <c r="B295" s="171" t="s">
        <v>40</v>
      </c>
      <c r="C295" s="171" t="s">
        <v>137</v>
      </c>
      <c r="D295" s="171" t="s">
        <v>34</v>
      </c>
      <c r="E295" s="171" t="s">
        <v>105</v>
      </c>
      <c r="F295" s="171" t="s">
        <v>35</v>
      </c>
      <c r="G295" s="171" t="s">
        <v>36</v>
      </c>
      <c r="H295" s="118"/>
      <c r="I295" s="171" t="s">
        <v>38</v>
      </c>
      <c r="J295" s="118"/>
      <c r="K295" s="171" t="s">
        <v>140</v>
      </c>
      <c r="L295" s="59"/>
      <c r="M295" s="59"/>
      <c r="N295" s="59"/>
    </row>
    <row r="296" spans="2:14" ht="15" outlineLevel="1">
      <c r="B296" s="171" t="s">
        <v>38</v>
      </c>
      <c r="C296" s="174">
        <v>10990650.041633211</v>
      </c>
      <c r="D296" s="174">
        <v>21826243.4375</v>
      </c>
      <c r="E296" s="174">
        <v>7075000</v>
      </c>
      <c r="F296" s="174">
        <v>13398817.429543961</v>
      </c>
      <c r="G296" s="174">
        <v>2925000</v>
      </c>
      <c r="H296" s="118"/>
      <c r="I296" s="175">
        <f>SUMPRODUCT(C292:G292,C296:G296)</f>
        <v>23398817.429543961</v>
      </c>
      <c r="J296" s="177" t="s">
        <v>39</v>
      </c>
      <c r="K296" s="175">
        <v>25000000</v>
      </c>
      <c r="L296" s="59"/>
      <c r="M296" s="59"/>
      <c r="N296" s="59"/>
    </row>
    <row r="297" spans="2:14" ht="14.25" outlineLevel="1">
      <c r="B297" s="152"/>
      <c r="C297" s="152"/>
      <c r="D297" s="152"/>
      <c r="E297" s="152"/>
      <c r="F297" s="152"/>
      <c r="G297" s="152"/>
      <c r="H297" s="118"/>
      <c r="L297" s="59"/>
      <c r="M297" s="59"/>
      <c r="N297" s="59"/>
    </row>
    <row r="298" spans="2:14" ht="14.25">
      <c r="B298" s="152"/>
      <c r="C298" s="152"/>
      <c r="D298" s="121"/>
      <c r="E298" s="121"/>
      <c r="F298" s="121"/>
      <c r="G298" s="121"/>
      <c r="H298" s="121"/>
      <c r="I298" s="121"/>
      <c r="J298" s="121"/>
      <c r="K298" s="121"/>
      <c r="L298" s="59"/>
      <c r="M298" s="59"/>
      <c r="N298" s="59"/>
    </row>
    <row r="299" spans="2:14" ht="14.25">
      <c r="B299" s="121"/>
      <c r="C299" s="121"/>
      <c r="D299" s="121"/>
      <c r="E299" s="121"/>
      <c r="F299" s="121"/>
      <c r="G299" s="121"/>
      <c r="H299" s="121"/>
      <c r="I299" s="121"/>
      <c r="J299" s="121"/>
      <c r="K299" s="121"/>
      <c r="L299" s="59"/>
      <c r="M299" s="59"/>
      <c r="N299" s="59"/>
    </row>
    <row r="300" spans="2:14">
      <c r="B300" s="59"/>
      <c r="C300" s="59"/>
    </row>
  </sheetData>
  <scenarios current="2" show="2" sqref="K56 J58 J59 J61">
    <scenario name="Baseline" locked="1" count="3" user="Yehia Hossam">
      <inputCells r="F66" val="0.05" numFmtId="171"/>
      <inputCells r="F67" val="0.4" numFmtId="171"/>
      <inputCells r="F68" val="0.275" numFmtId="171"/>
    </scenario>
    <scenario name="High Growth with margain impact" locked="1" count="3" user="Yehia Hossam">
      <inputCells r="F66" val="0.08" numFmtId="171"/>
      <inputCells r="F67" val="0.5" numFmtId="171"/>
      <inputCells r="F68" val="0.275" numFmtId="171"/>
    </scenario>
    <scenario name="Low Growth with Margain impact" locked="1" count="3" user="Yehia Hossam">
      <inputCells r="F66" val="0.03" numFmtId="171"/>
      <inputCells r="F67" val="0.32" numFmtId="171"/>
      <inputCells r="F68" val="0.3" numFmtId="171"/>
    </scenario>
  </scenarios>
  <sortState xmlns:xlrd2="http://schemas.microsoft.com/office/spreadsheetml/2017/richdata2" ref="D67:D78">
    <sortCondition ref="D67"/>
  </sortState>
  <mergeCells count="12">
    <mergeCell ref="B113:C113"/>
    <mergeCell ref="B142:C142"/>
    <mergeCell ref="G141:L141"/>
    <mergeCell ref="E143:E153"/>
    <mergeCell ref="B189:C189"/>
    <mergeCell ref="C64:E64"/>
    <mergeCell ref="F64:J64"/>
    <mergeCell ref="F27:G27"/>
    <mergeCell ref="F28:G28"/>
    <mergeCell ref="F30:G30"/>
    <mergeCell ref="C53:E53"/>
    <mergeCell ref="F53:J53"/>
  </mergeCells>
  <conditionalFormatting sqref="C192">
    <cfRule type="iconSet" priority="1">
      <iconSet showValue="0">
        <cfvo type="percent" val="0"/>
        <cfvo type="num" val="75"/>
        <cfvo type="num" val="80"/>
      </iconSet>
    </cfRule>
  </conditionalFormatting>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F56:F59 G56:G58 H56:H58 I56:I59 J56:J59 F62:G62 H59:H62 I60:I62 J60:J62 E54:J54 C54:D54 C65:J65 K59 C59:E59 G59 D66:E67 C67 G66:G68 H66:H68 I66:I68 J66:J68 C62:D62 E62 F61 K61:K62 K56:K58" unlockedFormula="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21"/>
  <sheetViews>
    <sheetView showGridLines="0" zoomScale="80" zoomScaleNormal="80" workbookViewId="0">
      <selection activeCell="B107" sqref="B107"/>
    </sheetView>
  </sheetViews>
  <sheetFormatPr defaultColWidth="8.85546875" defaultRowHeight="12.75" outlineLevelRow="1"/>
  <cols>
    <col min="1" max="1" width="8.85546875" style="1"/>
    <col min="2" max="2" width="49.42578125" style="1" customWidth="1"/>
    <col min="3" max="3" width="25" style="1" customWidth="1"/>
    <col min="4" max="4" width="23" style="1" customWidth="1"/>
    <col min="5" max="5" width="18.28515625" style="1" customWidth="1"/>
    <col min="6" max="6" width="37.7109375" style="1" customWidth="1"/>
    <col min="7" max="8" width="22.42578125" style="1" customWidth="1"/>
    <col min="9" max="9" width="30.42578125" style="1" customWidth="1"/>
    <col min="10" max="10" width="18.7109375" style="1" customWidth="1"/>
    <col min="11" max="11" width="14.42578125" style="1" customWidth="1"/>
    <col min="12" max="12" width="18.425781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3.9" customHeight="1">
      <c r="A1" s="2" t="str">
        <f>'Cover Page'!A1</f>
        <v>Data Visualization with Advanced Excel - Course 3</v>
      </c>
    </row>
    <row r="2" spans="1:7" ht="13.9" customHeight="1">
      <c r="A2" s="2" t="str">
        <f>'Cover Page'!A2</f>
        <v>Week 2</v>
      </c>
    </row>
    <row r="3" spans="1:7" ht="13.9" customHeight="1">
      <c r="A3" s="2" t="str">
        <f>'Cover Page'!A3</f>
        <v>Scenario Analysis</v>
      </c>
    </row>
    <row r="4" spans="1:7" ht="13.9" customHeight="1">
      <c r="A4" s="2" t="s">
        <v>93</v>
      </c>
    </row>
    <row r="5" spans="1:7" ht="13.9" customHeight="1"/>
    <row r="6" spans="1:7" ht="13.9" customHeight="1"/>
    <row r="7" spans="1:7" ht="13.9" customHeight="1">
      <c r="A7" s="14"/>
      <c r="B7" s="3" t="s">
        <v>6</v>
      </c>
    </row>
    <row r="8" spans="1:7" ht="13.9" customHeight="1" outlineLevel="1">
      <c r="A8" s="14"/>
      <c r="B8" s="3"/>
    </row>
    <row r="9" spans="1:7" ht="13.9" customHeight="1" outlineLevel="1">
      <c r="A9" s="14"/>
      <c r="B9" s="19" t="s">
        <v>3</v>
      </c>
    </row>
    <row r="10" spans="1:7" ht="13.9" customHeight="1" outlineLevel="1">
      <c r="A10" s="14"/>
      <c r="B10" s="10"/>
      <c r="C10" s="11"/>
    </row>
    <row r="11" spans="1:7" ht="13.9" customHeight="1" outlineLevel="1">
      <c r="A11" s="14"/>
      <c r="B11" s="10"/>
      <c r="C11" s="11"/>
      <c r="E11"/>
      <c r="F11"/>
      <c r="G11"/>
    </row>
    <row r="12" spans="1:7" ht="13.9" customHeight="1" outlineLevel="1">
      <c r="A12" s="14"/>
      <c r="B12" s="10"/>
      <c r="C12" s="11"/>
      <c r="E12"/>
      <c r="F12"/>
      <c r="G12"/>
    </row>
    <row r="13" spans="1:7" ht="13.9" customHeight="1" outlineLevel="1">
      <c r="A13" s="14"/>
      <c r="B13" s="10"/>
      <c r="C13" s="11"/>
      <c r="E13"/>
      <c r="F13"/>
      <c r="G13"/>
    </row>
    <row r="14" spans="1:7" ht="13.9" customHeight="1" outlineLevel="1">
      <c r="A14" s="14"/>
      <c r="B14" s="10"/>
      <c r="C14" s="11"/>
      <c r="E14"/>
      <c r="F14"/>
      <c r="G14"/>
    </row>
    <row r="15" spans="1:7" ht="13.9" customHeight="1" outlineLevel="1">
      <c r="A15" s="14"/>
      <c r="B15" s="10"/>
      <c r="C15" s="11"/>
      <c r="E15"/>
      <c r="F15"/>
      <c r="G15"/>
    </row>
    <row r="16" spans="1:7" ht="13.9" customHeight="1" outlineLevel="1">
      <c r="A16" s="14"/>
      <c r="B16"/>
      <c r="C16"/>
      <c r="E16"/>
      <c r="F16"/>
      <c r="G16"/>
    </row>
    <row r="17" spans="1:12" ht="13.9" customHeight="1" outlineLevel="1">
      <c r="A17" s="14"/>
      <c r="B17"/>
      <c r="C17"/>
      <c r="E17"/>
      <c r="F17"/>
      <c r="G17"/>
    </row>
    <row r="18" spans="1:12" ht="13.9" customHeight="1" outlineLevel="1">
      <c r="A18" s="14"/>
      <c r="B18"/>
      <c r="C18"/>
      <c r="E18"/>
      <c r="F18"/>
      <c r="G18"/>
    </row>
    <row r="19" spans="1:12" ht="13.9" customHeight="1" outlineLevel="1">
      <c r="A19" s="14"/>
      <c r="B19"/>
      <c r="C19"/>
      <c r="E19"/>
      <c r="F19"/>
      <c r="G19"/>
    </row>
    <row r="20" spans="1:12" ht="13.9" customHeight="1" outlineLevel="1">
      <c r="A20" s="14"/>
      <c r="B20" s="12" t="s">
        <v>2</v>
      </c>
      <c r="C20"/>
      <c r="E20"/>
      <c r="F20"/>
      <c r="G20"/>
    </row>
    <row r="21" spans="1:12" ht="13.9" customHeight="1" outlineLevel="1">
      <c r="A21" s="14"/>
      <c r="B21" t="s">
        <v>16</v>
      </c>
      <c r="C21"/>
      <c r="E21"/>
      <c r="F21"/>
      <c r="G21"/>
    </row>
    <row r="22" spans="1:12" ht="13.9" customHeight="1" outlineLevel="1">
      <c r="A22" s="14"/>
      <c r="B22" t="s">
        <v>18</v>
      </c>
      <c r="C22"/>
      <c r="E22"/>
      <c r="F22"/>
      <c r="G22"/>
    </row>
    <row r="23" spans="1:12" ht="13.9" customHeight="1" outlineLevel="1">
      <c r="A23" s="14"/>
      <c r="B23"/>
      <c r="C23"/>
      <c r="E23"/>
      <c r="F23"/>
      <c r="G23"/>
    </row>
    <row r="24" spans="1:12" ht="13.9" customHeight="1" outlineLevel="1">
      <c r="A24" s="14"/>
      <c r="B24"/>
      <c r="C24"/>
      <c r="E24"/>
      <c r="F24"/>
      <c r="G24"/>
    </row>
    <row r="25" spans="1:12" ht="13.9" customHeight="1" outlineLevel="1">
      <c r="A25" s="14"/>
      <c r="B25" s="20" t="s">
        <v>8</v>
      </c>
      <c r="C25" s="21" t="s">
        <v>9</v>
      </c>
      <c r="E25"/>
    </row>
    <row r="26" spans="1:12" ht="13.9" customHeight="1" outlineLevel="1">
      <c r="A26" s="14"/>
      <c r="B26" s="22">
        <v>-250000</v>
      </c>
      <c r="C26">
        <v>0</v>
      </c>
      <c r="I26" s="5" t="s">
        <v>15</v>
      </c>
    </row>
    <row r="27" spans="1:12" ht="13.9" customHeight="1" outlineLevel="1" thickBot="1">
      <c r="A27" s="14"/>
      <c r="B27" s="22">
        <v>100000</v>
      </c>
      <c r="C27">
        <v>1</v>
      </c>
      <c r="E27"/>
      <c r="F27" s="29" t="s">
        <v>12</v>
      </c>
      <c r="G27" s="23" t="s">
        <v>46</v>
      </c>
      <c r="H27" s="26">
        <f>NPV(H28,B26:B31)</f>
        <v>429244.32181561884</v>
      </c>
      <c r="I27" s="28" t="s">
        <v>17</v>
      </c>
    </row>
    <row r="28" spans="1:12" ht="13.9" customHeight="1" outlineLevel="1" thickBot="1">
      <c r="A28" s="14"/>
      <c r="B28" s="22">
        <v>150000</v>
      </c>
      <c r="C28">
        <v>2</v>
      </c>
      <c r="E28"/>
      <c r="F28" s="29" t="s">
        <v>10</v>
      </c>
      <c r="G28" s="23" t="s">
        <v>46</v>
      </c>
      <c r="H28" s="27">
        <v>0.1</v>
      </c>
      <c r="I28" s="28" t="s">
        <v>13</v>
      </c>
    </row>
    <row r="29" spans="1:12" ht="13.9" customHeight="1" outlineLevel="1">
      <c r="A29" s="14"/>
      <c r="B29" s="22">
        <v>200000</v>
      </c>
      <c r="C29">
        <v>3</v>
      </c>
      <c r="E29"/>
    </row>
    <row r="30" spans="1:12" ht="13.9" customHeight="1" outlineLevel="1">
      <c r="A30" s="14"/>
      <c r="B30" s="22">
        <v>250000</v>
      </c>
      <c r="C30">
        <v>4</v>
      </c>
      <c r="E30"/>
      <c r="F30" s="30" t="s">
        <v>11</v>
      </c>
      <c r="G30" s="23" t="s">
        <v>46</v>
      </c>
      <c r="H30" s="25">
        <f>IRR(B26:B31)</f>
        <v>0.56723033443581894</v>
      </c>
      <c r="I30" s="28" t="s">
        <v>14</v>
      </c>
    </row>
    <row r="31" spans="1:12" ht="13.9" customHeight="1" outlineLevel="1">
      <c r="A31" s="14"/>
      <c r="B31" s="22">
        <v>300000</v>
      </c>
      <c r="C31">
        <v>5</v>
      </c>
      <c r="E31"/>
      <c r="L31" s="24"/>
    </row>
    <row r="32" spans="1:12" ht="13.9" customHeight="1" outlineLevel="1">
      <c r="A32" s="14"/>
      <c r="B32" s="22"/>
      <c r="C32"/>
      <c r="E32"/>
      <c r="L32" s="24"/>
    </row>
    <row r="33" spans="1:15" ht="13.9" customHeight="1" outlineLevel="1">
      <c r="A33" s="14"/>
      <c r="C33" s="15"/>
      <c r="D33" s="4"/>
      <c r="E33" s="4"/>
    </row>
    <row r="34" spans="1:15" ht="13.9" customHeight="1">
      <c r="A34" s="14"/>
      <c r="B34" s="3" t="s">
        <v>7</v>
      </c>
      <c r="C34" s="18"/>
      <c r="D34" s="18"/>
      <c r="E34" s="14"/>
    </row>
    <row r="35" spans="1:15" ht="13.9" customHeight="1" outlineLevel="1">
      <c r="A35" s="14"/>
    </row>
    <row r="36" spans="1:15" ht="13.9" customHeight="1" outlineLevel="1">
      <c r="A36" s="14"/>
      <c r="B36" s="19" t="s">
        <v>4</v>
      </c>
      <c r="C36" s="18"/>
      <c r="D36" s="18"/>
      <c r="E36" s="14"/>
    </row>
    <row r="37" spans="1:15" ht="13.9" customHeight="1" outlineLevel="1">
      <c r="A37" s="14"/>
      <c r="B37" s="40"/>
      <c r="C37" s="40"/>
      <c r="D37" s="40"/>
      <c r="E37" s="40"/>
      <c r="F37" s="40"/>
      <c r="G37" s="40"/>
      <c r="H37" s="40"/>
      <c r="I37" s="40"/>
      <c r="J37" s="40"/>
      <c r="K37" s="40"/>
      <c r="L37" s="40"/>
      <c r="M37" s="40"/>
      <c r="N37" s="40"/>
      <c r="O37" s="31"/>
    </row>
    <row r="38" spans="1:15" ht="13.9" customHeight="1" outlineLevel="1">
      <c r="A38" s="14"/>
      <c r="B38" s="40"/>
      <c r="C38" s="40"/>
      <c r="D38" s="40"/>
      <c r="E38" s="40"/>
      <c r="F38" s="40"/>
      <c r="G38" s="40"/>
      <c r="H38" s="40"/>
      <c r="I38" s="40"/>
      <c r="J38" s="40"/>
      <c r="K38" s="40"/>
      <c r="L38" s="40"/>
      <c r="M38" s="40"/>
      <c r="N38" s="40"/>
      <c r="O38" s="31"/>
    </row>
    <row r="39" spans="1:15" ht="13.9" customHeight="1" outlineLevel="1">
      <c r="A39" s="14"/>
      <c r="B39" s="40"/>
      <c r="C39" s="40"/>
      <c r="D39" s="40"/>
      <c r="E39" s="40"/>
      <c r="F39" s="40"/>
      <c r="G39" s="40"/>
      <c r="H39" s="40"/>
      <c r="I39" s="40"/>
      <c r="J39" s="40"/>
      <c r="K39" s="40"/>
      <c r="L39" s="40"/>
      <c r="M39" s="40"/>
      <c r="N39" s="40"/>
      <c r="O39" s="31"/>
    </row>
    <row r="40" spans="1:15" ht="13.9" customHeight="1" outlineLevel="1">
      <c r="A40" s="14"/>
      <c r="B40" s="31"/>
      <c r="C40" s="31"/>
      <c r="D40" s="31"/>
      <c r="E40" s="32"/>
      <c r="F40" s="31"/>
      <c r="G40" s="31"/>
      <c r="H40" s="31"/>
      <c r="I40" s="31"/>
      <c r="J40" s="31"/>
      <c r="K40" s="31"/>
      <c r="L40" s="31"/>
      <c r="M40" s="31"/>
      <c r="N40" s="31"/>
      <c r="O40" s="31"/>
    </row>
    <row r="41" spans="1:15" ht="13.9" customHeight="1" outlineLevel="1">
      <c r="A41" s="14"/>
      <c r="B41" s="31"/>
      <c r="C41" s="31"/>
      <c r="D41" s="31"/>
      <c r="E41" s="32"/>
      <c r="F41" s="31"/>
      <c r="G41" s="31"/>
      <c r="H41" s="31"/>
      <c r="I41" s="31"/>
      <c r="J41" s="31"/>
      <c r="K41" s="31"/>
      <c r="L41" s="31"/>
      <c r="M41" s="31"/>
      <c r="N41" s="31"/>
      <c r="O41" s="31"/>
    </row>
    <row r="42" spans="1:15" ht="13.9" customHeight="1" outlineLevel="1">
      <c r="A42" s="14"/>
      <c r="B42" s="31"/>
      <c r="C42" s="31"/>
      <c r="D42" s="31"/>
      <c r="E42" s="32"/>
      <c r="F42" s="31"/>
      <c r="G42" s="31"/>
      <c r="H42" s="31"/>
      <c r="I42" s="31"/>
      <c r="J42" s="31"/>
      <c r="K42" s="31"/>
      <c r="L42" s="31"/>
      <c r="M42" s="31"/>
      <c r="N42" s="31"/>
      <c r="O42" s="31"/>
    </row>
    <row r="43" spans="1:15" ht="13.9" customHeight="1" outlineLevel="1">
      <c r="A43" s="14"/>
      <c r="B43" s="31"/>
      <c r="C43" s="31"/>
      <c r="D43" s="31"/>
      <c r="E43" s="32"/>
      <c r="F43" s="31"/>
      <c r="G43" s="31"/>
      <c r="H43" s="31"/>
      <c r="I43" s="31"/>
      <c r="J43" s="31"/>
      <c r="K43" s="31"/>
      <c r="L43" s="31"/>
      <c r="M43" s="31"/>
      <c r="N43" s="31"/>
      <c r="O43" s="31"/>
    </row>
    <row r="44" spans="1:15" ht="13.9" customHeight="1" outlineLevel="1">
      <c r="A44" s="14"/>
      <c r="B44" s="31"/>
      <c r="C44" s="31"/>
      <c r="D44" s="31"/>
      <c r="E44" s="32"/>
      <c r="F44" s="31"/>
      <c r="G44" s="31"/>
      <c r="H44" s="31"/>
      <c r="I44" s="31"/>
      <c r="J44" s="31"/>
      <c r="K44" s="31"/>
      <c r="L44" s="31"/>
      <c r="M44" s="31"/>
      <c r="N44" s="31"/>
      <c r="O44" s="31"/>
    </row>
    <row r="45" spans="1:15" ht="13.9" customHeight="1" outlineLevel="1">
      <c r="A45" s="14"/>
      <c r="B45" s="31"/>
      <c r="C45" s="31"/>
      <c r="D45" s="31"/>
      <c r="E45" s="32"/>
      <c r="F45" s="31"/>
      <c r="G45" s="31"/>
      <c r="H45" s="31"/>
      <c r="I45" s="31"/>
      <c r="J45" s="31"/>
      <c r="K45" s="31"/>
      <c r="L45" s="31"/>
      <c r="M45" s="31"/>
      <c r="N45" s="31"/>
      <c r="O45" s="31"/>
    </row>
    <row r="46" spans="1:15" ht="13.9" customHeight="1" outlineLevel="1">
      <c r="A46" s="14"/>
      <c r="B46" s="33"/>
      <c r="C46" s="33"/>
      <c r="D46" s="33"/>
      <c r="E46" s="34"/>
      <c r="F46" s="33"/>
      <c r="G46" s="33"/>
      <c r="H46" s="33"/>
      <c r="I46" s="33"/>
      <c r="J46" s="33"/>
      <c r="K46" s="33"/>
      <c r="L46" s="33"/>
      <c r="M46" s="33"/>
      <c r="N46" s="33"/>
    </row>
    <row r="47" spans="1:15" ht="13.9" customHeight="1" outlineLevel="1">
      <c r="A47" s="14"/>
      <c r="B47" s="12" t="s">
        <v>2</v>
      </c>
      <c r="C47" s="33"/>
      <c r="D47" s="33"/>
      <c r="E47" s="34"/>
      <c r="F47" s="33"/>
      <c r="G47" s="33"/>
      <c r="H47" s="33"/>
      <c r="I47" s="33"/>
      <c r="J47" s="33"/>
      <c r="K47" s="33"/>
      <c r="L47" s="33"/>
      <c r="M47" s="33"/>
      <c r="N47" s="33"/>
    </row>
    <row r="48" spans="1:15" ht="13.9" customHeight="1" outlineLevel="1">
      <c r="A48" s="14"/>
      <c r="B48" t="s">
        <v>29</v>
      </c>
      <c r="C48" s="33"/>
      <c r="D48" s="33"/>
      <c r="E48" s="34"/>
      <c r="F48" s="33"/>
      <c r="G48" s="33"/>
      <c r="H48" s="33"/>
      <c r="I48" s="33"/>
      <c r="J48" s="33"/>
      <c r="K48" s="33"/>
      <c r="L48" s="33"/>
      <c r="M48" s="33"/>
      <c r="N48" s="33"/>
    </row>
    <row r="49" spans="1:15" ht="13.9" customHeight="1" outlineLevel="1">
      <c r="A49" s="14"/>
      <c r="M49" s="33"/>
      <c r="N49" s="33"/>
    </row>
    <row r="50" spans="1:15" ht="13.5" customHeight="1" outlineLevel="1">
      <c r="A50" s="14"/>
      <c r="B50" s="64"/>
      <c r="C50" s="31"/>
      <c r="D50" s="31"/>
      <c r="E50" s="31"/>
      <c r="F50" s="31"/>
      <c r="G50" s="31"/>
      <c r="H50" s="31"/>
      <c r="I50" s="31"/>
      <c r="J50" s="31"/>
      <c r="K50" s="31"/>
      <c r="L50" s="31"/>
      <c r="M50" s="33"/>
      <c r="N50" s="33"/>
    </row>
    <row r="51" spans="1:15" ht="13.9" customHeight="1" outlineLevel="1">
      <c r="A51" s="14"/>
      <c r="B51"/>
      <c r="C51" s="33"/>
      <c r="D51" s="33"/>
      <c r="E51" s="34"/>
      <c r="F51" s="33"/>
      <c r="G51" s="33"/>
      <c r="H51" s="33"/>
      <c r="I51" s="33"/>
      <c r="J51" s="33"/>
      <c r="K51" s="33"/>
      <c r="L51" s="33"/>
      <c r="M51" s="33"/>
      <c r="N51" s="33"/>
    </row>
    <row r="52" spans="1:15" ht="13.9" customHeight="1" outlineLevel="1">
      <c r="A52" s="14"/>
      <c r="B52" s="44"/>
      <c r="C52" s="87"/>
      <c r="D52" s="87"/>
      <c r="E52" s="88"/>
      <c r="F52" s="87"/>
      <c r="G52" s="87"/>
      <c r="H52" s="87"/>
      <c r="I52" s="87"/>
      <c r="J52" s="87"/>
      <c r="K52" s="89" t="str">
        <f ca="1">E54&amp;" - "&amp;J54</f>
        <v>2021 - 2026</v>
      </c>
      <c r="L52" s="42"/>
      <c r="M52" s="33"/>
      <c r="N52" s="33"/>
      <c r="O52" s="35"/>
    </row>
    <row r="53" spans="1:15" ht="13.9" customHeight="1" outlineLevel="1">
      <c r="A53" s="14"/>
      <c r="B53" s="88"/>
      <c r="C53" s="43" t="s">
        <v>19</v>
      </c>
      <c r="D53" s="43"/>
      <c r="E53" s="43"/>
      <c r="F53" s="43" t="s">
        <v>20</v>
      </c>
      <c r="G53" s="43"/>
      <c r="H53" s="43"/>
      <c r="I53" s="43"/>
      <c r="J53" s="43"/>
      <c r="K53" s="90" t="s">
        <v>21</v>
      </c>
      <c r="L53" s="44" t="s">
        <v>50</v>
      </c>
      <c r="N53" s="33"/>
    </row>
    <row r="54" spans="1:15" ht="13.9" customHeight="1" outlineLevel="1">
      <c r="A54" s="14"/>
      <c r="B54" s="88"/>
      <c r="C54" s="45">
        <f ca="1">D54-1</f>
        <v>2019</v>
      </c>
      <c r="D54" s="45">
        <f ca="1">E54-1</f>
        <v>2020</v>
      </c>
      <c r="E54" s="45">
        <f ca="1">F54-1</f>
        <v>2021</v>
      </c>
      <c r="F54" s="45">
        <f ca="1">YEAR(NOW())</f>
        <v>2022</v>
      </c>
      <c r="G54" s="45">
        <f ca="1">F54+1</f>
        <v>2023</v>
      </c>
      <c r="H54" s="45">
        <f ca="1">G54+1</f>
        <v>2024</v>
      </c>
      <c r="I54" s="45">
        <f ca="1">H54+1</f>
        <v>2025</v>
      </c>
      <c r="J54" s="45">
        <f ca="1">I54+1</f>
        <v>2026</v>
      </c>
      <c r="K54" s="87"/>
      <c r="L54" s="44"/>
      <c r="N54" s="33"/>
    </row>
    <row r="55" spans="1:15" ht="13.9" customHeight="1" outlineLevel="1">
      <c r="A55" s="14"/>
      <c r="B55" s="88"/>
      <c r="C55" s="87"/>
      <c r="D55" s="87"/>
      <c r="E55" s="91"/>
      <c r="F55" s="92"/>
      <c r="G55" s="87"/>
      <c r="H55" s="87"/>
      <c r="I55" s="87"/>
      <c r="J55" s="87"/>
      <c r="K55" s="87"/>
      <c r="L55" s="44"/>
      <c r="N55" s="36"/>
    </row>
    <row r="56" spans="1:15" ht="13.9" customHeight="1" outlineLevel="1">
      <c r="A56" s="14"/>
      <c r="B56" s="105" t="s">
        <v>90</v>
      </c>
      <c r="C56" s="46">
        <v>3950500</v>
      </c>
      <c r="D56" s="46">
        <v>4225000</v>
      </c>
      <c r="E56" s="47">
        <v>4575800</v>
      </c>
      <c r="F56" s="93">
        <f>E56*(1+$F$66)</f>
        <v>4804590</v>
      </c>
      <c r="G56" s="94">
        <f>F56*(1+$G$66)</f>
        <v>5140911.3000000007</v>
      </c>
      <c r="H56" s="94">
        <f>G56*(1+$H$66)</f>
        <v>5603593.3170000017</v>
      </c>
      <c r="I56" s="94">
        <f>H56*(1+$I$66)</f>
        <v>6219988.5818700027</v>
      </c>
      <c r="J56" s="94">
        <f>I56*(1+$J$66)</f>
        <v>7028587.097513102</v>
      </c>
      <c r="K56" s="95">
        <f ca="1">RATE(J54-E54,0,-E56,J56)</f>
        <v>8.9632879147129571E-2</v>
      </c>
      <c r="L56" s="44"/>
      <c r="N56" s="36"/>
    </row>
    <row r="57" spans="1:15" ht="13.9" customHeight="1" outlineLevel="1">
      <c r="A57" s="14"/>
      <c r="B57" s="105" t="s">
        <v>91</v>
      </c>
      <c r="C57" s="46">
        <v>975000</v>
      </c>
      <c r="D57" s="46">
        <v>1150000</v>
      </c>
      <c r="E57" s="47">
        <v>1280000</v>
      </c>
      <c r="F57" s="93">
        <f>E57*(1+$F$66)</f>
        <v>1344000</v>
      </c>
      <c r="G57" s="94">
        <f>F57*(1+$G$66)</f>
        <v>1438080</v>
      </c>
      <c r="H57" s="94">
        <f>G57*(1+$H$66)</f>
        <v>1567507.2000000002</v>
      </c>
      <c r="I57" s="94">
        <f>H57*(1+$I$66)</f>
        <v>1739932.9920000003</v>
      </c>
      <c r="J57" s="94">
        <f>I57*(1+$J$66)</f>
        <v>1966124.2809600001</v>
      </c>
      <c r="K57" s="95"/>
      <c r="L57" s="44"/>
      <c r="N57" s="36"/>
    </row>
    <row r="58" spans="1:15" ht="13.9" customHeight="1" outlineLevel="1">
      <c r="A58" s="14"/>
      <c r="B58" s="88" t="s">
        <v>22</v>
      </c>
      <c r="C58" s="48">
        <v>2350000</v>
      </c>
      <c r="D58" s="48">
        <v>2514000</v>
      </c>
      <c r="E58" s="48">
        <v>2745500</v>
      </c>
      <c r="F58" s="73">
        <f>(F56+F57)*(1-F67)</f>
        <v>3689154</v>
      </c>
      <c r="G58" s="73">
        <f t="shared" ref="G58:J58" si="0">(G56+G57)*(1-G67)</f>
        <v>3947394.7800000003</v>
      </c>
      <c r="H58" s="73">
        <f t="shared" si="0"/>
        <v>4302660.3102000011</v>
      </c>
      <c r="I58" s="73">
        <f t="shared" si="0"/>
        <v>4775952.9443220021</v>
      </c>
      <c r="J58" s="73">
        <f t="shared" si="0"/>
        <v>5396826.8270838615</v>
      </c>
      <c r="K58" s="95"/>
      <c r="L58" s="44"/>
      <c r="N58" s="36"/>
    </row>
    <row r="59" spans="1:15" ht="13.9" customHeight="1" outlineLevel="1">
      <c r="A59" s="14"/>
      <c r="B59" s="88" t="s">
        <v>23</v>
      </c>
      <c r="C59" s="97">
        <f>C56+C57-C58</f>
        <v>2575500</v>
      </c>
      <c r="D59" s="97">
        <f t="shared" ref="D59:J59" si="1">D56+D57-D58</f>
        <v>2861000</v>
      </c>
      <c r="E59" s="97">
        <f>E56+E57-E58</f>
        <v>3110300</v>
      </c>
      <c r="F59" s="97">
        <f t="shared" si="1"/>
        <v>2459436</v>
      </c>
      <c r="G59" s="97">
        <f t="shared" si="1"/>
        <v>2631596.5200000005</v>
      </c>
      <c r="H59" s="97">
        <f t="shared" si="1"/>
        <v>2868440.2068000007</v>
      </c>
      <c r="I59" s="97">
        <f t="shared" si="1"/>
        <v>3183968.6295480011</v>
      </c>
      <c r="J59" s="97">
        <f t="shared" si="1"/>
        <v>3597884.5513892416</v>
      </c>
      <c r="K59" s="95">
        <f ca="1">RATE(J54-E54,0,-E59,J59)</f>
        <v>2.9553664320646097E-2</v>
      </c>
      <c r="L59" s="44"/>
      <c r="N59" s="36"/>
    </row>
    <row r="60" spans="1:15" ht="13.9" customHeight="1" outlineLevel="1">
      <c r="A60" s="14"/>
      <c r="B60" s="88"/>
      <c r="C60" s="94"/>
      <c r="D60" s="94"/>
      <c r="E60" s="97"/>
      <c r="F60" s="93"/>
      <c r="G60" s="94"/>
      <c r="H60" s="94"/>
      <c r="I60" s="94"/>
      <c r="J60" s="94"/>
      <c r="K60" s="95"/>
      <c r="L60" s="44"/>
      <c r="N60" s="36"/>
    </row>
    <row r="61" spans="1:15" ht="13.9" customHeight="1" outlineLevel="1">
      <c r="A61" s="14"/>
      <c r="B61" s="88" t="s">
        <v>24</v>
      </c>
      <c r="C61" s="48">
        <v>1042800</v>
      </c>
      <c r="D61" s="48">
        <v>1119700</v>
      </c>
      <c r="E61" s="48">
        <v>1254600</v>
      </c>
      <c r="F61" s="98">
        <f>F56*F68</f>
        <v>1321262.25</v>
      </c>
      <c r="G61" s="96">
        <f>G56*G68</f>
        <v>1413750.6075000004</v>
      </c>
      <c r="H61" s="96">
        <f>H56*H68</f>
        <v>1540988.1621750006</v>
      </c>
      <c r="I61" s="96">
        <f>I56*I68</f>
        <v>1710496.860014251</v>
      </c>
      <c r="J61" s="96">
        <f>J56*J68</f>
        <v>1932861.4518161032</v>
      </c>
      <c r="K61" s="95"/>
      <c r="L61" s="44"/>
      <c r="N61" s="36"/>
    </row>
    <row r="62" spans="1:15" ht="13.9" customHeight="1" outlineLevel="1" thickBot="1">
      <c r="A62" s="14"/>
      <c r="B62" s="78" t="s">
        <v>25</v>
      </c>
      <c r="C62" s="49">
        <f t="shared" ref="C62:J62" si="2">C59-C61</f>
        <v>1532700</v>
      </c>
      <c r="D62" s="49">
        <f t="shared" si="2"/>
        <v>1741300</v>
      </c>
      <c r="E62" s="49">
        <f t="shared" si="2"/>
        <v>1855700</v>
      </c>
      <c r="F62" s="50">
        <f t="shared" si="2"/>
        <v>1138173.75</v>
      </c>
      <c r="G62" s="49">
        <f t="shared" si="2"/>
        <v>1217845.9125000001</v>
      </c>
      <c r="H62" s="49">
        <f t="shared" si="2"/>
        <v>1327452.0446250001</v>
      </c>
      <c r="I62" s="49">
        <f t="shared" si="2"/>
        <v>1473471.7695337501</v>
      </c>
      <c r="J62" s="49">
        <f t="shared" si="2"/>
        <v>1665023.0995731384</v>
      </c>
      <c r="K62" s="99">
        <f ca="1">RATE(J54-E54,0,-E62,J62)</f>
        <v>-2.1451176658433539E-2</v>
      </c>
      <c r="L62" s="44"/>
      <c r="N62" s="37"/>
    </row>
    <row r="63" spans="1:15" ht="13.9" customHeight="1" outlineLevel="1">
      <c r="A63" s="14"/>
      <c r="B63" s="88"/>
      <c r="C63" s="87"/>
      <c r="D63" s="87"/>
      <c r="E63" s="88"/>
      <c r="F63" s="100"/>
      <c r="G63" s="100"/>
      <c r="H63" s="100"/>
      <c r="I63" s="100"/>
      <c r="J63" s="100"/>
      <c r="K63" s="100"/>
      <c r="L63" s="51"/>
      <c r="M63" s="38"/>
      <c r="N63" s="36"/>
      <c r="O63" s="39"/>
    </row>
    <row r="64" spans="1:15" ht="13.9" customHeight="1" outlineLevel="1">
      <c r="A64" s="14"/>
      <c r="B64" s="78" t="s">
        <v>26</v>
      </c>
      <c r="C64" s="43" t="s">
        <v>19</v>
      </c>
      <c r="D64" s="43"/>
      <c r="E64" s="43"/>
      <c r="F64" s="43" t="s">
        <v>20</v>
      </c>
      <c r="G64" s="43"/>
      <c r="H64" s="43"/>
      <c r="I64" s="43"/>
      <c r="J64" s="43"/>
      <c r="K64" s="44"/>
      <c r="L64" s="44"/>
    </row>
    <row r="65" spans="1:22" ht="13.9" customHeight="1" outlineLevel="1">
      <c r="A65" s="14"/>
      <c r="B65" s="87"/>
      <c r="C65" s="45">
        <f ca="1">D65-1</f>
        <v>2019</v>
      </c>
      <c r="D65" s="45">
        <f ca="1">E65-1</f>
        <v>2020</v>
      </c>
      <c r="E65" s="45">
        <f ca="1">F65-1</f>
        <v>2021</v>
      </c>
      <c r="F65" s="45">
        <f ca="1">YEAR(NOW())</f>
        <v>2022</v>
      </c>
      <c r="G65" s="45">
        <f ca="1">F65+1</f>
        <v>2023</v>
      </c>
      <c r="H65" s="45">
        <f ca="1">G65+1</f>
        <v>2024</v>
      </c>
      <c r="I65" s="45">
        <f ca="1">H65+1</f>
        <v>2025</v>
      </c>
      <c r="J65" s="45">
        <f ca="1">I65+1</f>
        <v>2026</v>
      </c>
      <c r="K65" s="52" t="s">
        <v>27</v>
      </c>
      <c r="L65" s="44"/>
      <c r="M65" s="36"/>
    </row>
    <row r="66" spans="1:22" ht="13.9" customHeight="1" outlineLevel="1" thickBot="1">
      <c r="A66" s="14"/>
      <c r="B66" s="29" t="s">
        <v>65</v>
      </c>
      <c r="C66" s="87"/>
      <c r="D66" s="95">
        <f>(D56+D57)/(C56+C57)-1</f>
        <v>9.1259770581666899E-2</v>
      </c>
      <c r="E66" s="101">
        <f>(E56+E57)/(D56+D57)-1</f>
        <v>8.9451162790697758E-2</v>
      </c>
      <c r="F66" s="86">
        <v>0.05</v>
      </c>
      <c r="G66" s="95">
        <f>F66+$K$66</f>
        <v>7.0000000000000007E-2</v>
      </c>
      <c r="H66" s="95">
        <f t="shared" ref="H66:J66" si="3">G66+$K$66</f>
        <v>9.0000000000000011E-2</v>
      </c>
      <c r="I66" s="95">
        <f t="shared" si="3"/>
        <v>0.11000000000000001</v>
      </c>
      <c r="J66" s="95">
        <f t="shared" si="3"/>
        <v>0.13</v>
      </c>
      <c r="K66" s="41">
        <v>0.02</v>
      </c>
      <c r="L66" s="44"/>
    </row>
    <row r="67" spans="1:22" ht="13.9" customHeight="1" outlineLevel="1" thickBot="1">
      <c r="A67" s="14"/>
      <c r="B67" s="29" t="s">
        <v>28</v>
      </c>
      <c r="C67" s="95">
        <f>C59/(C56+C57)</f>
        <v>0.52289107704801541</v>
      </c>
      <c r="D67" s="95">
        <f>D59/(D56+D57)</f>
        <v>0.53227906976744188</v>
      </c>
      <c r="E67" s="95">
        <f>E59/(E56+E57)</f>
        <v>0.5311486048020766</v>
      </c>
      <c r="F67" s="86">
        <v>0.4</v>
      </c>
      <c r="G67" s="95">
        <f>F67+$K$67</f>
        <v>0.4</v>
      </c>
      <c r="H67" s="95">
        <f t="shared" ref="H67:J67" si="4">G67+$K$67</f>
        <v>0.4</v>
      </c>
      <c r="I67" s="95">
        <f t="shared" si="4"/>
        <v>0.4</v>
      </c>
      <c r="J67" s="95">
        <f t="shared" si="4"/>
        <v>0.4</v>
      </c>
      <c r="K67" s="41">
        <v>0</v>
      </c>
      <c r="L67" s="44"/>
    </row>
    <row r="68" spans="1:22" ht="13.9" customHeight="1" outlineLevel="1" thickBot="1">
      <c r="A68" s="14"/>
      <c r="B68" s="29" t="s">
        <v>92</v>
      </c>
      <c r="C68" s="103" t="s">
        <v>5</v>
      </c>
      <c r="D68" s="103" t="s">
        <v>5</v>
      </c>
      <c r="E68" s="104" t="s">
        <v>5</v>
      </c>
      <c r="F68" s="86">
        <v>0.27500000000000002</v>
      </c>
      <c r="G68" s="95">
        <f>F68+K68</f>
        <v>0.27500000000000002</v>
      </c>
      <c r="H68" s="95">
        <f t="shared" ref="H68:J68" si="5">G68+L68</f>
        <v>0.27500000000000002</v>
      </c>
      <c r="I68" s="95">
        <f t="shared" si="5"/>
        <v>0.27500000000000002</v>
      </c>
      <c r="J68" s="95">
        <f t="shared" si="5"/>
        <v>0.27500000000000002</v>
      </c>
      <c r="K68" s="41">
        <v>0</v>
      </c>
      <c r="L68" s="44"/>
    </row>
    <row r="69" spans="1:22" ht="11.25" customHeight="1" outlineLevel="1">
      <c r="A69" s="14"/>
      <c r="B69" s="53"/>
      <c r="C69" s="53"/>
      <c r="D69" s="54"/>
      <c r="E69" s="54"/>
      <c r="F69" s="44"/>
      <c r="G69" s="44"/>
      <c r="H69" s="44"/>
      <c r="I69" s="44"/>
      <c r="J69" s="44"/>
      <c r="K69" s="44"/>
      <c r="L69" s="44"/>
    </row>
    <row r="70" spans="1:22" ht="11.25" customHeight="1" outlineLevel="1">
      <c r="A70" s="14"/>
      <c r="B70" s="53"/>
      <c r="C70" s="53"/>
      <c r="D70" s="54"/>
      <c r="E70" s="54"/>
      <c r="F70" s="44"/>
      <c r="G70" s="44"/>
      <c r="H70" s="44"/>
      <c r="I70" s="44"/>
      <c r="J70" s="44"/>
      <c r="K70" s="44"/>
      <c r="L70" s="44"/>
      <c r="P70"/>
      <c r="Q70"/>
      <c r="R70"/>
      <c r="S70"/>
      <c r="T70"/>
      <c r="U70"/>
      <c r="V70"/>
    </row>
    <row r="71" spans="1:22" ht="11.25" customHeight="1" outlineLevel="1">
      <c r="A71" s="14"/>
      <c r="B71" s="53"/>
      <c r="C71" s="53"/>
      <c r="D71" s="54"/>
      <c r="E71" s="54"/>
      <c r="F71" s="44"/>
      <c r="G71" s="44"/>
      <c r="H71" s="44"/>
      <c r="I71" s="44"/>
      <c r="J71" s="44"/>
      <c r="K71" s="44"/>
      <c r="L71" s="44"/>
      <c r="P71"/>
      <c r="Q71"/>
      <c r="R71"/>
      <c r="S71"/>
      <c r="T71"/>
      <c r="U71"/>
      <c r="V71"/>
    </row>
    <row r="72" spans="1:22" ht="11.25" customHeight="1" outlineLevel="1">
      <c r="A72" s="14"/>
      <c r="B72" s="53"/>
      <c r="C72" s="53"/>
      <c r="D72" s="54"/>
      <c r="E72" s="54"/>
      <c r="F72" s="44"/>
      <c r="G72" s="44"/>
      <c r="H72" s="44"/>
      <c r="I72" s="44"/>
      <c r="J72" s="44"/>
      <c r="K72" s="44"/>
      <c r="L72" s="44"/>
      <c r="P72"/>
      <c r="Q72"/>
      <c r="R72"/>
      <c r="S72"/>
      <c r="T72"/>
      <c r="U72"/>
      <c r="V72"/>
    </row>
    <row r="73" spans="1:22" ht="11.25" customHeight="1" outlineLevel="1">
      <c r="A73" s="14"/>
      <c r="B73" s="53"/>
      <c r="C73" s="53"/>
      <c r="D73" s="54"/>
      <c r="E73" s="54"/>
      <c r="F73" s="44"/>
      <c r="G73" s="44"/>
      <c r="H73" s="44"/>
      <c r="I73" s="44"/>
      <c r="J73" s="44"/>
      <c r="K73" s="44"/>
      <c r="L73" s="44"/>
      <c r="P73"/>
      <c r="Q73"/>
      <c r="R73"/>
      <c r="S73"/>
      <c r="T73"/>
      <c r="U73"/>
      <c r="V73"/>
    </row>
    <row r="74" spans="1:22" ht="11.25" customHeight="1" outlineLevel="1">
      <c r="A74" s="14"/>
      <c r="B74" s="102" t="s">
        <v>48</v>
      </c>
      <c r="C74" s="44"/>
      <c r="D74" s="44"/>
      <c r="E74" s="44"/>
      <c r="F74" s="44"/>
      <c r="G74" s="44"/>
      <c r="I74" s="44"/>
      <c r="J74" s="44"/>
      <c r="K74" s="44"/>
      <c r="L74" s="44"/>
      <c r="P74"/>
      <c r="Q74"/>
      <c r="R74"/>
      <c r="S74"/>
      <c r="T74"/>
      <c r="U74"/>
      <c r="V74"/>
    </row>
    <row r="75" spans="1:22" ht="11.25" customHeight="1" outlineLevel="1">
      <c r="A75" s="14"/>
      <c r="B75" s="44" t="s">
        <v>87</v>
      </c>
      <c r="C75" s="44"/>
      <c r="D75" s="44"/>
      <c r="E75" s="44"/>
      <c r="F75" s="44"/>
      <c r="G75" s="44"/>
      <c r="I75" s="44"/>
      <c r="J75" s="44"/>
      <c r="K75" s="44"/>
      <c r="L75" s="44"/>
      <c r="P75"/>
      <c r="Q75"/>
      <c r="R75"/>
      <c r="S75"/>
      <c r="T75"/>
      <c r="U75"/>
      <c r="V75"/>
    </row>
    <row r="76" spans="1:22" ht="11.25" customHeight="1" outlineLevel="1">
      <c r="A76" s="14"/>
      <c r="B76" s="44" t="s">
        <v>49</v>
      </c>
      <c r="C76" s="44"/>
      <c r="D76" s="44"/>
      <c r="E76" s="44"/>
      <c r="F76" s="44"/>
      <c r="G76" s="44"/>
      <c r="I76" s="44"/>
      <c r="J76" s="44"/>
      <c r="K76" s="44"/>
      <c r="L76" s="44"/>
      <c r="P76"/>
      <c r="Q76"/>
      <c r="R76"/>
      <c r="S76"/>
      <c r="T76"/>
      <c r="U76"/>
      <c r="V76"/>
    </row>
    <row r="77" spans="1:22" ht="11.25" customHeight="1" outlineLevel="1">
      <c r="A77" s="14"/>
      <c r="B77" s="44"/>
      <c r="C77" s="44" t="s">
        <v>88</v>
      </c>
      <c r="D77" s="44"/>
      <c r="E77" s="44"/>
      <c r="F77" s="44"/>
      <c r="G77" s="44"/>
      <c r="I77" s="44"/>
      <c r="J77" s="44"/>
      <c r="K77" s="44"/>
      <c r="L77" s="44"/>
      <c r="P77"/>
      <c r="Q77"/>
      <c r="R77"/>
      <c r="S77"/>
      <c r="T77"/>
      <c r="U77"/>
      <c r="V77"/>
    </row>
    <row r="78" spans="1:22" ht="11.25" customHeight="1" outlineLevel="1">
      <c r="A78" s="14"/>
      <c r="B78" s="44"/>
      <c r="C78" s="44" t="s">
        <v>86</v>
      </c>
      <c r="D78" s="44"/>
      <c r="E78" s="44"/>
      <c r="F78" s="44"/>
      <c r="G78" s="44"/>
      <c r="I78" s="44"/>
      <c r="J78" s="44"/>
      <c r="K78" s="44"/>
      <c r="L78" s="44"/>
      <c r="P78"/>
      <c r="Q78"/>
      <c r="R78"/>
      <c r="S78"/>
      <c r="T78"/>
      <c r="U78"/>
      <c r="V78"/>
    </row>
    <row r="79" spans="1:22" ht="11.25" customHeight="1" outlineLevel="1" thickBot="1">
      <c r="A79" s="14"/>
      <c r="B79" s="44" t="s">
        <v>51</v>
      </c>
      <c r="C79" s="44"/>
      <c r="D79" s="44"/>
      <c r="E79" s="44"/>
      <c r="F79" s="44"/>
      <c r="G79" s="44"/>
      <c r="I79" s="44"/>
      <c r="J79" s="44"/>
      <c r="K79" s="44"/>
      <c r="L79" s="44"/>
      <c r="P79"/>
      <c r="Q79"/>
      <c r="R79"/>
      <c r="S79"/>
      <c r="T79"/>
      <c r="U79"/>
      <c r="V79"/>
    </row>
    <row r="80" spans="1:22" ht="11.25" customHeight="1" outlineLevel="1">
      <c r="A80" s="14"/>
      <c r="B80" s="65" t="s">
        <v>52</v>
      </c>
      <c r="C80" s="65"/>
      <c r="D80" s="66"/>
      <c r="E80" s="66"/>
      <c r="F80" s="66"/>
      <c r="G80" s="66"/>
      <c r="H80" s="66"/>
      <c r="I80" s="44"/>
      <c r="J80" s="44"/>
      <c r="K80" s="44"/>
      <c r="L80" s="44"/>
      <c r="P80"/>
      <c r="Q80"/>
      <c r="R80"/>
      <c r="S80"/>
      <c r="T80"/>
      <c r="U80"/>
      <c r="V80"/>
    </row>
    <row r="81" spans="1:22" ht="30.6" customHeight="1" outlineLevel="1">
      <c r="A81" s="14"/>
      <c r="B81" s="67"/>
      <c r="C81" s="67"/>
      <c r="D81" s="85" t="s">
        <v>53</v>
      </c>
      <c r="E81" s="85" t="s">
        <v>54</v>
      </c>
      <c r="F81" s="85" t="s">
        <v>55</v>
      </c>
      <c r="G81" s="85" t="s">
        <v>56</v>
      </c>
      <c r="H81" s="85" t="s">
        <v>57</v>
      </c>
      <c r="I81" s="44"/>
      <c r="J81" s="44"/>
      <c r="K81" s="44"/>
      <c r="L81" s="44"/>
      <c r="P81"/>
      <c r="Q81"/>
      <c r="R81"/>
      <c r="S81"/>
      <c r="T81"/>
      <c r="U81"/>
      <c r="V81"/>
    </row>
    <row r="82" spans="1:22" ht="11.25" customHeight="1" outlineLevel="1">
      <c r="A82" s="14"/>
      <c r="B82" s="68"/>
      <c r="C82" s="68"/>
      <c r="D82" s="69"/>
      <c r="E82" s="70" t="s">
        <v>59</v>
      </c>
      <c r="F82" s="70" t="s">
        <v>60</v>
      </c>
      <c r="G82" s="70" t="s">
        <v>60</v>
      </c>
      <c r="H82" s="70" t="s">
        <v>60</v>
      </c>
      <c r="I82" s="44"/>
      <c r="J82" s="44"/>
      <c r="K82" s="44"/>
      <c r="L82" s="44"/>
      <c r="P82"/>
      <c r="Q82"/>
      <c r="R82"/>
      <c r="S82"/>
      <c r="T82"/>
      <c r="U82"/>
      <c r="V82"/>
    </row>
    <row r="83" spans="1:22" ht="11.25" customHeight="1" outlineLevel="1">
      <c r="A83" s="14"/>
      <c r="B83" s="71" t="s">
        <v>62</v>
      </c>
      <c r="C83" s="71"/>
      <c r="D83" s="72"/>
      <c r="E83" s="72"/>
      <c r="F83" s="72"/>
      <c r="G83" s="72"/>
      <c r="H83" s="72"/>
      <c r="I83" s="44"/>
      <c r="J83" s="44"/>
      <c r="K83" s="44"/>
      <c r="L83" s="44"/>
      <c r="P83"/>
      <c r="Q83"/>
      <c r="R83"/>
      <c r="S83"/>
      <c r="T83"/>
      <c r="U83"/>
      <c r="V83"/>
    </row>
    <row r="84" spans="1:22" ht="11.25" customHeight="1" outlineLevel="1">
      <c r="A84" s="14"/>
      <c r="B84" s="68"/>
      <c r="C84" s="68" t="s">
        <v>79</v>
      </c>
      <c r="D84" s="74">
        <v>0.05</v>
      </c>
      <c r="E84" s="75">
        <v>0.05</v>
      </c>
      <c r="F84" s="75">
        <v>0.08</v>
      </c>
      <c r="G84" s="75">
        <v>0.03</v>
      </c>
      <c r="H84" s="75">
        <v>0.05</v>
      </c>
      <c r="I84" s="44"/>
      <c r="J84" s="44"/>
      <c r="K84" s="44"/>
      <c r="L84" s="44"/>
      <c r="P84"/>
      <c r="Q84"/>
      <c r="R84"/>
      <c r="S84"/>
      <c r="T84"/>
      <c r="U84"/>
      <c r="V84"/>
    </row>
    <row r="85" spans="1:22" ht="11.25" customHeight="1" outlineLevel="1">
      <c r="A85" s="14"/>
      <c r="B85" s="68"/>
      <c r="C85" s="68" t="s">
        <v>80</v>
      </c>
      <c r="D85" s="74">
        <v>0.4</v>
      </c>
      <c r="E85" s="75">
        <v>0.4</v>
      </c>
      <c r="F85" s="75">
        <v>0.45</v>
      </c>
      <c r="G85" s="75">
        <v>0.32</v>
      </c>
      <c r="H85" s="75">
        <v>0.4</v>
      </c>
      <c r="I85" s="44"/>
      <c r="J85" s="44"/>
      <c r="K85" s="44"/>
      <c r="L85" s="44"/>
      <c r="P85"/>
      <c r="Q85"/>
      <c r="R85"/>
      <c r="S85"/>
      <c r="T85"/>
      <c r="U85"/>
      <c r="V85"/>
    </row>
    <row r="86" spans="1:22" ht="11.25" customHeight="1" outlineLevel="1">
      <c r="A86" s="14"/>
      <c r="B86" s="68"/>
      <c r="C86" s="68" t="s">
        <v>81</v>
      </c>
      <c r="D86" s="74">
        <v>0.27500000000000002</v>
      </c>
      <c r="E86" s="75">
        <v>0.27500000000000002</v>
      </c>
      <c r="F86" s="75">
        <v>0.3</v>
      </c>
      <c r="G86" s="75">
        <v>0.27500000000000002</v>
      </c>
      <c r="H86" s="75">
        <v>0.27500000000000002</v>
      </c>
      <c r="I86" s="44"/>
      <c r="J86" s="44"/>
      <c r="K86" s="44"/>
      <c r="L86" s="44"/>
      <c r="P86"/>
      <c r="Q86"/>
      <c r="R86"/>
      <c r="S86"/>
      <c r="T86"/>
      <c r="U86"/>
      <c r="V86"/>
    </row>
    <row r="87" spans="1:22" ht="11.25" customHeight="1" outlineLevel="1">
      <c r="A87" s="14"/>
      <c r="B87" s="68"/>
      <c r="C87" s="68" t="s">
        <v>82</v>
      </c>
      <c r="D87" s="76">
        <v>0.02</v>
      </c>
      <c r="E87" s="76">
        <v>0.02</v>
      </c>
      <c r="F87" s="76">
        <v>0.02</v>
      </c>
      <c r="G87" s="76">
        <v>0.02</v>
      </c>
      <c r="H87" s="77">
        <v>0.02</v>
      </c>
      <c r="I87" s="44"/>
      <c r="J87" s="44"/>
      <c r="K87" s="44"/>
      <c r="L87" s="44"/>
      <c r="P87"/>
      <c r="Q87"/>
      <c r="R87"/>
      <c r="S87"/>
      <c r="T87"/>
      <c r="U87"/>
      <c r="V87"/>
    </row>
    <row r="88" spans="1:22" ht="11.25" customHeight="1" outlineLevel="1">
      <c r="A88" s="14"/>
      <c r="B88" s="71" t="s">
        <v>63</v>
      </c>
      <c r="C88" s="71"/>
      <c r="D88" s="72"/>
      <c r="E88" s="72"/>
      <c r="F88" s="72"/>
      <c r="G88" s="72"/>
      <c r="H88" s="72"/>
      <c r="I88" s="44"/>
      <c r="J88" s="44"/>
      <c r="K88" s="44"/>
      <c r="L88" s="44"/>
      <c r="P88"/>
      <c r="Q88"/>
      <c r="R88"/>
      <c r="S88"/>
      <c r="T88"/>
      <c r="U88"/>
      <c r="V88"/>
    </row>
    <row r="89" spans="1:22" ht="11.25" customHeight="1" outlineLevel="1">
      <c r="A89" s="14"/>
      <c r="B89" s="68"/>
      <c r="C89" s="68" t="s">
        <v>83</v>
      </c>
      <c r="D89" s="74">
        <v>8.9632879147129599E-2</v>
      </c>
      <c r="E89" s="74">
        <v>8.9632879147129599E-2</v>
      </c>
      <c r="F89" s="74">
        <v>0.11964272037927499</v>
      </c>
      <c r="G89" s="74">
        <v>6.96260113672139E-2</v>
      </c>
      <c r="H89" s="74">
        <v>8.9632879147129599E-2</v>
      </c>
      <c r="I89" s="44"/>
      <c r="J89" s="44"/>
      <c r="K89" s="44"/>
      <c r="L89" s="44"/>
      <c r="P89"/>
      <c r="Q89"/>
      <c r="R89"/>
      <c r="S89"/>
      <c r="T89"/>
      <c r="U89"/>
      <c r="V89"/>
    </row>
    <row r="90" spans="1:22" ht="11.25" customHeight="1" outlineLevel="1">
      <c r="A90" s="14"/>
      <c r="B90" s="68"/>
      <c r="C90" s="68" t="s">
        <v>84</v>
      </c>
      <c r="D90" s="79">
        <v>4217152.2585078599</v>
      </c>
      <c r="E90" s="79">
        <v>4217152.2585078599</v>
      </c>
      <c r="F90" s="79">
        <v>4428197.9581593601</v>
      </c>
      <c r="G90" s="79">
        <v>4356480.0027417503</v>
      </c>
      <c r="H90" s="79">
        <v>4217152.2585078599</v>
      </c>
      <c r="I90" s="44"/>
      <c r="J90" s="44"/>
      <c r="K90" s="44"/>
      <c r="L90" s="44"/>
      <c r="P90"/>
      <c r="Q90"/>
      <c r="R90"/>
      <c r="S90"/>
      <c r="T90"/>
      <c r="U90"/>
      <c r="V90"/>
    </row>
    <row r="91" spans="1:22" ht="11.25" customHeight="1" outlineLevel="1">
      <c r="A91" s="14"/>
      <c r="B91" s="68"/>
      <c r="C91" s="68" t="s">
        <v>85</v>
      </c>
      <c r="D91" s="79">
        <v>2811434.8390052398</v>
      </c>
      <c r="E91" s="79">
        <v>2811434.8390052398</v>
      </c>
      <c r="F91" s="79">
        <v>3623071.0566758402</v>
      </c>
      <c r="G91" s="79">
        <v>2050108.23658435</v>
      </c>
      <c r="H91" s="79">
        <v>2811434.8390052398</v>
      </c>
      <c r="I91" s="44"/>
      <c r="J91" s="44"/>
      <c r="K91" s="44"/>
      <c r="L91" s="44"/>
      <c r="P91"/>
      <c r="Q91"/>
      <c r="R91"/>
      <c r="S91"/>
      <c r="T91"/>
      <c r="U91"/>
      <c r="V91"/>
    </row>
    <row r="92" spans="1:22" ht="11.25" customHeight="1" outlineLevel="1" thickBot="1">
      <c r="A92" s="14"/>
      <c r="B92" s="80"/>
      <c r="C92" s="80" t="s">
        <v>64</v>
      </c>
      <c r="D92" s="81">
        <v>1932861.4518160999</v>
      </c>
      <c r="E92" s="81">
        <v>1932861.4518160999</v>
      </c>
      <c r="F92" s="81">
        <v>2415380.7044505598</v>
      </c>
      <c r="G92" s="81">
        <v>1761811.7658146799</v>
      </c>
      <c r="H92" s="81">
        <v>1932861.4518160999</v>
      </c>
      <c r="I92" s="44"/>
      <c r="J92" s="44"/>
      <c r="K92" s="44"/>
      <c r="L92" s="44"/>
      <c r="P92"/>
      <c r="Q92"/>
      <c r="R92"/>
      <c r="S92"/>
      <c r="T92"/>
      <c r="U92"/>
      <c r="V92"/>
    </row>
    <row r="93" spans="1:22" ht="11.25" customHeight="1" outlineLevel="1">
      <c r="A93" s="14"/>
      <c r="B93" t="s">
        <v>66</v>
      </c>
      <c r="C93"/>
      <c r="D93"/>
      <c r="E93"/>
      <c r="F93"/>
      <c r="G93"/>
      <c r="H93"/>
      <c r="I93" s="44"/>
      <c r="J93" s="44"/>
      <c r="K93" s="44"/>
      <c r="L93" s="44"/>
      <c r="P93"/>
      <c r="Q93"/>
      <c r="R93"/>
      <c r="S93"/>
      <c r="T93"/>
      <c r="U93"/>
      <c r="V93"/>
    </row>
    <row r="94" spans="1:22" ht="11.25" customHeight="1" outlineLevel="1">
      <c r="A94" s="14"/>
      <c r="B94" t="s">
        <v>67</v>
      </c>
      <c r="C94"/>
      <c r="D94"/>
      <c r="E94"/>
      <c r="F94"/>
      <c r="G94"/>
      <c r="H94"/>
      <c r="I94" s="44"/>
      <c r="J94" s="44"/>
      <c r="K94" s="44"/>
      <c r="L94" s="44"/>
      <c r="P94"/>
      <c r="Q94"/>
      <c r="R94"/>
      <c r="S94"/>
      <c r="T94"/>
      <c r="U94"/>
      <c r="V94"/>
    </row>
    <row r="95" spans="1:22" ht="11.25" customHeight="1" outlineLevel="1">
      <c r="A95" s="14"/>
      <c r="B95" t="s">
        <v>68</v>
      </c>
      <c r="C95"/>
      <c r="D95"/>
      <c r="E95"/>
      <c r="F95"/>
      <c r="G95"/>
      <c r="H95"/>
      <c r="I95" s="44"/>
      <c r="J95" s="44"/>
      <c r="K95" s="44"/>
      <c r="L95" s="44"/>
      <c r="P95"/>
      <c r="Q95"/>
      <c r="R95"/>
      <c r="S95"/>
      <c r="T95"/>
      <c r="U95"/>
      <c r="V95"/>
    </row>
    <row r="96" spans="1:22" ht="11.25" customHeight="1" outlineLevel="1">
      <c r="A96" s="14"/>
      <c r="B96" s="53"/>
      <c r="C96" s="53"/>
      <c r="D96" s="54"/>
      <c r="E96" s="54"/>
      <c r="F96" s="44"/>
      <c r="G96" s="44"/>
      <c r="H96" s="44"/>
      <c r="I96" s="44"/>
      <c r="J96" s="44"/>
      <c r="K96" s="44"/>
      <c r="L96" s="44"/>
      <c r="P96"/>
      <c r="Q96"/>
      <c r="R96"/>
      <c r="S96"/>
      <c r="T96"/>
      <c r="U96"/>
      <c r="V96"/>
    </row>
    <row r="97" spans="1:22" ht="11.25" customHeight="1" outlineLevel="1">
      <c r="A97" s="14"/>
      <c r="B97" s="53"/>
      <c r="C97" s="53"/>
      <c r="D97" s="54"/>
      <c r="E97" s="54"/>
      <c r="F97" s="44"/>
      <c r="G97" s="44"/>
      <c r="H97" s="44"/>
      <c r="I97" s="44"/>
      <c r="J97" s="44"/>
      <c r="K97" s="44"/>
      <c r="L97" s="44"/>
      <c r="P97"/>
      <c r="Q97"/>
      <c r="R97"/>
      <c r="S97"/>
      <c r="T97"/>
      <c r="U97"/>
      <c r="V97"/>
    </row>
    <row r="98" spans="1:22" ht="13.9" customHeight="1"/>
    <row r="99" spans="1:22" ht="13.9" customHeight="1"/>
    <row r="100" spans="1:22" ht="13.9" customHeight="1"/>
    <row r="101" spans="1:22" ht="13.9" customHeight="1"/>
    <row r="102" spans="1:22" ht="13.9" customHeight="1"/>
    <row r="103" spans="1:22" ht="13.9" customHeight="1"/>
    <row r="104" spans="1:22" ht="13.9" customHeight="1"/>
    <row r="105" spans="1:22" ht="13.9" customHeight="1"/>
    <row r="106" spans="1:22" ht="13.9" customHeight="1"/>
    <row r="107" spans="1:22" ht="13.9" customHeight="1"/>
    <row r="108" spans="1:22" ht="13.9" customHeight="1"/>
    <row r="109" spans="1:22" ht="13.9" customHeight="1"/>
    <row r="110" spans="1:22" ht="13.9" customHeight="1"/>
    <row r="111" spans="1:22" ht="13.9" customHeight="1"/>
    <row r="112" spans="1:22" ht="13.9" customHeight="1"/>
    <row r="113" ht="13.9" customHeight="1"/>
    <row r="114" ht="13.9" customHeight="1"/>
    <row r="115" ht="13.9" customHeight="1"/>
    <row r="116" ht="13.9" customHeight="1"/>
    <row r="117" ht="13.9" customHeight="1"/>
    <row r="118" ht="13.9" customHeight="1"/>
    <row r="119" ht="13.9" customHeight="1"/>
    <row r="120" ht="13.9" customHeight="1"/>
    <row r="121" ht="13.9" customHeight="1"/>
    <row r="122" ht="13.9" customHeight="1"/>
    <row r="123" ht="13.9" customHeight="1"/>
    <row r="124" ht="13.9" customHeight="1"/>
    <row r="125" ht="13.9" customHeight="1"/>
    <row r="126" ht="13.9" customHeight="1"/>
    <row r="127" ht="13.9" customHeight="1"/>
    <row r="128" ht="13.9" customHeight="1"/>
    <row r="129" ht="13.9" customHeight="1"/>
    <row r="130" ht="13.9" customHeight="1"/>
    <row r="131" ht="13.9" customHeight="1"/>
    <row r="132" ht="13.9" customHeight="1"/>
    <row r="133" ht="13.9" customHeight="1"/>
    <row r="134" ht="13.9" customHeight="1"/>
    <row r="135" ht="13.9" customHeight="1"/>
    <row r="136" ht="13.9" customHeight="1"/>
    <row r="137" ht="13.9" customHeight="1"/>
    <row r="138" ht="13.9" customHeight="1"/>
    <row r="139" ht="13.9" customHeight="1"/>
    <row r="140" ht="13.9" customHeight="1"/>
    <row r="141" ht="13.9" customHeight="1"/>
    <row r="142" ht="13.9" customHeight="1"/>
    <row r="143" ht="13.9" customHeight="1"/>
    <row r="144" ht="13.9" customHeight="1"/>
    <row r="145" ht="13.9" customHeight="1"/>
    <row r="146" ht="13.9" customHeight="1"/>
    <row r="147" ht="13.9" customHeight="1"/>
    <row r="148" ht="13.9" customHeight="1"/>
    <row r="149" ht="13.9" customHeight="1"/>
    <row r="150" ht="13.9" customHeight="1"/>
    <row r="151" ht="13.9" customHeight="1"/>
    <row r="152" ht="13.9" customHeight="1"/>
    <row r="153" ht="13.9" customHeight="1"/>
    <row r="154" ht="13.9" customHeight="1"/>
    <row r="155" ht="13.9" customHeight="1"/>
    <row r="156" ht="13.9" customHeight="1"/>
    <row r="157" ht="13.9" customHeight="1"/>
    <row r="158" ht="13.9" customHeight="1"/>
    <row r="159" ht="13.9" customHeight="1"/>
    <row r="160" ht="13.9" customHeight="1"/>
    <row r="161" ht="13.9" customHeight="1"/>
    <row r="162" ht="13.9" customHeight="1"/>
    <row r="163" ht="13.9" customHeight="1"/>
    <row r="164" ht="13.9" customHeight="1"/>
    <row r="165" ht="13.9" customHeight="1"/>
    <row r="166" ht="13.9" customHeight="1"/>
    <row r="167" ht="13.9" customHeight="1"/>
    <row r="168" ht="13.9" customHeight="1"/>
    <row r="169" ht="13.9" customHeight="1"/>
    <row r="170" ht="13.9" customHeight="1"/>
    <row r="171" ht="13.9" customHeight="1"/>
    <row r="172" ht="13.9" customHeight="1"/>
    <row r="173" ht="13.9" customHeight="1"/>
    <row r="174" ht="13.9" customHeight="1"/>
    <row r="175" ht="13.9" customHeight="1"/>
    <row r="176" ht="13.9" customHeight="1"/>
    <row r="177" ht="13.9" customHeight="1"/>
    <row r="178" ht="13.9" customHeight="1"/>
    <row r="179" ht="13.9" customHeight="1"/>
    <row r="180" ht="13.9" customHeight="1"/>
    <row r="181" ht="13.9" customHeight="1"/>
    <row r="182" ht="13.9" customHeight="1"/>
    <row r="183" ht="13.9" customHeight="1"/>
    <row r="184" ht="13.9" customHeight="1"/>
    <row r="185" ht="13.9" customHeight="1"/>
    <row r="186" ht="13.9" customHeight="1"/>
    <row r="187" ht="13.9" customHeight="1"/>
    <row r="188" ht="13.9" customHeight="1"/>
    <row r="189" ht="13.9" customHeight="1"/>
    <row r="190" ht="13.9" customHeight="1"/>
    <row r="191" ht="13.9" customHeight="1"/>
    <row r="192" ht="13.9" customHeight="1"/>
    <row r="193" ht="13.9" customHeight="1"/>
    <row r="194" ht="13.9" customHeight="1"/>
    <row r="195" ht="13.9" customHeight="1"/>
    <row r="196" ht="13.9" customHeight="1"/>
    <row r="197" ht="13.9" customHeight="1"/>
    <row r="198" ht="13.9" customHeight="1"/>
    <row r="199" ht="13.9" customHeight="1"/>
    <row r="200" ht="13.9" customHeight="1"/>
    <row r="201" ht="13.9" customHeight="1"/>
    <row r="202" ht="13.9" customHeight="1"/>
    <row r="203" ht="13.9" customHeight="1"/>
    <row r="204" ht="13.9" customHeight="1"/>
    <row r="205" ht="13.9" customHeight="1"/>
    <row r="206" ht="13.9" customHeight="1"/>
    <row r="207" ht="13.9" customHeight="1"/>
    <row r="208" ht="13.9" customHeight="1"/>
    <row r="209" ht="13.9" customHeight="1"/>
    <row r="210" ht="13.9" customHeight="1"/>
    <row r="211" ht="13.9" customHeight="1"/>
    <row r="212" ht="13.9" customHeight="1"/>
    <row r="213" ht="13.9" customHeight="1"/>
    <row r="214" ht="13.9" customHeight="1"/>
    <row r="215" ht="13.9" customHeight="1"/>
    <row r="216" ht="13.9" customHeight="1"/>
    <row r="217" ht="13.9" customHeight="1"/>
    <row r="218" ht="13.9" customHeight="1"/>
    <row r="219" ht="13.9" customHeight="1"/>
    <row r="220" ht="13.9" customHeight="1"/>
    <row r="221" ht="13.9" customHeight="1"/>
    <row r="222" ht="13.9" customHeight="1"/>
    <row r="223" ht="13.9" customHeight="1"/>
    <row r="224" ht="13.9" customHeight="1"/>
    <row r="225" ht="13.9" customHeight="1"/>
    <row r="226" ht="13.9" customHeight="1"/>
    <row r="227" ht="13.9" customHeight="1"/>
    <row r="228" ht="13.9" customHeight="1"/>
    <row r="229" ht="13.9" customHeight="1"/>
    <row r="230" ht="13.9" customHeight="1"/>
    <row r="231" ht="13.9" customHeight="1"/>
    <row r="232" ht="13.9" customHeight="1"/>
    <row r="233" ht="13.9" customHeight="1"/>
    <row r="234" ht="13.9" customHeight="1"/>
    <row r="235" ht="13.9" customHeight="1"/>
    <row r="236" ht="13.9" customHeight="1"/>
    <row r="237" ht="13.9" customHeight="1"/>
    <row r="238" ht="13.9" customHeight="1"/>
    <row r="239" ht="13.9" customHeight="1"/>
    <row r="240" ht="13.9" customHeight="1"/>
    <row r="241" ht="13.9" customHeight="1"/>
    <row r="242" ht="13.9" customHeight="1"/>
    <row r="243" ht="13.9" customHeight="1"/>
    <row r="244" ht="13.9" customHeight="1"/>
    <row r="245" ht="13.9" customHeight="1"/>
    <row r="246" ht="13.9" customHeight="1"/>
    <row r="247" ht="13.9" customHeight="1"/>
    <row r="248" ht="13.9" customHeight="1"/>
    <row r="249" ht="13.9" customHeight="1"/>
    <row r="250" ht="13.9" customHeight="1"/>
    <row r="251" ht="13.9" customHeight="1"/>
    <row r="252" ht="13.9" customHeight="1"/>
    <row r="253" ht="13.9" customHeight="1"/>
    <row r="254" ht="13.9" customHeight="1"/>
    <row r="255" ht="13.9" customHeight="1"/>
    <row r="256" ht="13.9" customHeight="1"/>
    <row r="257" ht="13.9" customHeight="1"/>
    <row r="258" ht="13.9" customHeight="1"/>
    <row r="259" ht="13.9" customHeight="1"/>
    <row r="260" ht="13.9" customHeight="1"/>
    <row r="261" ht="13.9" customHeight="1"/>
    <row r="262" ht="13.9" customHeight="1"/>
    <row r="263" ht="13.9" customHeight="1"/>
    <row r="264" ht="13.9" customHeight="1"/>
    <row r="265" ht="13.9" customHeight="1"/>
    <row r="266" ht="13.9" customHeight="1"/>
    <row r="267" ht="13.9" customHeight="1"/>
    <row r="268" ht="13.9" customHeight="1"/>
    <row r="269" ht="13.9" customHeight="1"/>
    <row r="270" ht="13.9" customHeight="1"/>
    <row r="271" ht="13.9" customHeight="1"/>
    <row r="272" ht="13.9" customHeight="1"/>
    <row r="273" ht="13.9" customHeight="1"/>
    <row r="274" ht="13.9" customHeight="1"/>
    <row r="275" ht="13.9" customHeight="1"/>
    <row r="276" ht="13.9" customHeight="1"/>
    <row r="277" ht="13.9" customHeight="1"/>
    <row r="278" ht="13.9" customHeight="1"/>
    <row r="279" ht="13.9" customHeight="1"/>
    <row r="280" ht="13.9" customHeight="1"/>
    <row r="281" ht="13.9" customHeight="1"/>
    <row r="282" ht="13.9" customHeight="1"/>
    <row r="283" ht="13.9" customHeight="1"/>
    <row r="284" ht="13.9" customHeight="1"/>
    <row r="285" ht="13.9" customHeight="1"/>
    <row r="286" ht="13.9" customHeight="1"/>
    <row r="287" ht="13.9" customHeight="1"/>
    <row r="288" ht="13.9" customHeight="1"/>
    <row r="289" ht="13.9" customHeight="1"/>
    <row r="290" ht="13.9" customHeight="1"/>
    <row r="291" ht="13.9" customHeight="1"/>
    <row r="292" ht="13.9" customHeight="1"/>
    <row r="293" ht="13.9" customHeight="1"/>
    <row r="294" ht="13.9" customHeight="1"/>
    <row r="295" ht="13.9" customHeight="1"/>
    <row r="296" ht="13.9" customHeight="1"/>
    <row r="297" ht="13.9" customHeight="1"/>
    <row r="298" ht="13.9" customHeight="1"/>
    <row r="299" ht="13.9" customHeight="1"/>
    <row r="300" ht="13.9" customHeight="1"/>
    <row r="301" ht="13.9" customHeight="1"/>
    <row r="302" ht="13.9" customHeight="1"/>
    <row r="303" ht="13.9" customHeight="1"/>
    <row r="304" ht="13.9" customHeight="1"/>
    <row r="305" ht="13.9" customHeight="1"/>
    <row r="306" ht="13.9" customHeight="1"/>
    <row r="307" ht="13.9" customHeight="1"/>
    <row r="308" ht="13.9" customHeight="1"/>
    <row r="309" ht="13.9" customHeight="1"/>
    <row r="310" ht="13.9" customHeight="1"/>
    <row r="311" ht="13.9" customHeight="1"/>
    <row r="312" ht="13.9" customHeight="1"/>
    <row r="313" ht="13.9" customHeight="1"/>
    <row r="314" ht="13.9" customHeight="1"/>
    <row r="315" ht="13.9" customHeight="1"/>
    <row r="316" ht="13.9" customHeight="1"/>
    <row r="317" ht="13.9" customHeight="1"/>
    <row r="318" ht="13.9" customHeight="1"/>
    <row r="319" ht="13.9" customHeight="1"/>
    <row r="320" ht="13.9" customHeight="1"/>
    <row r="321" ht="13.9" customHeight="1"/>
  </sheetData>
  <scenarios current="1" show="3">
    <scenario name="Normal" locked="1" count="3" user="Chang Xu" comment="Created by Chang Xu on 11/1/2016">
      <inputCells r="F66" val="0.05" numFmtId="171"/>
      <inputCells r="F67" val="0.4" numFmtId="171"/>
      <inputCells r="F68" val="0.275" numFmtId="171"/>
    </scenario>
    <scenario name="High Growth with Margin Impact" locked="1" count="3" user="Chang Xu" comment="Created by Chang Xu on 11/1/2016">
      <inputCells r="F66" val="0.08" numFmtId="171"/>
      <inputCells r="F67" val="0.45" numFmtId="171"/>
      <inputCells r="F68" val="0.3" numFmtId="171"/>
    </scenario>
    <scenario name="Low Growth with Margin Impact" locked="1" count="3" user="Chang Xu" comment="Created by Chang Xu on 11/1/2016">
      <inputCells r="F66" val="0.03" numFmtId="171"/>
      <inputCells r="F67" val="0.32" numFmtId="171"/>
      <inputCells r="F68" val="0.275" numFmtId="171"/>
    </scenario>
    <scenario name="Exploding Market Growth" locked="1" count="4" user="Chang Xu" comment="Created by Chang Xu on 11/1/2016">
      <inputCells r="F66" val="0.05" numFmtId="171"/>
      <inputCells r="F67" val="0.4" numFmtId="171"/>
      <inputCells r="F68" val="0.275" numFmtId="171"/>
      <inputCells r="K66" val="0.02" numFmtId="9"/>
    </scenario>
  </scenario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Group Box 1">
              <controlPr defaultSize="0" autoFill="0" autoPict="0">
                <anchor>
                  <from>
                    <xdr:col>3</xdr:col>
                    <xdr:colOff>857250</xdr:colOff>
                    <xdr:row>24</xdr:row>
                    <xdr:rowOff>114300</xdr:rowOff>
                  </from>
                  <to>
                    <xdr:col>7</xdr:col>
                    <xdr:colOff>904875</xdr:colOff>
                    <xdr:row>31</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
  <sheetViews>
    <sheetView showGridLines="0" zoomScale="80" zoomScaleNormal="80" workbookViewId="0">
      <selection activeCell="B5" sqref="B5"/>
    </sheetView>
  </sheetViews>
  <sheetFormatPr defaultRowHeight="12"/>
  <cols>
    <col min="1" max="1" width="16.42578125" customWidth="1"/>
    <col min="2" max="2" width="21.42578125" customWidth="1"/>
    <col min="3" max="3" width="21.85546875" customWidth="1"/>
    <col min="4" max="4" width="18.42578125" customWidth="1"/>
  </cols>
  <sheetData>
    <row r="1" spans="1:3">
      <c r="A1" t="s">
        <v>71</v>
      </c>
    </row>
    <row r="2" spans="1:3">
      <c r="A2" t="s">
        <v>77</v>
      </c>
      <c r="B2" t="str">
        <f>'ANS Exercise 1 - 6'!$B$189&amp;" Histogram"</f>
        <v>Summary Information Histogram</v>
      </c>
    </row>
    <row r="3" spans="1:3">
      <c r="A3" t="s">
        <v>72</v>
      </c>
      <c r="B3">
        <f ca="1">MIN('ANS Exercise 1 - 6'!$J$182:$J$271)</f>
        <v>-1839899.0689352434</v>
      </c>
    </row>
    <row r="4" spans="1:3">
      <c r="A4" t="s">
        <v>73</v>
      </c>
      <c r="B4">
        <f ca="1">MAX('ANS Exercise 1 - 6'!$J$182:$J$271)</f>
        <v>4542116.2122784089</v>
      </c>
    </row>
    <row r="5" spans="1:3">
      <c r="A5" t="s">
        <v>74</v>
      </c>
      <c r="B5">
        <v>5</v>
      </c>
    </row>
    <row r="6" spans="1:3">
      <c r="A6" t="s">
        <v>75</v>
      </c>
      <c r="B6" s="108">
        <f ca="1">(B4-B3)/B5</f>
        <v>1276403.0562427305</v>
      </c>
    </row>
    <row r="9" spans="1:3" ht="14.25">
      <c r="A9" s="21" t="s">
        <v>70</v>
      </c>
      <c r="B9" s="21" t="s">
        <v>76</v>
      </c>
      <c r="C9" s="21" t="s">
        <v>78</v>
      </c>
    </row>
    <row r="10" spans="1:3">
      <c r="A10" s="84">
        <f ca="1">B3</f>
        <v>-1839899.0689352434</v>
      </c>
      <c r="B10">
        <f ca="1">COUNTIFS('ANS Exercise 1 - 6'!$J$182:$J$271,"&gt;="&amp;A10,'ANS Exercise 1 - 6'!$J$182:$J$271,"&lt;"&amp;A11)</f>
        <v>6</v>
      </c>
      <c r="C10" s="84" t="str">
        <f ca="1">TEXT(A10, "$#,#;($#,#)")&amp;" to "&amp;TEXT(A11-1,"$#,#;($#,#)")</f>
        <v>($1,839,899) to ($563,497)</v>
      </c>
    </row>
    <row r="11" spans="1:3">
      <c r="A11" s="84">
        <f ca="1">A10+$B$6</f>
        <v>-563496.01269251294</v>
      </c>
      <c r="B11">
        <f ca="1">COUNTIFS('ANS Exercise 1 - 6'!$J$182:$J$271,"&gt;="&amp;A11,'ANS Exercise 1 - 6'!$J$182:$J$271,"&lt;"&amp;A12)</f>
        <v>3</v>
      </c>
      <c r="C11" s="84" t="str">
        <f t="shared" ref="C11:C15" ca="1" si="0">TEXT(A11, "$#,#;($#,#)")&amp;" to "&amp;TEXT(A12-1,"$#,#;($#,#)")</f>
        <v>($563,496) to ($1)</v>
      </c>
    </row>
    <row r="12" spans="1:3">
      <c r="A12" s="84">
        <v>0</v>
      </c>
      <c r="B12">
        <f ca="1">COUNTIFS('ANS Exercise 1 - 6'!$J$182:$J$271,"&gt;="&amp;A12,'ANS Exercise 1 - 6'!$J$182:$J$271,"&lt;"&amp;A13)</f>
        <v>13</v>
      </c>
      <c r="C12" s="84" t="str">
        <f ca="1">"$0"&amp;" to "&amp;TEXT(A13-1,"$#,#;($#,#)")</f>
        <v>$0 to $712,906</v>
      </c>
    </row>
    <row r="13" spans="1:3">
      <c r="A13" s="84">
        <f ca="1">A11+$B$6</f>
        <v>712907.04355021752</v>
      </c>
      <c r="B13">
        <f ca="1">COUNTIFS('ANS Exercise 1 - 6'!$J$182:$J$271,"&gt;="&amp;A13,'ANS Exercise 1 - 6'!$J$182:$J$271,"&lt;"&amp;A14)</f>
        <v>32</v>
      </c>
      <c r="C13" s="84" t="str">
        <f t="shared" ca="1" si="0"/>
        <v>$712,907 to $1,989,309</v>
      </c>
    </row>
    <row r="14" spans="1:3">
      <c r="A14" s="84">
        <f t="shared" ref="A14:A16" ca="1" si="1">A13+$B$6</f>
        <v>1989310.099792948</v>
      </c>
      <c r="B14">
        <f ca="1">COUNTIFS('ANS Exercise 1 - 6'!$J$182:$J$271,"&gt;="&amp;A14,'ANS Exercise 1 - 6'!$J$182:$J$271,"&lt;"&amp;A15)</f>
        <v>21</v>
      </c>
      <c r="C14" s="84" t="str">
        <f t="shared" ca="1" si="0"/>
        <v>$1,989,310 to $3,265,712</v>
      </c>
    </row>
    <row r="15" spans="1:3">
      <c r="A15" s="84">
        <f t="shared" ca="1" si="1"/>
        <v>3265713.1560356785</v>
      </c>
      <c r="B15">
        <f ca="1">COUNTIFS('ANS Exercise 1 - 6'!$J$182:$J$271,"&gt;="&amp;A15,'ANS Exercise 1 - 6'!$J$182:$J$271,"&lt;="&amp;A16)</f>
        <v>15</v>
      </c>
      <c r="C15" s="84" t="str">
        <f t="shared" ca="1" si="0"/>
        <v>$3,265,713 to $4,542,115</v>
      </c>
    </row>
    <row r="16" spans="1:3">
      <c r="A16" s="84">
        <f t="shared" ca="1" si="1"/>
        <v>4542116.2122784089</v>
      </c>
      <c r="C16" s="84"/>
    </row>
    <row r="17" spans="1:3" ht="12.75">
      <c r="A17" s="84"/>
      <c r="C17" s="1"/>
    </row>
    <row r="19" spans="1:3">
      <c r="A19"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Page</vt:lpstr>
      <vt:lpstr>Exercises&gt;&gt;&gt;</vt:lpstr>
      <vt:lpstr>Scenario Summary</vt:lpstr>
      <vt:lpstr>ANS Exercise 1 - 6</vt:lpstr>
      <vt:lpstr>Section 1 - Student Exercises</vt:lpstr>
      <vt:lpstr>List Data</vt:lpstr>
      <vt:lpstr>Likelihood_bins</vt:lpstr>
      <vt:lpstr>Max_Cost_per_Mile</vt:lpstr>
      <vt:lpstr>Min_Cost_per_Mile</vt:lpstr>
      <vt:lpstr>Revenue_Per_Passenger</vt:lpstr>
      <vt:lpstr>Total_Miles</vt:lpstr>
      <vt:lpstr>wq</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Jacobs</dc:creator>
  <cp:lastModifiedBy>Yehia Hossam</cp:lastModifiedBy>
  <dcterms:created xsi:type="dcterms:W3CDTF">2016-06-22T22:01:00Z</dcterms:created>
  <dcterms:modified xsi:type="dcterms:W3CDTF">2022-08-25T17:30:03Z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rt_NotesFontSize">
    <vt:lpwstr>8</vt:lpwstr>
  </property>
  <property fmtid="{D5CDD505-2E9C-101B-9397-08002B2CF9AE}" pid="4" name="Smrt_WorkbookThemeColor">
    <vt:lpwstr>PwC Maroon</vt:lpwstr>
  </property>
  <property fmtid="{D5CDD505-2E9C-101B-9397-08002B2CF9AE}" pid="5" name="Smrt_WorkbookNumberDisplay">
    <vt:lpwstr>0</vt:lpwstr>
  </property>
  <property fmtid="{D5CDD505-2E9C-101B-9397-08002B2CF9AE}" pid="6" name="Smrt_WorkbookPercentageDisplay">
    <vt:lpwstr>0</vt:lpwstr>
  </property>
</Properties>
</file>