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informacion\Desktop\Yeimi_MC\ESCRI\Electrónica_Yeimi\YEIMI MUÑOZ\Sistemas Analogicos II\Analógicos II\Practicas\"/>
    </mc:Choice>
  </mc:AlternateContent>
  <bookViews>
    <workbookView xWindow="-120" yWindow="-120" windowWidth="20730" windowHeight="11160"/>
  </bookViews>
  <sheets>
    <sheet name="Grupo 2" sheetId="2"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32" i="2" l="1"/>
  <c r="L31" i="2"/>
  <c r="L30" i="2"/>
  <c r="L29" i="2"/>
  <c r="L28" i="2"/>
  <c r="L27" i="2"/>
  <c r="L26" i="2"/>
  <c r="L25" i="2"/>
  <c r="L24" i="2"/>
  <c r="L23" i="2"/>
  <c r="M27" i="2" l="1"/>
  <c r="M31" i="2"/>
  <c r="M28" i="2"/>
  <c r="M29" i="2"/>
  <c r="M30" i="2"/>
  <c r="M32" i="2"/>
  <c r="B17" i="2"/>
  <c r="D13" i="2"/>
  <c r="A20" i="2"/>
  <c r="B20" i="2" l="1"/>
  <c r="E20" i="2" l="1"/>
  <c r="D20" i="2"/>
  <c r="C20" i="2"/>
  <c r="K20" i="2"/>
  <c r="B30" i="2" l="1"/>
  <c r="C30" i="2" s="1"/>
  <c r="D30" i="2" s="1"/>
  <c r="B26" i="2"/>
  <c r="C26" i="2" s="1"/>
  <c r="D26" i="2" s="1"/>
  <c r="B31" i="2"/>
  <c r="C31" i="2" s="1"/>
  <c r="D31" i="2" s="1"/>
  <c r="F31" i="2" s="1"/>
  <c r="J31" i="2" s="1"/>
  <c r="B25" i="2"/>
  <c r="C25" i="2" s="1"/>
  <c r="D25" i="2" s="1"/>
  <c r="E23" i="2"/>
  <c r="B28" i="2"/>
  <c r="C28" i="2" s="1"/>
  <c r="D28" i="2" s="1"/>
  <c r="B32" i="2"/>
  <c r="C32" i="2" s="1"/>
  <c r="D32" i="2" s="1"/>
  <c r="B24" i="2"/>
  <c r="C24" i="2" s="1"/>
  <c r="D24" i="2" s="1"/>
  <c r="B27" i="2"/>
  <c r="C27" i="2" s="1"/>
  <c r="D27" i="2" s="1"/>
  <c r="B29" i="2"/>
  <c r="C29" i="2" s="1"/>
  <c r="D29" i="2" s="1"/>
  <c r="B23" i="2"/>
  <c r="C23" i="2" s="1"/>
  <c r="D23" i="2" s="1"/>
  <c r="F23" i="2" s="1"/>
  <c r="J23" i="2" s="1"/>
  <c r="M20" i="2"/>
  <c r="O20" i="2" s="1"/>
  <c r="E31" i="2"/>
  <c r="E27" i="2"/>
  <c r="E30" i="2"/>
  <c r="E26" i="2"/>
  <c r="L20" i="2"/>
  <c r="N20" i="2" s="1"/>
  <c r="E28" i="2"/>
  <c r="E32" i="2"/>
  <c r="E24" i="2"/>
  <c r="E29" i="2"/>
  <c r="E25" i="2"/>
  <c r="B15" i="2"/>
  <c r="D14" i="2"/>
  <c r="B16" i="2" s="1"/>
  <c r="F29" i="2" l="1"/>
  <c r="J29" i="2" s="1"/>
  <c r="F26" i="2"/>
  <c r="J26" i="2" s="1"/>
  <c r="F30" i="2"/>
  <c r="J30" i="2" s="1"/>
  <c r="F28" i="2"/>
  <c r="J28" i="2" s="1"/>
  <c r="F27" i="2"/>
  <c r="J27" i="2" s="1"/>
  <c r="F24" i="2"/>
  <c r="J24" i="2" s="1"/>
  <c r="F25" i="2"/>
  <c r="J25" i="2" s="1"/>
  <c r="F32" i="2"/>
  <c r="J32" i="2" s="1"/>
  <c r="G23" i="2"/>
  <c r="M23" i="2"/>
  <c r="G32" i="2"/>
  <c r="G30" i="2"/>
  <c r="G25" i="2"/>
  <c r="G28" i="2"/>
  <c r="G27" i="2"/>
  <c r="G31" i="2"/>
  <c r="G29" i="2"/>
  <c r="G24" i="2"/>
  <c r="G26" i="2"/>
  <c r="M26" i="2"/>
  <c r="M24" i="2" l="1"/>
  <c r="M25" i="2"/>
</calcChain>
</file>

<file path=xl/sharedStrings.xml><?xml version="1.0" encoding="utf-8"?>
<sst xmlns="http://schemas.openxmlformats.org/spreadsheetml/2006/main" count="69" uniqueCount="65">
  <si>
    <t>Vce</t>
  </si>
  <si>
    <t>Vcc</t>
  </si>
  <si>
    <t>VBE</t>
  </si>
  <si>
    <t>RC</t>
  </si>
  <si>
    <t>RE</t>
  </si>
  <si>
    <t>R1</t>
  </si>
  <si>
    <t>Beta</t>
  </si>
  <si>
    <t>IC (mA)</t>
  </si>
  <si>
    <t>RL</t>
  </si>
  <si>
    <t>re</t>
  </si>
  <si>
    <t>IC medida</t>
  </si>
  <si>
    <t>Vce medido</t>
  </si>
  <si>
    <t>Vo(AC) medido</t>
  </si>
  <si>
    <t>f</t>
  </si>
  <si>
    <t>C1</t>
  </si>
  <si>
    <t>C3</t>
  </si>
  <si>
    <t>microF</t>
  </si>
  <si>
    <t>R2</t>
  </si>
  <si>
    <t>R1||R2</t>
  </si>
  <si>
    <t>Preguntas</t>
  </si>
  <si>
    <t>Conclusiones:</t>
  </si>
  <si>
    <r>
      <t>IB(</t>
    </r>
    <r>
      <rPr>
        <b/>
        <sz val="11"/>
        <color theme="1"/>
        <rFont val="Calibri"/>
        <family val="2"/>
      </rPr>
      <t>µA</t>
    </r>
    <r>
      <rPr>
        <b/>
        <sz val="11"/>
        <color theme="1"/>
        <rFont val="Calibri"/>
        <family val="2"/>
        <scheme val="minor"/>
      </rPr>
      <t>)</t>
    </r>
  </si>
  <si>
    <t>Resultado de aprendizaje</t>
  </si>
  <si>
    <t>Competencia a evaluar</t>
  </si>
  <si>
    <t>Tipo de competencia</t>
  </si>
  <si>
    <t>Programa</t>
  </si>
  <si>
    <t>Institucional (Investigación)</t>
  </si>
  <si>
    <t>Institucional (Pensamiento matemático)</t>
  </si>
  <si>
    <t xml:space="preserve">Detecta las fallas comunes por las que el funcionamiento de una configuración de circuito no sea satisfactorio de acuerdo a unas especificaciones de diseño, mediante las mediciones de las señales de entrada y salida.
</t>
  </si>
  <si>
    <t>Identifica, formula y resolve problemas complejos de la ingeniería electrónica, mediante la aplicación de los principios de la ciencia, las matemáticas y la ingeniería.</t>
  </si>
  <si>
    <t>Desarrolla y conduce experimentos, y analiza datos, para extraer conclusiones con criterio ingenieril.</t>
  </si>
  <si>
    <t>Parámetros del amplificador</t>
  </si>
  <si>
    <t>Evalúa qué tipo de procedimientos y estrategias matemáticas pueden ser útiles para calcular las respuestas de un sistema analógico que involucre componentes discretos como el transistor BJT.</t>
  </si>
  <si>
    <t>Evidencias de las señales de entrada y salida en AC</t>
  </si>
  <si>
    <t>Analiza e interpreta las características estáticas, dinámicas y funcionales del transistor BJT  y las considera para posteriores diseños, solución e implementación de un sistema electrónico funcional.</t>
  </si>
  <si>
    <t>Av medida</t>
  </si>
  <si>
    <t>AMPLIFICADOR BJT REALIMENTADO</t>
  </si>
  <si>
    <t xml:space="preserve">Utiliza la realimentación para modificar características de los amplificadores como la ganancia y el ancho de banda para disminuir la distorsión, inestabilidad y el ruido. </t>
  </si>
  <si>
    <t>Rs</t>
  </si>
  <si>
    <t>C2</t>
  </si>
  <si>
    <t>(Rs||R1||R2)/B +re</t>
  </si>
  <si>
    <t>IB medida</t>
  </si>
  <si>
    <t>io/vi</t>
  </si>
  <si>
    <t>io/vi (C2=0)</t>
  </si>
  <si>
    <r>
      <t>io/vi (C2=</t>
    </r>
    <r>
      <rPr>
        <b/>
        <sz val="11"/>
        <color theme="1"/>
        <rFont val="Symbol"/>
        <family val="1"/>
        <charset val="2"/>
      </rPr>
      <t>¥</t>
    </r>
    <r>
      <rPr>
        <b/>
        <sz val="11"/>
        <color theme="1"/>
        <rFont val="Calibri"/>
        <family val="2"/>
        <scheme val="minor"/>
      </rPr>
      <t>)</t>
    </r>
  </si>
  <si>
    <t>1. ¿Para qué valor de C2 el amplificador  se encuentra trabajando en lazo abierto?</t>
  </si>
  <si>
    <t>2. ¿Para qué valor de C2 el amplificador  se encuentra trabajando en lazo cerrado</t>
  </si>
  <si>
    <t>VE</t>
  </si>
  <si>
    <t>VC</t>
  </si>
  <si>
    <t>VE medido</t>
  </si>
  <si>
    <t>VC medido</t>
  </si>
  <si>
    <t>io/vi medido</t>
  </si>
  <si>
    <t>4. ¿Cuál es el efecto de C2 en la ganancia del amplificador? Argumente su respuesta</t>
  </si>
  <si>
    <t>5. Realice una explicación de los resultados obtenidos, teniendo en cuenta el siguiente interrogante ¿Los valores medidos son iguales a los calculados? De ser negativa la respuesta anterior analice ¿Los valores son comparables o difieren bastante entre sí? ¿Las diferencias son aceptables dentro de los márgenes de error esperados? Explique por qué se presentan diferencias entre estos valores teniendo en cuenta el principio de funcionamiento de los elementos del circuito y el método de análisis usado para obtener las respuestas deseadas.</t>
  </si>
  <si>
    <t>3. ¿Los cambios de C2 afectan la polarización del amplificador?</t>
  </si>
  <si>
    <t>Vi(AC)(Vpp)</t>
  </si>
  <si>
    <t>Vo(AC) (Vpp)</t>
  </si>
  <si>
    <t>Vi(AC) Ajustado (Vpp)</t>
  </si>
  <si>
    <t>Av Total</t>
  </si>
  <si>
    <t>Ren</t>
  </si>
  <si>
    <t>ZE</t>
  </si>
  <si>
    <t>Av1</t>
  </si>
  <si>
    <t>Av2</t>
  </si>
  <si>
    <t>Av2 (C2=0)</t>
  </si>
  <si>
    <r>
      <t>Av2 (C2=</t>
    </r>
    <r>
      <rPr>
        <b/>
        <sz val="11"/>
        <color theme="1"/>
        <rFont val="Symbol"/>
        <family val="1"/>
        <charset val="2"/>
      </rPr>
      <t>¥</t>
    </r>
    <r>
      <rPr>
        <b/>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</si>
</sst>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00"/>
    <numFmt numFmtId="166" formatCode="0.0000"/>
  </numFmts>
  <fonts count="5" x14ac:knownFonts="1">
    <font>
      <sz val="11"/>
      <color theme="1"/>
      <name val="Calibri"/>
      <family val="2"/>
      <scheme val="minor"/>
    </font>
    <font>
      <b/>
      <sz val="11"/>
      <color theme="1"/>
      <name val="Calibri"/>
      <family val="2"/>
      <scheme val="minor"/>
    </font>
    <font>
      <b/>
      <sz val="11"/>
      <color theme="1"/>
      <name val="Calibri"/>
      <family val="2"/>
    </font>
    <font>
      <sz val="10"/>
      <color theme="1"/>
      <name val="Calibri"/>
      <family val="2"/>
      <scheme val="minor"/>
    </font>
    <font>
      <b/>
      <sz val="11"/>
      <color theme="1"/>
      <name val="Symbol"/>
      <family val="1"/>
      <charset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41">
    <xf numFmtId="0" fontId="0" fillId="0" borderId="0" xfId="0"/>
    <xf numFmtId="0" fontId="0" fillId="0" borderId="1" xfId="0" applyBorder="1"/>
    <xf numFmtId="164" fontId="0" fillId="0" borderId="1" xfId="0" applyNumberFormat="1" applyBorder="1"/>
    <xf numFmtId="2" fontId="0" fillId="0" borderId="1" xfId="0" applyNumberFormat="1" applyBorder="1"/>
    <xf numFmtId="166" fontId="0" fillId="0" borderId="1" xfId="0" applyNumberFormat="1" applyBorder="1"/>
    <xf numFmtId="165" fontId="0" fillId="0" borderId="1" xfId="0" applyNumberFormat="1" applyBorder="1"/>
    <xf numFmtId="0" fontId="0" fillId="0" borderId="1" xfId="0" applyBorder="1" applyAlignment="1">
      <alignment horizontal="center"/>
    </xf>
    <xf numFmtId="0" fontId="1" fillId="0" borderId="1" xfId="0" applyFont="1" applyBorder="1" applyAlignment="1">
      <alignment horizontal="center"/>
    </xf>
    <xf numFmtId="0" fontId="1" fillId="0" borderId="1" xfId="0" applyFont="1" applyFill="1" applyBorder="1" applyAlignment="1">
      <alignment horizontal="center"/>
    </xf>
    <xf numFmtId="164" fontId="1" fillId="0" borderId="1" xfId="0" applyNumberFormat="1" applyFont="1" applyBorder="1" applyAlignment="1">
      <alignment horizontal="center"/>
    </xf>
    <xf numFmtId="0" fontId="0" fillId="0" borderId="1" xfId="0" applyFill="1" applyBorder="1"/>
    <xf numFmtId="0" fontId="0" fillId="0" borderId="1" xfId="0" applyFont="1" applyBorder="1" applyAlignment="1"/>
    <xf numFmtId="164" fontId="0" fillId="0" borderId="1" xfId="0" applyNumberFormat="1" applyBorder="1" applyAlignment="1">
      <alignment horizontal="center"/>
    </xf>
    <xf numFmtId="2" fontId="0" fillId="0" borderId="1" xfId="0" applyNumberFormat="1" applyBorder="1" applyAlignment="1">
      <alignment horizontal="center"/>
    </xf>
    <xf numFmtId="166" fontId="0" fillId="0" borderId="1" xfId="0" applyNumberFormat="1" applyBorder="1" applyAlignment="1">
      <alignment horizontal="center"/>
    </xf>
    <xf numFmtId="0" fontId="1" fillId="0" borderId="1" xfId="0" applyFont="1" applyBorder="1" applyAlignment="1">
      <alignment horizontal="center"/>
    </xf>
    <xf numFmtId="166" fontId="1" fillId="0" borderId="1" xfId="0" applyNumberFormat="1" applyFont="1" applyBorder="1" applyAlignment="1">
      <alignment horizontal="center"/>
    </xf>
    <xf numFmtId="164" fontId="1" fillId="0" borderId="1" xfId="0" applyNumberFormat="1" applyFont="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9" xfId="0" applyBorder="1" applyAlignment="1">
      <alignment horizontal="center"/>
    </xf>
    <xf numFmtId="0" fontId="1" fillId="0" borderId="1" xfId="0" applyFont="1" applyBorder="1" applyAlignment="1">
      <alignment horizontal="center"/>
    </xf>
    <xf numFmtId="0" fontId="3" fillId="0" borderId="1" xfId="0" applyFont="1" applyBorder="1" applyAlignment="1">
      <alignment horizontal="center" vertical="center" wrapText="1"/>
    </xf>
    <xf numFmtId="0" fontId="3" fillId="0" borderId="1" xfId="0" applyFont="1" applyBorder="1" applyAlignment="1">
      <alignment horizontal="center" wrapText="1"/>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2" xfId="0" applyFont="1" applyBorder="1" applyAlignment="1">
      <alignment horizontal="center" vertical="top" wrapText="1"/>
    </xf>
    <xf numFmtId="0" fontId="3" fillId="0" borderId="3" xfId="0" applyFont="1" applyBorder="1" applyAlignment="1">
      <alignment horizontal="center" vertical="top" wrapText="1"/>
    </xf>
    <xf numFmtId="0" fontId="3" fillId="0" borderId="4" xfId="0" applyFont="1" applyBorder="1" applyAlignment="1">
      <alignment horizontal="center" vertical="top"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0" fillId="0" borderId="1" xfId="0" applyFont="1" applyBorder="1" applyAlignment="1">
      <alignment wrapText="1"/>
    </xf>
    <xf numFmtId="0" fontId="0" fillId="0" borderId="1" xfId="0" applyBorder="1" applyAlignment="1">
      <alignment horizontal="left" vertical="top"/>
    </xf>
    <xf numFmtId="0" fontId="0" fillId="0" borderId="5" xfId="0" applyBorder="1" applyAlignment="1">
      <alignment horizontal="center" vertical="center"/>
    </xf>
    <xf numFmtId="0" fontId="0" fillId="0" borderId="7"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63502</xdr:colOff>
      <xdr:row>6</xdr:row>
      <xdr:rowOff>84666</xdr:rowOff>
    </xdr:from>
    <xdr:to>
      <xdr:col>7</xdr:col>
      <xdr:colOff>364162</xdr:colOff>
      <xdr:row>17</xdr:row>
      <xdr:rowOff>74083</xdr:rowOff>
    </xdr:to>
    <xdr:pic>
      <xdr:nvPicPr>
        <xdr:cNvPr id="16" name="Imagen 1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11502" y="3164416"/>
          <a:ext cx="2586660" cy="20849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117476</xdr:colOff>
      <xdr:row>11</xdr:row>
      <xdr:rowOff>31752</xdr:rowOff>
    </xdr:from>
    <xdr:to>
      <xdr:col>10</xdr:col>
      <xdr:colOff>142875</xdr:colOff>
      <xdr:row>12</xdr:row>
      <xdr:rowOff>81774</xdr:rowOff>
    </xdr:to>
    <xdr:pic>
      <xdr:nvPicPr>
        <xdr:cNvPr id="9" name="Imagen 8">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213476" y="4064002"/>
          <a:ext cx="1507066" cy="2405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695325</xdr:colOff>
      <xdr:row>6</xdr:row>
      <xdr:rowOff>58209</xdr:rowOff>
    </xdr:from>
    <xdr:to>
      <xdr:col>10</xdr:col>
      <xdr:colOff>47625</xdr:colOff>
      <xdr:row>10</xdr:row>
      <xdr:rowOff>79744</xdr:rowOff>
    </xdr:to>
    <xdr:pic>
      <xdr:nvPicPr>
        <xdr:cNvPr id="10" name="Imagen 9">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029325" y="3137959"/>
          <a:ext cx="1595967" cy="783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317500</xdr:colOff>
      <xdr:row>12</xdr:row>
      <xdr:rowOff>96095</xdr:rowOff>
    </xdr:from>
    <xdr:to>
      <xdr:col>10</xdr:col>
      <xdr:colOff>692717</xdr:colOff>
      <xdr:row>17</xdr:row>
      <xdr:rowOff>127213</xdr:rowOff>
    </xdr:to>
    <xdr:pic>
      <xdr:nvPicPr>
        <xdr:cNvPr id="4" name="Imagen 3"/>
        <xdr:cNvPicPr>
          <a:picLocks noChangeAspect="1"/>
        </xdr:cNvPicPr>
      </xdr:nvPicPr>
      <xdr:blipFill>
        <a:blip xmlns:r="http://schemas.openxmlformats.org/officeDocument/2006/relationships" r:embed="rId4"/>
        <a:stretch>
          <a:fillRect/>
        </a:stretch>
      </xdr:blipFill>
      <xdr:spPr>
        <a:xfrm>
          <a:off x="5651500" y="4318845"/>
          <a:ext cx="2618883" cy="983618"/>
        </a:xfrm>
        <a:prstGeom prst="rect">
          <a:avLst/>
        </a:prstGeom>
      </xdr:spPr>
    </xdr:pic>
    <xdr:clientData/>
  </xdr:twoCellAnchor>
  <xdr:twoCellAnchor editAs="oneCell">
    <xdr:from>
      <xdr:col>11</xdr:col>
      <xdr:colOff>562546</xdr:colOff>
      <xdr:row>11</xdr:row>
      <xdr:rowOff>74085</xdr:rowOff>
    </xdr:from>
    <xdr:to>
      <xdr:col>14</xdr:col>
      <xdr:colOff>328083</xdr:colOff>
      <xdr:row>18</xdr:row>
      <xdr:rowOff>1</xdr:rowOff>
    </xdr:to>
    <xdr:pic>
      <xdr:nvPicPr>
        <xdr:cNvPr id="5" name="Imagen 4"/>
        <xdr:cNvPicPr>
          <a:picLocks noChangeAspect="1"/>
        </xdr:cNvPicPr>
      </xdr:nvPicPr>
      <xdr:blipFill>
        <a:blip xmlns:r="http://schemas.openxmlformats.org/officeDocument/2006/relationships" r:embed="rId5"/>
        <a:stretch>
          <a:fillRect/>
        </a:stretch>
      </xdr:blipFill>
      <xdr:spPr>
        <a:xfrm>
          <a:off x="8902213" y="4106335"/>
          <a:ext cx="2051537" cy="1259416"/>
        </a:xfrm>
        <a:prstGeom prst="rect">
          <a:avLst/>
        </a:prstGeom>
      </xdr:spPr>
    </xdr:pic>
    <xdr:clientData/>
  </xdr:twoCellAnchor>
  <xdr:twoCellAnchor editAs="oneCell">
    <xdr:from>
      <xdr:col>11</xdr:col>
      <xdr:colOff>317500</xdr:colOff>
      <xdr:row>6</xdr:row>
      <xdr:rowOff>42333</xdr:rowOff>
    </xdr:from>
    <xdr:to>
      <xdr:col>14</xdr:col>
      <xdr:colOff>339350</xdr:colOff>
      <xdr:row>11</xdr:row>
      <xdr:rowOff>126999</xdr:rowOff>
    </xdr:to>
    <xdr:pic>
      <xdr:nvPicPr>
        <xdr:cNvPr id="6" name="Imagen 5"/>
        <xdr:cNvPicPr>
          <a:picLocks noChangeAspect="1"/>
        </xdr:cNvPicPr>
      </xdr:nvPicPr>
      <xdr:blipFill rotWithShape="1">
        <a:blip xmlns:r="http://schemas.openxmlformats.org/officeDocument/2006/relationships" r:embed="rId6"/>
        <a:srcRect t="5769"/>
        <a:stretch/>
      </xdr:blipFill>
      <xdr:spPr>
        <a:xfrm>
          <a:off x="8657167" y="3122083"/>
          <a:ext cx="2307850" cy="103716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6"/>
  <sheetViews>
    <sheetView tabSelected="1" topLeftCell="A7" zoomScale="120" zoomScaleNormal="120" workbookViewId="0">
      <selection activeCell="D10" sqref="D10"/>
    </sheetView>
  </sheetViews>
  <sheetFormatPr baseColWidth="10" defaultRowHeight="15" x14ac:dyDescent="0.25"/>
  <cols>
    <col min="4" max="4" width="14.5703125" bestFit="1" customWidth="1"/>
    <col min="9" max="9" width="10.7109375" customWidth="1"/>
  </cols>
  <sheetData>
    <row r="1" spans="1:15" x14ac:dyDescent="0.25">
      <c r="A1" s="21" t="s">
        <v>36</v>
      </c>
      <c r="B1" s="21"/>
      <c r="C1" s="21"/>
      <c r="D1" s="21"/>
      <c r="E1" s="21"/>
      <c r="F1" s="21"/>
      <c r="G1" s="21"/>
      <c r="H1" s="21"/>
      <c r="I1" s="21"/>
      <c r="J1" s="21"/>
      <c r="K1" s="21"/>
      <c r="L1" s="21"/>
      <c r="M1" s="21"/>
      <c r="N1" s="21"/>
      <c r="O1" s="21"/>
    </row>
    <row r="2" spans="1:15" x14ac:dyDescent="0.25">
      <c r="A2" s="21" t="s">
        <v>22</v>
      </c>
      <c r="B2" s="21"/>
      <c r="C2" s="21"/>
      <c r="D2" s="21"/>
      <c r="E2" s="21"/>
      <c r="F2" s="21" t="s">
        <v>23</v>
      </c>
      <c r="G2" s="21"/>
      <c r="H2" s="21"/>
      <c r="I2" s="21"/>
      <c r="J2" s="21"/>
      <c r="K2" s="21" t="s">
        <v>24</v>
      </c>
      <c r="L2" s="21"/>
      <c r="M2" s="21"/>
      <c r="N2" s="21"/>
      <c r="O2" s="21"/>
    </row>
    <row r="3" spans="1:15" ht="44.25" customHeight="1" x14ac:dyDescent="0.25">
      <c r="A3" s="22" t="s">
        <v>37</v>
      </c>
      <c r="B3" s="22"/>
      <c r="C3" s="22"/>
      <c r="D3" s="22"/>
      <c r="E3" s="22"/>
      <c r="F3" s="23" t="s">
        <v>29</v>
      </c>
      <c r="G3" s="23"/>
      <c r="H3" s="23"/>
      <c r="I3" s="23"/>
      <c r="J3" s="23"/>
      <c r="K3" s="24" t="s">
        <v>25</v>
      </c>
      <c r="L3" s="24"/>
      <c r="M3" s="24"/>
      <c r="N3" s="24"/>
      <c r="O3" s="24"/>
    </row>
    <row r="4" spans="1:15" ht="56.25" customHeight="1" x14ac:dyDescent="0.25">
      <c r="A4" s="22"/>
      <c r="B4" s="22"/>
      <c r="C4" s="22"/>
      <c r="D4" s="22"/>
      <c r="E4" s="22"/>
      <c r="F4" s="23" t="s">
        <v>34</v>
      </c>
      <c r="G4" s="23"/>
      <c r="H4" s="23"/>
      <c r="I4" s="23"/>
      <c r="J4" s="23"/>
      <c r="K4" s="25" t="s">
        <v>26</v>
      </c>
      <c r="L4" s="26"/>
      <c r="M4" s="26"/>
      <c r="N4" s="26"/>
      <c r="O4" s="27"/>
    </row>
    <row r="5" spans="1:15" ht="59.25" customHeight="1" x14ac:dyDescent="0.25">
      <c r="A5" s="22"/>
      <c r="B5" s="22"/>
      <c r="C5" s="22"/>
      <c r="D5" s="22"/>
      <c r="E5" s="22"/>
      <c r="F5" s="23" t="s">
        <v>32</v>
      </c>
      <c r="G5" s="23"/>
      <c r="H5" s="23"/>
      <c r="I5" s="23"/>
      <c r="J5" s="23"/>
      <c r="K5" s="25" t="s">
        <v>27</v>
      </c>
      <c r="L5" s="26"/>
      <c r="M5" s="26"/>
      <c r="N5" s="26"/>
      <c r="O5" s="27"/>
    </row>
    <row r="6" spans="1:15" ht="52.5" customHeight="1" x14ac:dyDescent="0.25">
      <c r="A6" s="28" t="s">
        <v>28</v>
      </c>
      <c r="B6" s="29"/>
      <c r="C6" s="29"/>
      <c r="D6" s="29"/>
      <c r="E6" s="30"/>
      <c r="F6" s="31" t="s">
        <v>30</v>
      </c>
      <c r="G6" s="32"/>
      <c r="H6" s="32"/>
      <c r="I6" s="32"/>
      <c r="J6" s="33"/>
      <c r="K6" s="25" t="s">
        <v>25</v>
      </c>
      <c r="L6" s="26"/>
      <c r="M6" s="26"/>
      <c r="N6" s="26"/>
      <c r="O6" s="27"/>
    </row>
    <row r="7" spans="1:15" x14ac:dyDescent="0.25">
      <c r="A7" s="36" t="s">
        <v>31</v>
      </c>
      <c r="B7" s="36"/>
      <c r="C7" s="36"/>
      <c r="D7" s="37"/>
      <c r="E7" s="19"/>
      <c r="F7" s="19"/>
      <c r="G7" s="19"/>
      <c r="H7" s="19"/>
      <c r="I7" s="19"/>
      <c r="J7" s="19"/>
      <c r="K7" s="19"/>
      <c r="L7" s="19"/>
      <c r="M7" s="19"/>
      <c r="N7" s="19"/>
      <c r="O7" s="19"/>
    </row>
    <row r="8" spans="1:15" x14ac:dyDescent="0.25">
      <c r="A8" s="38"/>
      <c r="B8" s="38"/>
      <c r="C8" s="38"/>
      <c r="D8" s="39"/>
      <c r="E8" s="19"/>
      <c r="F8" s="19"/>
      <c r="G8" s="19"/>
      <c r="H8" s="19"/>
      <c r="I8" s="19"/>
      <c r="J8" s="19"/>
      <c r="K8" s="19"/>
      <c r="L8" s="19"/>
      <c r="M8" s="19"/>
      <c r="N8" s="19"/>
      <c r="O8" s="19"/>
    </row>
    <row r="9" spans="1:15" x14ac:dyDescent="0.25">
      <c r="A9" s="1" t="s">
        <v>1</v>
      </c>
      <c r="B9" s="1">
        <v>12</v>
      </c>
      <c r="C9" s="1" t="s">
        <v>6</v>
      </c>
      <c r="D9" s="1">
        <v>280</v>
      </c>
      <c r="E9" s="19"/>
      <c r="F9" s="19"/>
      <c r="G9" s="19"/>
      <c r="H9" s="19"/>
      <c r="I9" s="19"/>
      <c r="J9" s="19"/>
      <c r="K9" s="19"/>
      <c r="L9" s="19"/>
      <c r="M9" s="19"/>
      <c r="N9" s="19"/>
      <c r="O9" s="19"/>
    </row>
    <row r="10" spans="1:15" x14ac:dyDescent="0.25">
      <c r="A10" s="1" t="s">
        <v>2</v>
      </c>
      <c r="B10" s="1">
        <v>0.7</v>
      </c>
      <c r="C10" s="1" t="s">
        <v>8</v>
      </c>
      <c r="D10" s="1">
        <v>100</v>
      </c>
      <c r="E10" s="19"/>
      <c r="F10" s="19"/>
      <c r="G10" s="19"/>
      <c r="H10" s="19"/>
      <c r="I10" s="19"/>
      <c r="J10" s="19"/>
      <c r="K10" s="19"/>
      <c r="L10" s="19"/>
      <c r="M10" s="19"/>
      <c r="N10" s="19"/>
      <c r="O10" s="19"/>
    </row>
    <row r="11" spans="1:15" x14ac:dyDescent="0.25">
      <c r="A11" s="1" t="s">
        <v>3</v>
      </c>
      <c r="B11" s="1">
        <v>100</v>
      </c>
      <c r="C11" s="1" t="s">
        <v>38</v>
      </c>
      <c r="D11" s="1">
        <v>50</v>
      </c>
      <c r="E11" s="19"/>
      <c r="F11" s="19"/>
      <c r="G11" s="19"/>
      <c r="H11" s="19"/>
      <c r="I11" s="19"/>
      <c r="J11" s="19"/>
      <c r="K11" s="19"/>
      <c r="L11" s="19"/>
      <c r="M11" s="19"/>
      <c r="N11" s="19"/>
      <c r="O11" s="19"/>
    </row>
    <row r="12" spans="1:15" x14ac:dyDescent="0.25">
      <c r="A12" s="1" t="s">
        <v>4</v>
      </c>
      <c r="B12" s="1">
        <v>51</v>
      </c>
      <c r="C12" s="1" t="s">
        <v>13</v>
      </c>
      <c r="D12" s="1">
        <v>1000</v>
      </c>
      <c r="E12" s="19"/>
      <c r="F12" s="19"/>
      <c r="G12" s="19"/>
      <c r="H12" s="19"/>
      <c r="I12" s="19"/>
      <c r="J12" s="19"/>
      <c r="K12" s="19"/>
      <c r="L12" s="19"/>
      <c r="M12" s="19"/>
      <c r="N12" s="19"/>
      <c r="O12" s="19"/>
    </row>
    <row r="13" spans="1:15" x14ac:dyDescent="0.25">
      <c r="A13" s="1" t="s">
        <v>5</v>
      </c>
      <c r="B13" s="1">
        <v>660</v>
      </c>
      <c r="C13" s="1" t="s">
        <v>18</v>
      </c>
      <c r="D13" s="1">
        <f>(B13*B14)/(B13+B14)</f>
        <v>165</v>
      </c>
      <c r="E13" s="19"/>
      <c r="F13" s="19"/>
      <c r="G13" s="19"/>
      <c r="H13" s="19"/>
      <c r="I13" s="19"/>
      <c r="J13" s="19"/>
      <c r="K13" s="19"/>
      <c r="L13" s="19"/>
      <c r="M13" s="19"/>
      <c r="N13" s="19"/>
      <c r="O13" s="19"/>
    </row>
    <row r="14" spans="1:15" x14ac:dyDescent="0.25">
      <c r="A14" s="1" t="s">
        <v>17</v>
      </c>
      <c r="B14" s="1">
        <v>220</v>
      </c>
      <c r="C14" s="1" t="s">
        <v>40</v>
      </c>
      <c r="D14" s="1">
        <f>((D11*D13/(D11+D13))/D9)+K20</f>
        <v>0.72022641918243546</v>
      </c>
      <c r="E14" s="19"/>
      <c r="F14" s="19"/>
      <c r="G14" s="19"/>
      <c r="H14" s="19"/>
      <c r="I14" s="19"/>
      <c r="J14" s="19"/>
      <c r="K14" s="19"/>
      <c r="L14" s="19"/>
      <c r="M14" s="19"/>
      <c r="N14" s="19"/>
      <c r="O14" s="19"/>
    </row>
    <row r="15" spans="1:15" x14ac:dyDescent="0.25">
      <c r="A15" s="1" t="s">
        <v>14</v>
      </c>
      <c r="B15" s="1">
        <f>1/(2*PI()*D12*(D11+(D13*D9*K20/(D13+D9*K20))))*1000000</f>
        <v>1.2050747085829376</v>
      </c>
      <c r="C15" s="1" t="s">
        <v>16</v>
      </c>
      <c r="D15" s="1"/>
      <c r="E15" s="19"/>
      <c r="F15" s="19"/>
      <c r="G15" s="19"/>
      <c r="H15" s="19"/>
      <c r="I15" s="19"/>
      <c r="J15" s="19"/>
      <c r="K15" s="19"/>
      <c r="L15" s="19"/>
      <c r="M15" s="19"/>
      <c r="N15" s="19"/>
      <c r="O15" s="19"/>
    </row>
    <row r="16" spans="1:15" x14ac:dyDescent="0.25">
      <c r="A16" s="1" t="s">
        <v>39</v>
      </c>
      <c r="B16" s="1">
        <f xml:space="preserve"> 1/(2*PI()*D12*(D14*B12/(D14+B12)))*1000000</f>
        <v>224.09972571171735</v>
      </c>
      <c r="C16" s="1" t="s">
        <v>16</v>
      </c>
      <c r="D16" s="1"/>
      <c r="E16" s="19"/>
      <c r="F16" s="19"/>
      <c r="G16" s="19"/>
      <c r="H16" s="19"/>
      <c r="I16" s="19"/>
      <c r="J16" s="19"/>
      <c r="K16" s="19"/>
      <c r="L16" s="19"/>
      <c r="M16" s="19"/>
      <c r="N16" s="19"/>
      <c r="O16" s="19"/>
    </row>
    <row r="17" spans="1:15" x14ac:dyDescent="0.25">
      <c r="A17" s="1" t="s">
        <v>15</v>
      </c>
      <c r="B17" s="1">
        <f>1/(2*PI()*D12*(B11+D10))*1000000</f>
        <v>0.79577471545947676</v>
      </c>
      <c r="C17" s="1" t="s">
        <v>16</v>
      </c>
      <c r="D17" s="1"/>
      <c r="E17" s="19"/>
      <c r="F17" s="19"/>
      <c r="G17" s="19"/>
      <c r="H17" s="19"/>
      <c r="I17" s="19"/>
      <c r="J17" s="19"/>
      <c r="K17" s="19"/>
      <c r="L17" s="19"/>
      <c r="M17" s="19"/>
      <c r="N17" s="19"/>
      <c r="O17" s="19"/>
    </row>
    <row r="18" spans="1:15" x14ac:dyDescent="0.25">
      <c r="E18" s="20"/>
      <c r="F18" s="20"/>
      <c r="G18" s="20"/>
      <c r="H18" s="20"/>
      <c r="I18" s="20"/>
      <c r="J18" s="20"/>
      <c r="K18" s="20"/>
      <c r="L18" s="20"/>
      <c r="M18" s="20"/>
      <c r="N18" s="20"/>
      <c r="O18" s="20"/>
    </row>
    <row r="19" spans="1:15" x14ac:dyDescent="0.25">
      <c r="A19" s="7" t="s">
        <v>21</v>
      </c>
      <c r="B19" s="7" t="s">
        <v>7</v>
      </c>
      <c r="C19" s="7" t="s">
        <v>0</v>
      </c>
      <c r="D19" s="8" t="s">
        <v>48</v>
      </c>
      <c r="E19" s="8" t="s">
        <v>47</v>
      </c>
      <c r="F19" s="8" t="s">
        <v>41</v>
      </c>
      <c r="G19" s="7" t="s">
        <v>10</v>
      </c>
      <c r="H19" s="7" t="s">
        <v>11</v>
      </c>
      <c r="I19" s="8" t="s">
        <v>50</v>
      </c>
      <c r="J19" s="8" t="s">
        <v>49</v>
      </c>
      <c r="K19" s="7" t="s">
        <v>9</v>
      </c>
      <c r="L19" s="7" t="s">
        <v>63</v>
      </c>
      <c r="M19" s="7" t="s">
        <v>64</v>
      </c>
      <c r="N19" s="7" t="s">
        <v>43</v>
      </c>
      <c r="O19" s="7" t="s">
        <v>44</v>
      </c>
    </row>
    <row r="20" spans="1:15" x14ac:dyDescent="0.25">
      <c r="A20" s="12">
        <f>((B9*B14/(B13+B14))-B10)/((B13*B14/(B13+B14))+(B12*D9))*1000000</f>
        <v>159.22464520595361</v>
      </c>
      <c r="B20" s="12">
        <f>(A20*D9)/1000</f>
        <v>44.582900657667004</v>
      </c>
      <c r="C20" s="13">
        <f>B9-((B11+B12)*B20)/1000</f>
        <v>5.2679820006922826</v>
      </c>
      <c r="D20" s="6">
        <f>B9-(B11*B20)/1000</f>
        <v>7.5417099342332996</v>
      </c>
      <c r="E20" s="6">
        <f>(B20*B12)/1000</f>
        <v>2.273727933541017</v>
      </c>
      <c r="F20" s="6"/>
      <c r="G20" s="6"/>
      <c r="H20" s="6"/>
      <c r="I20" s="6"/>
      <c r="J20" s="6"/>
      <c r="K20" s="12">
        <f>26/B20</f>
        <v>0.58318322981366466</v>
      </c>
      <c r="L20" s="12">
        <f>(B11*D10/(B11+D10))/(K20+B12)</f>
        <v>0.96930815179124841</v>
      </c>
      <c r="M20" s="12">
        <f>(B11*D10/(B11+D10))/K20</f>
        <v>85.736347418590398</v>
      </c>
      <c r="N20" s="14">
        <f>L20/D10</f>
        <v>9.6930815179124847E-3</v>
      </c>
      <c r="O20" s="6">
        <f>M20/D10</f>
        <v>0.85736347418590397</v>
      </c>
    </row>
    <row r="21" spans="1:15" x14ac:dyDescent="0.25">
      <c r="A21" s="1"/>
      <c r="B21" s="2"/>
      <c r="C21" s="2"/>
      <c r="D21" s="3"/>
      <c r="E21" s="1"/>
      <c r="F21" s="1"/>
      <c r="G21" s="2"/>
      <c r="H21" s="2"/>
      <c r="I21" s="2"/>
      <c r="J21" s="4"/>
      <c r="K21" s="2"/>
      <c r="L21" s="1"/>
      <c r="M21" s="2"/>
      <c r="N21" s="1"/>
      <c r="O21" s="5"/>
    </row>
    <row r="22" spans="1:15" x14ac:dyDescent="0.25">
      <c r="A22" s="15" t="s">
        <v>39</v>
      </c>
      <c r="B22" s="16" t="s">
        <v>60</v>
      </c>
      <c r="C22" s="9" t="s">
        <v>59</v>
      </c>
      <c r="D22" s="15" t="s">
        <v>61</v>
      </c>
      <c r="E22" s="9" t="s">
        <v>62</v>
      </c>
      <c r="F22" s="17" t="s">
        <v>58</v>
      </c>
      <c r="G22" s="15" t="s">
        <v>42</v>
      </c>
      <c r="H22" s="15" t="s">
        <v>55</v>
      </c>
      <c r="I22" s="15" t="s">
        <v>57</v>
      </c>
      <c r="J22" s="15" t="s">
        <v>56</v>
      </c>
      <c r="K22" s="15" t="s">
        <v>12</v>
      </c>
      <c r="L22" s="15" t="s">
        <v>35</v>
      </c>
      <c r="M22" s="15" t="s">
        <v>51</v>
      </c>
      <c r="N22" s="1"/>
      <c r="O22" s="1"/>
    </row>
    <row r="23" spans="1:15" x14ac:dyDescent="0.25">
      <c r="A23" s="1">
        <v>0</v>
      </c>
      <c r="B23" s="2">
        <f>(K20+(B12/SQRT((2*PI()*D12*B12*A23)^2+1)))</f>
        <v>51.583183229813663</v>
      </c>
      <c r="C23" s="2">
        <f>D13*D9*B23/(D13+D9*B23)</f>
        <v>163.13633234491311</v>
      </c>
      <c r="D23" s="13">
        <f t="shared" ref="D23:D32" si="0">C23/(D$11+C23)</f>
        <v>0.76540836820309799</v>
      </c>
      <c r="E23" s="2">
        <f>(B11*D10/(B11+D10))/(K20+(B12/SQRT((2*PI()*D12*B12*A23)^2+1)))</f>
        <v>0.96930815179124841</v>
      </c>
      <c r="F23" s="2">
        <f t="shared" ref="F23:F32" si="1">E23*D23</f>
        <v>0.74191657074850026</v>
      </c>
      <c r="G23" s="2">
        <f>E23/D10</f>
        <v>9.6930815179124847E-3</v>
      </c>
      <c r="H23" s="3">
        <v>4.3</v>
      </c>
      <c r="I23" s="1"/>
      <c r="J23" s="2">
        <f>H23*F23</f>
        <v>3.190241254218551</v>
      </c>
      <c r="K23" s="2"/>
      <c r="L23" s="2" t="e">
        <f t="shared" ref="L23:L32" si="2">K23/I23</f>
        <v>#DIV/0!</v>
      </c>
      <c r="M23" s="2" t="e">
        <f>L23/D10</f>
        <v>#DIV/0!</v>
      </c>
      <c r="N23" s="1"/>
      <c r="O23" s="1"/>
    </row>
    <row r="24" spans="1:15" x14ac:dyDescent="0.25">
      <c r="A24" s="1">
        <v>0.1</v>
      </c>
      <c r="B24" s="2">
        <f>(K20+(B12/SQRT((2*PI()*D12*B12*A24/1000000)^2+1)))</f>
        <v>51.557019119863405</v>
      </c>
      <c r="C24" s="2">
        <f t="shared" ref="C24:C32" si="3">D$13*D$9*B24/(D$13+D$9*B24)</f>
        <v>163.13539726033537</v>
      </c>
      <c r="D24" s="13">
        <f t="shared" si="0"/>
        <v>0.76540733898402036</v>
      </c>
      <c r="E24" s="2">
        <f>(B11*D10/(B11+D10))/(K20+(B12/SQRT((2*PI()*D12*B12*A24/1000000)^2+1)))</f>
        <v>0.96980005542516845</v>
      </c>
      <c r="F24" s="2">
        <f t="shared" si="1"/>
        <v>0.7422920797695336</v>
      </c>
      <c r="G24" s="2">
        <f>E24/D10</f>
        <v>9.6980005542516845E-3</v>
      </c>
      <c r="H24" s="3">
        <v>4.3</v>
      </c>
      <c r="I24" s="1"/>
      <c r="J24" s="2">
        <f t="shared" ref="J24:J32" si="4">H24*F24</f>
        <v>3.1918559430089943</v>
      </c>
      <c r="K24" s="2"/>
      <c r="L24" s="2" t="e">
        <f t="shared" si="2"/>
        <v>#DIV/0!</v>
      </c>
      <c r="M24" s="2" t="e">
        <f>L24/D10</f>
        <v>#DIV/0!</v>
      </c>
      <c r="N24" s="1"/>
      <c r="O24" s="1"/>
    </row>
    <row r="25" spans="1:15" x14ac:dyDescent="0.25">
      <c r="A25" s="1">
        <v>10</v>
      </c>
      <c r="B25" s="2">
        <f>(K20+(B12/SQRT((2*PI()*D12*B12*A25/1000000)^2+1)))</f>
        <v>15.776069045922847</v>
      </c>
      <c r="C25" s="2">
        <f t="shared" si="3"/>
        <v>159.05865963299755</v>
      </c>
      <c r="D25" s="13">
        <f t="shared" si="0"/>
        <v>0.760832676877509</v>
      </c>
      <c r="E25" s="2">
        <f>(B11*D10/(B11+D10))/(K20+(B12/SQRT((2*PI()*D12*B12*A25/1000000)^2+1)))</f>
        <v>3.169357325608432</v>
      </c>
      <c r="F25" s="2">
        <f t="shared" si="1"/>
        <v>2.4113506180240063</v>
      </c>
      <c r="G25" s="2">
        <f>E25/D10</f>
        <v>3.1693573256084323E-2</v>
      </c>
      <c r="H25" s="3">
        <v>0.08</v>
      </c>
      <c r="I25" s="1"/>
      <c r="J25" s="2">
        <f t="shared" si="4"/>
        <v>0.1929080494419205</v>
      </c>
      <c r="K25" s="2"/>
      <c r="L25" s="2" t="e">
        <f t="shared" si="2"/>
        <v>#DIV/0!</v>
      </c>
      <c r="M25" s="2" t="e">
        <f>L25/D10</f>
        <v>#DIV/0!</v>
      </c>
      <c r="N25" s="1"/>
      <c r="O25" s="1"/>
    </row>
    <row r="26" spans="1:15" x14ac:dyDescent="0.25">
      <c r="A26" s="1">
        <v>100</v>
      </c>
      <c r="B26" s="2">
        <f>(K20+(B12/SQRT((2*PI()*D12*B12*A26/1000000)^2+1)))</f>
        <v>2.1739582471178691</v>
      </c>
      <c r="C26" s="2">
        <f t="shared" si="3"/>
        <v>129.81232051340336</v>
      </c>
      <c r="D26" s="13">
        <f t="shared" si="0"/>
        <v>0.72193229108417545</v>
      </c>
      <c r="E26" s="2">
        <f>(B11*D10/(B11+D10))/(K20+(B12/SQRT((2*PI()*D12*B12*A26/1000000)^2+1)))</f>
        <v>22.999521755437407</v>
      </c>
      <c r="F26" s="2">
        <f t="shared" si="1"/>
        <v>16.604097434743263</v>
      </c>
      <c r="G26" s="2">
        <f>E26/D10</f>
        <v>0.22999521755437408</v>
      </c>
      <c r="H26" s="3">
        <v>0.08</v>
      </c>
      <c r="I26" s="1"/>
      <c r="J26" s="2">
        <f t="shared" si="4"/>
        <v>1.3283277947794612</v>
      </c>
      <c r="K26" s="2"/>
      <c r="L26" s="2" t="e">
        <f t="shared" si="2"/>
        <v>#DIV/0!</v>
      </c>
      <c r="M26" s="2" t="e">
        <f>L26/D10</f>
        <v>#DIV/0!</v>
      </c>
      <c r="N26" s="1"/>
      <c r="O26" s="1"/>
    </row>
    <row r="27" spans="1:15" x14ac:dyDescent="0.25">
      <c r="A27" s="1">
        <v>200</v>
      </c>
      <c r="B27" s="2">
        <f t="shared" ref="B27:B32" si="5">(K$20+(B$12/SQRT((2*PI()*D$12*B$12*A27/1000000)^2+1)))</f>
        <v>1.3788610905583321</v>
      </c>
      <c r="C27" s="2">
        <f t="shared" si="3"/>
        <v>115.59710860092704</v>
      </c>
      <c r="D27" s="13">
        <f t="shared" si="0"/>
        <v>0.69806236097699537</v>
      </c>
      <c r="E27" s="2">
        <f>(B11*D10/(B11+D10))/(K20+(B12/SQRT((2*PI()*D12*B12*A27/1000000)^2+1)))</f>
        <v>36.261810810655241</v>
      </c>
      <c r="F27" s="2">
        <f t="shared" si="1"/>
        <v>25.313005267787133</v>
      </c>
      <c r="G27" s="2">
        <f>E27/D10</f>
        <v>0.36261810810655243</v>
      </c>
      <c r="H27" s="3">
        <v>0.08</v>
      </c>
      <c r="I27" s="1"/>
      <c r="J27" s="2">
        <f t="shared" si="4"/>
        <v>2.0250404214229709</v>
      </c>
      <c r="K27" s="2"/>
      <c r="L27" s="2" t="e">
        <f t="shared" si="2"/>
        <v>#DIV/0!</v>
      </c>
      <c r="M27" s="2" t="e">
        <f>L27/D10</f>
        <v>#DIV/0!</v>
      </c>
      <c r="N27" s="1"/>
      <c r="O27" s="1"/>
    </row>
    <row r="28" spans="1:15" x14ac:dyDescent="0.25">
      <c r="A28" s="10">
        <v>470</v>
      </c>
      <c r="B28" s="2">
        <f t="shared" si="5"/>
        <v>0.92180330412689138</v>
      </c>
      <c r="C28" s="2">
        <f t="shared" si="3"/>
        <v>100.65425883427773</v>
      </c>
      <c r="D28" s="13">
        <f t="shared" si="0"/>
        <v>0.66811426117730355</v>
      </c>
      <c r="E28" s="2">
        <f>(B11*D10/(B11+D10))/(K20+(B12/SQRT((2*PI()*D12*B12*A28/1000000)^2+1)))</f>
        <v>54.241506594900663</v>
      </c>
      <c r="F28" s="2">
        <f t="shared" si="1"/>
        <v>36.239524103795894</v>
      </c>
      <c r="G28" s="2">
        <f>E28/D10</f>
        <v>0.54241506594900668</v>
      </c>
      <c r="H28" s="3">
        <v>0.08</v>
      </c>
      <c r="I28" s="1"/>
      <c r="J28" s="2">
        <f t="shared" si="4"/>
        <v>2.8991619283036716</v>
      </c>
      <c r="K28" s="2"/>
      <c r="L28" s="2" t="e">
        <f t="shared" si="2"/>
        <v>#DIV/0!</v>
      </c>
      <c r="M28" s="2" t="e">
        <f>L28/D10</f>
        <v>#DIV/0!</v>
      </c>
      <c r="N28" s="1"/>
      <c r="O28" s="1"/>
    </row>
    <row r="29" spans="1:15" x14ac:dyDescent="0.25">
      <c r="A29" s="10">
        <v>940</v>
      </c>
      <c r="B29" s="2">
        <f t="shared" si="5"/>
        <v>0.75249606601470354</v>
      </c>
      <c r="C29" s="2">
        <f t="shared" si="3"/>
        <v>92.535055040490192</v>
      </c>
      <c r="D29" s="13">
        <f t="shared" si="0"/>
        <v>0.64920910167820534</v>
      </c>
      <c r="E29" s="2">
        <f>(B11*D10/(B11+D10))/(K20+(B12/SQRT((2*PI()*D12*B12*A29/1000000)^2+1)))</f>
        <v>66.445530094004525</v>
      </c>
      <c r="F29" s="2">
        <f t="shared" si="1"/>
        <v>43.137042902860834</v>
      </c>
      <c r="G29" s="2">
        <f>E29/D10</f>
        <v>0.66445530094004523</v>
      </c>
      <c r="H29" s="3">
        <v>0.08</v>
      </c>
      <c r="I29" s="1"/>
      <c r="J29" s="2">
        <f t="shared" si="4"/>
        <v>3.4509634322288667</v>
      </c>
      <c r="K29" s="2"/>
      <c r="L29" s="2" t="e">
        <f t="shared" si="2"/>
        <v>#DIV/0!</v>
      </c>
      <c r="M29" s="2" t="e">
        <f>L29/D10</f>
        <v>#DIV/0!</v>
      </c>
      <c r="N29" s="1"/>
      <c r="O29" s="1"/>
    </row>
    <row r="30" spans="1:15" x14ac:dyDescent="0.25">
      <c r="A30" s="10">
        <v>1880</v>
      </c>
      <c r="B30" s="2">
        <f t="shared" si="5"/>
        <v>0.6678399978055829</v>
      </c>
      <c r="C30" s="2">
        <f t="shared" si="3"/>
        <v>87.655195163105944</v>
      </c>
      <c r="D30" s="13">
        <f t="shared" si="0"/>
        <v>0.63677360712208786</v>
      </c>
      <c r="E30" s="2">
        <f>(B11*D10/(B11+D10))/(K20+(B12/SQRT((2*PI()*D12*B12*A30/1000000)^2+1)))</f>
        <v>74.868232157840396</v>
      </c>
      <c r="F30" s="2">
        <f t="shared" si="1"/>
        <v>47.674114250001921</v>
      </c>
      <c r="G30" s="2">
        <f>E30/D10</f>
        <v>0.74868232157840398</v>
      </c>
      <c r="H30" s="3">
        <v>0.08</v>
      </c>
      <c r="I30" s="1"/>
      <c r="J30" s="2">
        <f t="shared" si="4"/>
        <v>3.8139291400001536</v>
      </c>
      <c r="K30" s="2"/>
      <c r="L30" s="2" t="e">
        <f t="shared" si="2"/>
        <v>#DIV/0!</v>
      </c>
      <c r="M30" s="2" t="e">
        <f>L30/D10</f>
        <v>#DIV/0!</v>
      </c>
      <c r="N30" s="1"/>
      <c r="O30" s="1"/>
    </row>
    <row r="31" spans="1:15" x14ac:dyDescent="0.25">
      <c r="A31" s="10">
        <v>4700</v>
      </c>
      <c r="B31" s="2">
        <f t="shared" si="5"/>
        <v>0.61704597619857959</v>
      </c>
      <c r="C31" s="2">
        <f t="shared" si="3"/>
        <v>84.398500740614665</v>
      </c>
      <c r="D31" s="13">
        <f t="shared" si="0"/>
        <v>0.62797204042849697</v>
      </c>
      <c r="E31" s="2">
        <f>(B11*D10/(B11+D10))/(K20+(B12/SQRT((2*PI()*D12*B12*A31/1000000)^2+1)))</f>
        <v>81.031239046454544</v>
      </c>
      <c r="F31" s="2">
        <f t="shared" si="1"/>
        <v>50.885352522451356</v>
      </c>
      <c r="G31" s="2">
        <f>E31/D10</f>
        <v>0.8103123904645454</v>
      </c>
      <c r="H31" s="3">
        <v>0.08</v>
      </c>
      <c r="I31" s="1"/>
      <c r="J31" s="2">
        <f t="shared" si="4"/>
        <v>4.0708282017961084</v>
      </c>
      <c r="K31" s="2"/>
      <c r="L31" s="2" t="e">
        <f t="shared" si="2"/>
        <v>#DIV/0!</v>
      </c>
      <c r="M31" s="2" t="e">
        <f>L31/D10</f>
        <v>#DIV/0!</v>
      </c>
      <c r="N31" s="1"/>
      <c r="O31" s="1"/>
    </row>
    <row r="32" spans="1:15" x14ac:dyDescent="0.25">
      <c r="A32" s="10">
        <v>6700</v>
      </c>
      <c r="B32" s="2">
        <f t="shared" si="5"/>
        <v>0.60693769635514783</v>
      </c>
      <c r="C32" s="2">
        <f t="shared" si="3"/>
        <v>83.717405133333813</v>
      </c>
      <c r="D32" s="13">
        <f t="shared" si="0"/>
        <v>0.62607709931146638</v>
      </c>
      <c r="E32" s="2">
        <f>(B11*D10/(B11+D10))/(K20+(B12/SQRT((2*PI()*D12*B12*A32/1000000)^2+1)))</f>
        <v>82.380778620714707</v>
      </c>
      <c r="F32" s="2">
        <f t="shared" si="1"/>
        <v>51.57671891787713</v>
      </c>
      <c r="G32" s="2">
        <f>E32/D10</f>
        <v>0.82380778620714712</v>
      </c>
      <c r="H32" s="3">
        <v>0.08</v>
      </c>
      <c r="I32" s="1"/>
      <c r="J32" s="2">
        <f t="shared" si="4"/>
        <v>4.1261375134301703</v>
      </c>
      <c r="K32" s="2"/>
      <c r="L32" s="2" t="e">
        <f t="shared" si="2"/>
        <v>#DIV/0!</v>
      </c>
      <c r="M32" s="2" t="e">
        <f>L32/D10</f>
        <v>#DIV/0!</v>
      </c>
      <c r="N32" s="1"/>
      <c r="O32" s="1"/>
    </row>
    <row r="33" spans="1:15" ht="29.25" customHeight="1" x14ac:dyDescent="0.25"/>
    <row r="34" spans="1:15" x14ac:dyDescent="0.25">
      <c r="A34" s="21" t="s">
        <v>19</v>
      </c>
      <c r="B34" s="21"/>
      <c r="C34" s="21"/>
      <c r="D34" s="21"/>
      <c r="E34" s="21"/>
      <c r="F34" s="21"/>
      <c r="G34" s="21"/>
      <c r="H34" s="21"/>
      <c r="I34" s="21"/>
      <c r="J34" s="21"/>
      <c r="K34" s="21"/>
      <c r="L34" s="21"/>
      <c r="M34" s="21"/>
      <c r="N34" s="21"/>
      <c r="O34" s="21"/>
    </row>
    <row r="35" spans="1:15" x14ac:dyDescent="0.25">
      <c r="A35" s="11" t="s">
        <v>45</v>
      </c>
      <c r="B35" s="11"/>
      <c r="C35" s="11"/>
      <c r="D35" s="11"/>
      <c r="E35" s="11"/>
      <c r="F35" s="11"/>
      <c r="G35" s="11"/>
      <c r="H35" s="19"/>
      <c r="I35" s="19"/>
      <c r="J35" s="19"/>
      <c r="K35" s="19"/>
      <c r="L35" s="19"/>
      <c r="M35" s="19"/>
      <c r="N35" s="19"/>
      <c r="O35" s="19"/>
    </row>
    <row r="36" spans="1:15" x14ac:dyDescent="0.25">
      <c r="A36" s="11" t="s">
        <v>46</v>
      </c>
      <c r="B36" s="11"/>
      <c r="C36" s="11"/>
      <c r="D36" s="11"/>
      <c r="E36" s="11"/>
      <c r="F36" s="11"/>
      <c r="G36" s="11"/>
      <c r="H36" s="19"/>
      <c r="I36" s="19"/>
      <c r="J36" s="19"/>
      <c r="K36" s="19"/>
      <c r="L36" s="19"/>
      <c r="M36" s="19"/>
      <c r="N36" s="19"/>
      <c r="O36" s="19"/>
    </row>
    <row r="37" spans="1:15" x14ac:dyDescent="0.25">
      <c r="A37" s="40" t="s">
        <v>54</v>
      </c>
      <c r="B37" s="40"/>
      <c r="C37" s="40"/>
      <c r="D37" s="40"/>
      <c r="E37" s="40"/>
      <c r="F37" s="40"/>
      <c r="G37" s="40"/>
      <c r="H37" s="19"/>
      <c r="I37" s="19"/>
      <c r="J37" s="19"/>
      <c r="K37" s="19"/>
      <c r="L37" s="19"/>
      <c r="M37" s="19"/>
      <c r="N37" s="19"/>
      <c r="O37" s="19"/>
    </row>
    <row r="38" spans="1:15" x14ac:dyDescent="0.25">
      <c r="A38" s="11" t="s">
        <v>52</v>
      </c>
      <c r="B38" s="11"/>
      <c r="C38" s="11"/>
      <c r="D38" s="11"/>
      <c r="E38" s="11"/>
      <c r="F38" s="11"/>
      <c r="G38" s="11"/>
      <c r="H38" s="19"/>
      <c r="I38" s="19"/>
      <c r="J38" s="19"/>
      <c r="K38" s="19"/>
      <c r="L38" s="19"/>
      <c r="M38" s="19"/>
      <c r="N38" s="19"/>
      <c r="O38" s="19"/>
    </row>
    <row r="39" spans="1:15" ht="102.75" customHeight="1" x14ac:dyDescent="0.25">
      <c r="A39" s="34" t="s">
        <v>53</v>
      </c>
      <c r="B39" s="34"/>
      <c r="C39" s="34"/>
      <c r="D39" s="34"/>
      <c r="E39" s="34"/>
      <c r="F39" s="34"/>
      <c r="G39" s="34"/>
      <c r="H39" s="19"/>
      <c r="I39" s="19"/>
      <c r="J39" s="19"/>
      <c r="K39" s="19"/>
      <c r="L39" s="19"/>
      <c r="M39" s="19"/>
      <c r="N39" s="19"/>
      <c r="O39" s="19"/>
    </row>
    <row r="40" spans="1:15" x14ac:dyDescent="0.25">
      <c r="A40" s="35" t="s">
        <v>20</v>
      </c>
      <c r="B40" s="35"/>
      <c r="C40" s="35"/>
      <c r="D40" s="35"/>
      <c r="E40" s="35"/>
      <c r="F40" s="35"/>
      <c r="G40" s="35"/>
      <c r="H40" s="35"/>
      <c r="I40" s="35"/>
      <c r="J40" s="35"/>
      <c r="K40" s="35"/>
      <c r="L40" s="35"/>
      <c r="M40" s="35"/>
      <c r="N40" s="35"/>
      <c r="O40" s="35"/>
    </row>
    <row r="41" spans="1:15" x14ac:dyDescent="0.25">
      <c r="A41" s="35"/>
      <c r="B41" s="35"/>
      <c r="C41" s="35"/>
      <c r="D41" s="35"/>
      <c r="E41" s="35"/>
      <c r="F41" s="35"/>
      <c r="G41" s="35"/>
      <c r="H41" s="35"/>
      <c r="I41" s="35"/>
      <c r="J41" s="35"/>
      <c r="K41" s="35"/>
      <c r="L41" s="35"/>
      <c r="M41" s="35"/>
      <c r="N41" s="35"/>
      <c r="O41" s="35"/>
    </row>
    <row r="42" spans="1:15" x14ac:dyDescent="0.25">
      <c r="A42" s="35"/>
      <c r="B42" s="35"/>
      <c r="C42" s="35"/>
      <c r="D42" s="35"/>
      <c r="E42" s="35"/>
      <c r="F42" s="35"/>
      <c r="G42" s="35"/>
      <c r="H42" s="35"/>
      <c r="I42" s="35"/>
      <c r="J42" s="35"/>
      <c r="K42" s="35"/>
      <c r="L42" s="35"/>
      <c r="M42" s="35"/>
      <c r="N42" s="35"/>
      <c r="O42" s="35"/>
    </row>
    <row r="43" spans="1:15" x14ac:dyDescent="0.25">
      <c r="A43" s="35"/>
      <c r="B43" s="35"/>
      <c r="C43" s="35"/>
      <c r="D43" s="35"/>
      <c r="E43" s="35"/>
      <c r="F43" s="35"/>
      <c r="G43" s="35"/>
      <c r="H43" s="35"/>
      <c r="I43" s="35"/>
      <c r="J43" s="35"/>
      <c r="K43" s="35"/>
      <c r="L43" s="35"/>
      <c r="M43" s="35"/>
      <c r="N43" s="35"/>
      <c r="O43" s="35"/>
    </row>
    <row r="44" spans="1:15" x14ac:dyDescent="0.25">
      <c r="A44" s="35"/>
      <c r="B44" s="35"/>
      <c r="C44" s="35"/>
      <c r="D44" s="35"/>
      <c r="E44" s="35"/>
      <c r="F44" s="35"/>
      <c r="G44" s="35"/>
      <c r="H44" s="35"/>
      <c r="I44" s="35"/>
      <c r="J44" s="35"/>
      <c r="K44" s="35"/>
      <c r="L44" s="35"/>
      <c r="M44" s="35"/>
      <c r="N44" s="35"/>
      <c r="O44" s="35"/>
    </row>
    <row r="45" spans="1:15" x14ac:dyDescent="0.25">
      <c r="A45" s="35"/>
      <c r="B45" s="35"/>
      <c r="C45" s="35"/>
      <c r="D45" s="35"/>
      <c r="E45" s="35"/>
      <c r="F45" s="35"/>
      <c r="G45" s="35"/>
      <c r="H45" s="35"/>
      <c r="I45" s="35"/>
      <c r="J45" s="35"/>
      <c r="K45" s="35"/>
      <c r="L45" s="35"/>
      <c r="M45" s="35"/>
      <c r="N45" s="35"/>
      <c r="O45" s="35"/>
    </row>
    <row r="46" spans="1:15" x14ac:dyDescent="0.25">
      <c r="A46" s="18" t="s">
        <v>33</v>
      </c>
      <c r="B46" s="18"/>
      <c r="C46" s="18"/>
      <c r="D46" s="18"/>
      <c r="E46" s="18"/>
      <c r="F46" s="18"/>
      <c r="G46" s="18"/>
      <c r="H46" s="18"/>
      <c r="I46" s="18"/>
      <c r="J46" s="18"/>
      <c r="K46" s="18"/>
      <c r="L46" s="18"/>
      <c r="M46" s="18"/>
      <c r="N46" s="18"/>
      <c r="O46" s="18"/>
    </row>
  </sheetData>
  <mergeCells count="26">
    <mergeCell ref="K6:O6"/>
    <mergeCell ref="A39:G39"/>
    <mergeCell ref="H39:O39"/>
    <mergeCell ref="A40:O45"/>
    <mergeCell ref="A7:D8"/>
    <mergeCell ref="H35:O35"/>
    <mergeCell ref="H36:O36"/>
    <mergeCell ref="H37:O37"/>
    <mergeCell ref="A37:G37"/>
    <mergeCell ref="H38:O38"/>
    <mergeCell ref="A46:O46"/>
    <mergeCell ref="E7:O18"/>
    <mergeCell ref="A34:O34"/>
    <mergeCell ref="A1:O1"/>
    <mergeCell ref="A2:E2"/>
    <mergeCell ref="F2:J2"/>
    <mergeCell ref="K2:O2"/>
    <mergeCell ref="A3:E5"/>
    <mergeCell ref="F3:J3"/>
    <mergeCell ref="K3:O3"/>
    <mergeCell ref="F4:J4"/>
    <mergeCell ref="K4:O4"/>
    <mergeCell ref="F5:J5"/>
    <mergeCell ref="K5:O5"/>
    <mergeCell ref="A6:E6"/>
    <mergeCell ref="F6:J6"/>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Grupo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2023-03-28T21:51:26Z</dcterms:created>
  <dcterms:modified xsi:type="dcterms:W3CDTF">2025-03-26T00:59:14Z</dcterms:modified>
</cp:coreProperties>
</file>